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media/image4.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charts/chart61.xml" ContentType="application/vnd.openxmlformats-officedocument.drawingml.chart+xml"/>
  <Override PartName="/xl/charts/chart69.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5"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X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7" authorId="0">
      <text>
        <r>
          <rPr>
            <sz val="11"/>
            <color rgb="FF000000"/>
            <rFont val="Calibri"/>
            <family val="2"/>
            <charset val="1"/>
          </rPr>
          <t xml:space="preserve">Transferencias corrientes al sector privado: asignaciones familiares + subsidios + progresar+fondo nacional de empleo 
</t>
        </r>
      </text>
    </comment>
    <comment ref="BO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P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BR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37"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S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V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Y7" authorId="0">
      <text>
        <r>
          <rPr>
            <sz val="10"/>
            <rFont val="Arial"/>
            <family val="2"/>
            <charset val="1"/>
          </rPr>
          <t xml:space="preserve">Esto es casi igual a la suma de las tranferencias de salud, promoción social y al sector público o externo , exactamente igual en el 1998</t>
        </r>
      </text>
    </comment>
    <comment ref="CJ35" authorId="0">
      <text>
        <r>
          <rPr>
            <b val="true"/>
            <sz val="9"/>
            <color rgb="FF000000"/>
            <rFont val="Tahoma"/>
            <family val="2"/>
            <charset val="1"/>
          </rPr>
          <t xml:space="preserve">AG6:
</t>
        </r>
        <r>
          <rPr>
            <sz val="9"/>
            <color rgb="FF000000"/>
            <rFont val="Tahoma"/>
            <family val="2"/>
            <charset val="1"/>
          </rPr>
          <t xml:space="preserve">Son las contribuciones figurativas a ISS, de ISS: es ANSES que hace transferencias a cajas de fuerzas de seguridad y militares (IAF)</t>
        </r>
      </text>
    </comment>
    <comment ref="CK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CM35" authorId="0">
      <text>
        <r>
          <rPr>
            <b val="true"/>
            <sz val="15"/>
            <color rgb="FF000000"/>
            <rFont val="Tahoma"/>
            <family val="2"/>
            <charset val="1"/>
          </rPr>
          <t xml:space="preserve">AG6:
</t>
        </r>
        <r>
          <rPr>
            <sz val="15"/>
            <color rgb="FF000000"/>
            <rFont val="Tahoma"/>
            <family val="2"/>
            <charset val="1"/>
          </rPr>
          <t xml:space="preserve">Aplicaciones financieras, disminución de deudas y otros pasivos de ISS. Puede corresponder al pago de sentencias o ser algo superior (en 2017 correspondió, en 2018 fue superior)</t>
        </r>
      </text>
    </comment>
    <comment ref="DG32" authorId="0">
      <text>
        <r>
          <rPr>
            <b val="true"/>
            <sz val="9"/>
            <color rgb="FF000000"/>
            <rFont val="Tahoma"/>
            <family val="2"/>
            <charset val="1"/>
          </rPr>
          <t xml:space="preserve">Windows User:
</t>
        </r>
        <r>
          <rPr>
            <sz val="9"/>
            <color rgb="FF000000"/>
            <rFont val="Tahoma"/>
            <family val="2"/>
            <charset val="1"/>
          </rPr>
          <t xml:space="preserve">Datos provisorios</t>
        </r>
      </text>
    </comment>
    <comment ref="DG33" authorId="0">
      <text>
        <r>
          <rPr>
            <b val="true"/>
            <sz val="9"/>
            <color rgb="FF000000"/>
            <rFont val="Tahoma"/>
            <family val="2"/>
            <charset val="1"/>
          </rPr>
          <t xml:space="preserve">Windows User:
</t>
        </r>
        <r>
          <rPr>
            <sz val="9"/>
            <color rgb="FF000000"/>
            <rFont val="Tahoma"/>
            <family val="2"/>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T30" authorId="0">
      <text>
        <r>
          <rPr>
            <sz val="11"/>
            <color rgb="FF000000"/>
            <rFont val="Calibri"/>
            <family val="2"/>
            <charset val="1"/>
          </rPr>
          <t xml:space="preserve">Source: AFIP (recaudación serie anual)</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Q31" authorId="0">
      <text>
        <r>
          <rPr>
            <b val="true"/>
            <sz val="10"/>
            <color rgb="FF000000"/>
            <rFont val="Calibri"/>
            <family val="0"/>
            <charset val="1"/>
          </rPr>
          <t xml:space="preserve">Usuario de Microsoft Office:
</t>
        </r>
        <r>
          <rPr>
            <sz val="10"/>
            <color rgb="FF000000"/>
            <rFont val="Calibri"/>
            <family val="0"/>
            <charset val="1"/>
          </rPr>
          <t xml:space="preserve">En la cuenta AIF base caja para el 2019, los aportes y contribuciones, así como las prestaciones de la seguridad social, son de todas las Instituciones de Seguridad Social: se incluye entonces el déficit de las cajas de las fuerzas de defensa y seguridad. Es por eso que sacamos de gastos figurativos las contribuciones figurativas de ISS a ISS (es decir, de ANSES a esas cajas) porque el déficit que están cubriendo ya figura en el déficit estimado para ANSES. Si no lo sacamos del cálculo, estaríamos contando el déficit de las cajas de fuerzas de seguridad dos veces. Sacamos por lo tanto también esas contribuciones figurativas de ISS a ISS del cálculo de recursos </t>
        </r>
      </text>
    </comment>
    <comment ref="T31" authorId="0">
      <text>
        <r>
          <rPr>
            <sz val="11"/>
            <color rgb="FF000000"/>
            <rFont val="Calibri"/>
            <family val="2"/>
            <charset val="1"/>
          </rPr>
          <t xml:space="preserve">Fuente: informe 124 de jefatura de gabinete a diputados, datos proyectados para 2019 en octubre de ese año.</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<sst xmlns="http://schemas.openxmlformats.org/spreadsheetml/2006/main" count="1990" uniqueCount="1145">
  <si>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</si>
  <si>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</si>
  <si>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</si>
  <si>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</si>
  <si>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</si>
  <si>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</si>
  <si>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</si>
  <si>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</si>
  <si>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</si>
  <si>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</si>
  <si>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</si>
  <si>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</si>
  <si>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</si>
  <si>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</si>
  <si>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</si>
  <si>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</si>
  <si>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</si>
  <si>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</si>
  <si>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</si>
  <si>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</si>
  <si>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</si>
  <si>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</si>
  <si>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</si>
  <si>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</si>
  <si>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</si>
  <si>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</si>
  <si>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</si>
  <si>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</si>
  <si>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</si>
  <si>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</si>
  <si>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</si>
  <si>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</si>
  <si>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</si>
  <si>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</si>
  <si>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</si>
  <si>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</si>
  <si>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</si>
  <si>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</si>
  <si>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</si>
  <si>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</si>
  <si>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</si>
  <si>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</si>
  <si>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</si>
  <si>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</si>
  <si>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</si>
  <si>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</si>
  <si>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</si>
  <si>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</si>
  <si>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</si>
  <si>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</si>
  <si>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</si>
  <si>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</si>
  <si>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</si>
  <si>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</si>
  <si>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</si>
  <si>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</si>
  <si>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</si>
  <si>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</si>
  <si>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</si>
  <si>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</si>
  <si>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</si>
  <si>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</si>
  <si>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</si>
  <si>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</si>
  <si>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</si>
  <si>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</si>
  <si>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</si>
  <si>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</si>
  <si>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</si>
  <si>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</si>
  <si>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</si>
  <si>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</si>
  <si>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</si>
  <si>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</si>
  <si>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</si>
  <si>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</si>
  <si>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</si>
  <si>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</si>
  <si>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</si>
  <si>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</si>
  <si>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</si>
  <si>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</si>
  <si>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</si>
  <si>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</si>
  <si>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</si>
  <si>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</si>
  <si>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</si>
  <si>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</si>
  <si>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</si>
  <si>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</si>
  <si>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</si>
  <si>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</si>
  <si>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</si>
  <si>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</si>
  <si>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</si>
  <si>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</si>
  <si>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</si>
  <si>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</si>
  <si>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</si>
  <si>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</si>
  <si>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</si>
  <si>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</si>
  <si>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</si>
  <si>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</si>
  <si>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</si>
  <si>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</si>
  <si>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</si>
  <si>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</si>
  <si>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</si>
  <si>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</si>
  <si>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</si>
  <si>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</si>
  <si>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</si>
  <si>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</si>
  <si>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</si>
  <si>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</si>
  <si>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</si>
  <si>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</si>
  <si>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</si>
  <si>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</si>
  <si>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</si>
  <si>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</si>
  <si>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</si>
  <si>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</si>
  <si>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</si>
  <si>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</si>
  <si>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</si>
  <si>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</si>
  <si>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</si>
  <si>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</si>
  <si>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</si>
  <si>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</si>
  <si>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</si>
  <si>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</si>
  <si>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</si>
  <si>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</si>
  <si>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</si>
  <si>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</si>
  <si>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</si>
  <si>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</si>
  <si>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</si>
  <si>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</si>
  <si>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</si>
  <si>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</si>
  <si>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</si>
  <si>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</si>
  <si>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</si>
  <si>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</si>
  <si>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</si>
  <si>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</si>
  <si>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</si>
  <si>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</si>
  <si>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</si>
  <si>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</si>
  <si>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</si>
  <si>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</si>
  <si>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</si>
  <si>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</si>
  <si>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</si>
  <si>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</si>
  <si>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</si>
  <si>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</si>
  <si>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</si>
  <si>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</si>
  <si>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</si>
  <si>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</si>
  <si>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</si>
  <si>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</si>
  <si>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</si>
  <si>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</si>
  <si>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</si>
  <si>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</si>
  <si>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</si>
  <si>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</si>
  <si>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</si>
  <si>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</si>
  <si>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</si>
  <si>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</si>
  <si>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</si>
  <si>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</si>
  <si>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</si>
  <si>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</si>
  <si>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</si>
  <si>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</si>
  <si>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</si>
  <si>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</si>
  <si>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</si>
  <si>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</si>
  <si>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</si>
  <si>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</si>
  <si>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</si>
  <si>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</si>
  <si>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</si>
  <si>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</si>
  <si>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</si>
  <si>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</si>
  <si>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</si>
  <si>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</si>
  <si>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</si>
  <si>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</si>
  <si>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</si>
  <si>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</si>
  <si>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</si>
  <si>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</si>
  <si>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</si>
  <si>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</si>
  <si>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</si>
  <si>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</si>
  <si>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</si>
  <si>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</si>
  <si>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</si>
  <si>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</si>
  <si>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</si>
  <si>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</si>
  <si>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</si>
  <si>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</si>
  <si>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</si>
  <si>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</si>
  <si>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</si>
  <si>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</si>
  <si>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</si>
  <si>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</si>
  <si>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</si>
  <si>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</si>
  <si>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</si>
  <si>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</si>
  <si>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</si>
  <si>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</si>
  <si>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</si>
  <si>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</si>
  <si>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</si>
  <si>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</si>
  <si>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</si>
  <si>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</si>
  <si>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</si>
  <si>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</si>
  <si>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</si>
  <si>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</si>
  <si>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</si>
  <si>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</si>
  <si>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</si>
  <si>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</si>
  <si>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</si>
  <si>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</si>
  <si>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</si>
  <si>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</si>
  <si>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</si>
  <si>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</si>
  <si>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</si>
  <si>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</si>
  <si>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</si>
  <si>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</si>
  <si>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</si>
  <si>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</si>
  <si>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</si>
  <si>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</si>
  <si>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</si>
  <si>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</si>
  <si>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</si>
  <si>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</si>
  <si>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</si>
  <si>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</si>
  <si>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</si>
  <si>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</si>
  <si>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</si>
  <si>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</si>
  <si>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</si>
  <si>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</si>
  <si>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</si>
  <si>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</si>
  <si>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</si>
  <si>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</si>
  <si>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</si>
  <si>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</si>
  <si>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</si>
  <si>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</si>
  <si>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</si>
  <si>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</si>
  <si>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</si>
  <si>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</si>
  <si>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</si>
  <si>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</si>
  <si>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</si>
  <si>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</si>
  <si>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</si>
  <si>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</si>
  <si>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</si>
  <si>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</si>
  <si>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</si>
  <si>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</si>
  <si>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</si>
  <si>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</si>
  <si>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</si>
  <si>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</si>
  <si>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</si>
  <si>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</si>
  <si>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</si>
  <si>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</si>
  <si>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</si>
  <si>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</si>
  <si>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</si>
  <si>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</si>
  <si>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</si>
  <si>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</si>
  <si>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</si>
  <si>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</si>
  <si>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</si>
  <si>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</si>
  <si>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</si>
  <si>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</si>
  <si>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</si>
  <si>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</si>
  <si>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</si>
  <si>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</si>
  <si>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</si>
  <si>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</si>
  <si>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</si>
  <si>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</si>
  <si>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</si>
  <si>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</si>
  <si>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</si>
  <si>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</si>
  <si>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</si>
  <si>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</si>
  <si>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</si>
  <si>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</si>
  <si>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</si>
  <si>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</si>
  <si>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</si>
  <si>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</si>
  <si>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</si>
  <si>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</si>
  <si>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</si>
  <si>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</si>
  <si>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</si>
  <si>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</si>
  <si>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</si>
  <si>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</si>
  <si>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</si>
  <si>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</si>
  <si>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</si>
  <si>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</si>
  <si>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</si>
  <si>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</si>
  <si>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</si>
  <si>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</si>
  <si>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</si>
  <si>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</si>
  <si>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</si>
  <si>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</si>
  <si>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</si>
  <si>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</si>
  <si>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</si>
  <si>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</si>
  <si>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</si>
  <si>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</si>
  <si>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</si>
  <si>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</si>
  <si>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</si>
  <si>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</si>
  <si>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</si>
  <si>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</si>
  <si>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</si>
  <si>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</si>
  <si>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</si>
  <si>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</si>
  <si>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</si>
  <si>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</si>
  <si>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</si>
  <si>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</si>
  <si>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</si>
  <si>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</si>
  <si>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</si>
  <si>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</si>
  <si>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</si>
  <si>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</si>
  <si>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</si>
  <si>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</si>
  <si>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</si>
  <si>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</si>
  <si>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</si>
  <si>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</si>
  <si>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</si>
  <si>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</si>
  <si>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</si>
  <si>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</si>
  <si>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</si>
  <si>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</si>
  <si>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</si>
  <si>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</si>
  <si>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</si>
  <si>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</si>
  <si>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</si>
  <si>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</si>
  <si>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</si>
  <si>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</si>
  <si>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</si>
  <si>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</si>
  <si>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</si>
  <si>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</si>
  <si>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</si>
  <si>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</si>
  <si>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</si>
  <si>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</si>
  <si>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</si>
  <si>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</si>
  <si>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</si>
  <si>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</si>
  <si>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</si>
  <si>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</si>
  <si>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</si>
  <si>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</si>
  <si>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</si>
  <si>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</si>
  <si>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</si>
  <si>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</si>
  <si>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</si>
  <si>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</si>
  <si>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</si>
  <si>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</si>
  <si>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</si>
  <si>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</si>
  <si>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</si>
  <si>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</si>
  <si>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</si>
  <si>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</si>
  <si>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</si>
  <si>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</si>
  <si>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</si>
  <si>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</si>
  <si>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</si>
  <si>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</si>
  <si>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</si>
  <si>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</si>
  <si>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</si>
  <si>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</si>
  <si>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</si>
  <si>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</si>
  <si>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</si>
  <si>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</si>
  <si>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</si>
  <si>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</si>
  <si>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</si>
  <si>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</si>
  <si>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</si>
  <si>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</si>
  <si>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</si>
  <si>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</si>
  <si>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</si>
  <si>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</si>
  <si>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</si>
  <si>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</si>
  <si>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</si>
  <si>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</si>
  <si>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</si>
  <si>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</si>
  <si>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</si>
  <si>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</si>
  <si>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</si>
  <si>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</si>
  <si>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</si>
  <si>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</si>
  <si>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</si>
  <si>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</si>
  <si>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</si>
  <si>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</si>
  <si>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</si>
  <si>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</si>
  <si>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</si>
  <si>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</si>
  <si>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</si>
  <si>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</si>
  <si>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</si>
  <si>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</si>
  <si>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</si>
  <si>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</si>
  <si>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</si>
  <si>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</si>
  <si>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</si>
  <si>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</si>
  <si>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</si>
  <si>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</si>
  <si>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</si>
  <si>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</si>
  <si>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</si>
  <si>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</si>
  <si>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</si>
  <si>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</si>
  <si>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</si>
  <si>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</si>
  <si>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</si>
  <si>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</si>
  <si>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</si>
  <si>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</si>
  <si>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</si>
  <si>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</si>
  <si>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</si>
  <si>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</si>
  <si>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</si>
  <si>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</si>
  <si>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</si>
  <si>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</si>
  <si>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</si>
  <si>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</si>
  <si>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</si>
  <si>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</si>
  <si>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</si>
  <si>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</si>
  <si>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</si>
  <si>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</si>
  <si>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</si>
  <si>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</si>
  <si>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</si>
  <si>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</si>
  <si>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</si>
  <si>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</si>
  <si>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</si>
  <si>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</si>
  <si>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</si>
  <si>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</si>
  <si>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</si>
  <si>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</si>
  <si>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</si>
  <si>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</si>
  <si>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</si>
  <si>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</si>
  <si>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</si>
  <si>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</si>
  <si>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</si>
  <si>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</si>
  <si>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</si>
  <si>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</si>
  <si>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</si>
  <si>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</si>
  <si>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</si>
  <si>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</si>
  <si>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</si>
  <si>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</si>
  <si>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</si>
  <si>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</si>
  <si>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</si>
  <si>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</si>
  <si>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</si>
  <si>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</si>
  <si>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</si>
  <si>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</si>
  <si>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</si>
  <si>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</si>
  <si>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</si>
  <si>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</si>
  <si>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</si>
  <si>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</si>
  <si>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</si>
  <si>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</si>
  <si>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</si>
  <si>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</si>
  <si>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</si>
  <si>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</si>
  <si>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</si>
  <si>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</si>
  <si>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</si>
  <si>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</si>
  <si>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</si>
  <si>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</si>
  <si>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</si>
  <si>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</si>
  <si>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</si>
  <si>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</si>
  <si>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</si>
  <si>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</si>
  <si>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</si>
  <si>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</si>
  <si>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</si>
  <si>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</si>
  <si>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</si>
  <si>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</si>
  <si>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</si>
  <si>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</si>
  <si>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</si>
  <si>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</si>
  <si>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</si>
  <si>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</si>
  <si>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</si>
  <si>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</si>
  <si>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</si>
  <si>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</si>
  <si>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</si>
  <si>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</si>
  <si>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</si>
  <si>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</si>
  <si>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</si>
  <si>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</si>
  <si>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</si>
  <si>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</si>
  <si>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</si>
  <si>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</si>
  <si>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</si>
  <si>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</si>
  <si>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</si>
  <si>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</si>
  <si>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</si>
  <si>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</si>
  <si>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</si>
  <si>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</si>
  <si>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</si>
  <si>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</si>
  <si>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</si>
  <si>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</si>
  <si>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</si>
  <si>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</si>
  <si>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</si>
  <si>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</si>
  <si>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</si>
  <si>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</si>
  <si>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</si>
  <si>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</si>
  <si>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</si>
  <si>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</si>
  <si>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</si>
  <si>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</si>
  <si>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</si>
  <si>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</si>
  <si>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</si>
  <si>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</si>
  <si>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</si>
  <si>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</si>
  <si>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</si>
  <si>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</si>
  <si>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</si>
  <si>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</si>
  <si>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</si>
  <si>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</si>
  <si>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</si>
  <si>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</si>
  <si>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</si>
  <si>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</si>
  <si>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</si>
  <si>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</si>
  <si>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</si>
  <si>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</si>
  <si>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</si>
  <si>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</si>
  <si>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</si>
  <si>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</si>
  <si>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</si>
  <si>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</si>
  <si>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</si>
  <si>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</si>
  <si>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</si>
  <si>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</si>
  <si>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</si>
  <si>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</si>
  <si>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</si>
  <si>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</si>
  <si>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</si>
  <si>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</si>
  <si>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</si>
  <si>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</si>
  <si>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</si>
  <si>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</si>
  <si>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</si>
  <si>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</si>
  <si>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</si>
  <si>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</si>
  <si>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</si>
  <si>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</si>
  <si>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</si>
  <si>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</si>
  <si>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</si>
  <si>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</si>
  <si>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</si>
  <si>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</si>
  <si>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</si>
  <si>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</si>
  <si>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</si>
  <si>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</si>
  <si>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</si>
  <si>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</si>
  <si>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</si>
  <si>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</si>
  <si>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</si>
  <si>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</si>
  <si>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</si>
  <si>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</si>
  <si>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</si>
  <si>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</si>
  <si>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</si>
  <si>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</si>
  <si>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</si>
  <si>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</si>
  <si>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</si>
  <si>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</si>
  <si>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</si>
  <si>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</si>
  <si>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</si>
  <si>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</si>
  <si>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</si>
  <si>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</si>
  <si>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</si>
  <si>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</si>
  <si>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</si>
  <si>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</si>
  <si>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</si>
  <si>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</si>
  <si>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</si>
  <si>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</si>
  <si>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</si>
  <si>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</si>
  <si>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</si>
  <si>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</si>
  <si>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</si>
  <si>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</si>
  <si>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</si>
  <si>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</si>
  <si>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</si>
  <si>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</si>
  <si>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</si>
  <si>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</si>
  <si>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</si>
  <si>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</si>
  <si>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</si>
  <si>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</si>
  <si>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</si>
  <si>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</si>
  <si>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</si>
  <si>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</si>
  <si>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</si>
  <si>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</si>
  <si>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</si>
  <si>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</si>
  <si>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</si>
  <si>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</si>
  <si>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</si>
  <si>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</si>
  <si>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</si>
  <si>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</si>
  <si>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</si>
  <si>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</si>
  <si>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</si>
  <si>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</si>
  <si>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</si>
  <si>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</si>
  <si>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</si>
  <si>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</si>
  <si>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</si>
  <si>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</si>
  <si>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</si>
  <si>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</si>
  <si>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</si>
  <si>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</si>
  <si>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</si>
  <si>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</si>
  <si>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</si>
  <si>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</si>
  <si>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</si>
  <si>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</si>
  <si>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</si>
  <si>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</si>
  <si>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</si>
  <si>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</si>
  <si>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</si>
  <si>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</si>
  <si>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</si>
  <si>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</si>
  <si>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</si>
  <si>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</si>
  <si>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</si>
  <si>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</si>
  <si>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</si>
  <si>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</si>
  <si>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</si>
  <si>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</si>
  <si>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</si>
  <si>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</si>
  <si>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</si>
  <si>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</si>
  <si>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</si>
  <si>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</si>
  <si>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</si>
  <si>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</si>
  <si>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</si>
  <si>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</si>
  <si>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</si>
  <si>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</si>
  <si>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</si>
  <si>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Impuesto al Cheque destinado a ANSES</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</si>
  <si>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</si>
  <si>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</si>
  <si>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</si>
  <si>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</si>
  <si>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</si>
  <si>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</si>
  <si>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</si>
  <si>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</si>
  <si>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</si>
  <si>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</si>
  <si>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</si>
  <si>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</si>
  <si>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</si>
  <si>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</si>
  <si>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</si>
  <si>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 / Venta de acciones</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</si>
  <si>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</si>
  <si>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</si>
  <si>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</si>
  <si>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</si>
  <si>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</si>
  <si>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</si>
  <si>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</si>
  <si>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</si>
  <si>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</si>
  <si>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</si>
  <si>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</si>
  <si>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</si>
  <si>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</si>
  <si>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</si>
  <si>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</si>
  <si>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</si>
  <si>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</si>
  <si>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</si>
  <si>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</si>
  <si>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</si>
  <si>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</si>
  <si>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</si>
  <si>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</si>
  <si>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</si>
  <si>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</si>
  <si>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</si>
  <si>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</si>
  <si>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</si>
  <si>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</si>
  <si>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</si>
  <si>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</si>
  <si>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</si>
  <si>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</si>
  <si>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</si>
  <si>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</si>
  <si>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</si>
  <si>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</si>
  <si>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</si>
  <si>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</si>
  <si>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</si>
  <si>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</si>
  <si>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</si>
  <si>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</si>
  <si>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</si>
  <si>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</si>
  <si>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</si>
  <si>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</si>
  <si>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</si>
  <si>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</si>
  <si>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</si>
  <si>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</si>
  <si>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</si>
  <si>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</si>
  <si>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</si>
  <si>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</si>
  <si>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</si>
  <si>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</si>
  <si>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</si>
  <si>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</si>
  <si>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</si>
  <si>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</si>
  <si>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</si>
  <si>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</si>
  <si>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</si>
  <si>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</si>
  <si>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</si>
  <si>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</si>
  <si>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</si>
  <si>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</si>
  <si>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</si>
  <si>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</si>
  <si>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</si>
  <si>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</si>
  <si>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</si>
  <si>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</si>
  <si>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</si>
  <si>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</si>
  <si>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</si>
  <si>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</si>
  <si>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</si>
  <si>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</si>
  <si>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</si>
  <si>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</si>
  <si>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</si>
  <si>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</si>
  <si>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</si>
  <si>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</si>
  <si>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</si>
  <si>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</si>
  <si>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</si>
  <si>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</si>
  <si>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</si>
  <si>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</si>
  <si>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</si>
  <si>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</si>
  <si>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</si>
  <si>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</si>
  <si>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</si>
  <si>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</si>
  <si>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</si>
  <si>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</si>
  <si>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</si>
  <si>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</si>
  <si>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</si>
  <si>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</si>
  <si>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</si>
  <si>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</si>
  <si>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</si>
  <si>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</si>
  <si>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2019</t>
  </si>
  <si>
    <t xml:space="preserve">Anexo 3.14 para los recursos, Anexo 3.12 para detalle recursos tributarios, anexo 24 para las contribuciones figurativas</t>
  </si>
  <si>
    <t xml:space="preserve">Oct</t>
  </si>
  <si>
    <t xml:space="preserve">Jun</t>
  </si>
  <si>
    <t xml:space="preserve">Cuenta AIF base caja sector público nacional salvo contribuciones (boletín mensual de seguridad social AFIP)</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</si>
  <si>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</si>
  <si>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</si>
  <si>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</si>
  <si>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</si>
  <si>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</si>
  <si>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EL Cuadro 22 tiene el detalle de gastos figurativos, con sus destinos</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</si>
  <si>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</si>
  <si>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</si>
  <si>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</si>
  <si>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</si>
  <si>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</si>
  <si>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</si>
  <si>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</si>
  <si>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</si>
  <si>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</si>
  <si>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</si>
  <si>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</si>
  <si>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</si>
  <si>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</si>
  <si>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</si>
  <si>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Contribuciones figurativas de ISS a PAMI y otros. En general este dato es levemente superior al dato de transferencias definitivo que figura en cuenta de inversión. </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</si>
  <si>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</si>
  <si>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</si>
  <si>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</si>
  <si>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</si>
  <si>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</si>
  <si>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</si>
  <si>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</si>
  <si>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</si>
  <si>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</si>
  <si>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</si>
  <si>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</si>
  <si>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</si>
  <si>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</si>
  <si>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</si>
  <si>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</si>
  <si>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</si>
  <si>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</si>
  <si>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</si>
  <si>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</si>
  <si>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</si>
  <si>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</si>
  <si>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</si>
  <si>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</si>
  <si>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</si>
  <si>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</si>
  <si>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</si>
  <si>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</si>
  <si>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</si>
  <si>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</si>
  <si>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</si>
  <si>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</si>
  <si>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</si>
  <si>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</si>
  <si>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</si>
  <si>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</si>
  <si>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</si>
  <si>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</si>
  <si>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</si>
  <si>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</si>
  <si>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</si>
  <si>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</si>
  <si>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</si>
  <si>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</si>
  <si>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</si>
  <si>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</si>
  <si>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</si>
  <si>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</si>
  <si>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</si>
  <si>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</si>
  <si>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</si>
  <si>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</si>
  <si>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</si>
  <si>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</si>
  <si>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</si>
  <si>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</si>
  <si>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</si>
  <si>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</si>
  <si>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REPA Pagado 2018 (estimado en base a cuenta inversión ANSES 2018)</t>
  </si>
  <si>
    <t xml:space="preserve">REPA Pagado 2019 (informado por jefatura de gabinete, Informe 124 a Diputados)</t>
  </si>
  <si>
    <t xml:space="preserve">REPA de haberes</t>
  </si>
  <si>
    <t xml:space="preserve">Pago sentencias con RH</t>
  </si>
  <si>
    <t xml:space="preserve">REPA total</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</si>
  <si>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</si>
  <si>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</si>
  <si>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</si>
  <si>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</si>
  <si>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</si>
  <si>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</si>
  <si>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</si>
  <si>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</si>
  <si>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</si>
  <si>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</si>
  <si>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</si>
  <si>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</si>
  <si>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</si>
  <si>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Componente impositivo del monotributo a ANSES</t>
  </si>
  <si>
    <t xml:space="preserve">IVA ANSES</t>
  </si>
  <si>
    <t xml:space="preserve">Líquidos totales</t>
  </si>
  <si>
    <t xml:space="preserve">Adicional cigarrillos</t>
  </si>
  <si>
    <t xml:space="preserve">Cheque</t>
  </si>
  <si>
    <t xml:space="preserve">15 % coparticipación</t>
  </si>
  <si>
    <t xml:space="preserve">Líquidos que van a ANSES</t>
  </si>
  <si>
    <t xml:space="preserve">Gastos operativos</t>
  </si>
  <si>
    <t xml:space="preserve">Comisiones por recaudación (fuente: ANSES transparencia ISSFinanciero)</t>
  </si>
  <si>
    <t xml:space="preserve">ISS</t>
  </si>
  <si>
    <t xml:space="preserve">Otras dependencias (Min. Desarrollo social) no financiados por rentas generales + gastos capital</t>
  </si>
  <si>
    <t xml:space="preserve">Sentencias ANSES</t>
  </si>
  <si>
    <t xml:space="preserve">Transferencias a gobiernos provinciales  (fuente: ANSES transparencia ISSFinanciero)</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</si>
  <si>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</si>
  <si>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</si>
  <si>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</si>
  <si>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</si>
  <si>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</si>
  <si>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</si>
  <si>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</si>
  <si>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Otras dependencias (Min. Desarrollo social) no financiados por rentas generales</t>
  </si>
  <si>
    <t xml:space="preserve">Non-simulated income</t>
  </si>
  <si>
    <t xml:space="preserve">Non-simulated expenses</t>
  </si>
  <si>
    <t xml:space="preserve">Noviembre</t>
  </si>
  <si>
    <t xml:space="preserve">Diciembre</t>
  </si>
  <si>
    <t xml:space="preserve">Hay que agregar otros tributarios menos adicional cigarrillos como fuente no calculada de ingresos de ANSES</t>
  </si>
  <si>
    <t xml:space="preserve">Son tipo 0,1% del PBI</t>
  </si>
  <si>
    <t xml:space="preserve">Y parece haber demasiados gastos exógenos tomados en cuenta</t>
  </si>
  <si>
    <t xml:space="preserve">Resultado proyectado debería ser levemente superior</t>
  </si>
  <si>
    <t xml:space="preserve">No hay razón que diferencia sea mayor que con el bismarckiano</t>
  </si>
  <si>
    <t xml:space="preserve">New fuel tax ANSES share</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</si>
  <si>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</si>
  <si>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</si>
  <si>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</si>
  <si>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</si>
  <si>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Resultado económico menos resultado Bismarckiano </t>
  </si>
  <si>
    <t xml:space="preserve">Ingresos menos gastos exógenos tomados en cuenta en este cuadro</t>
  </si>
  <si>
    <t xml:space="preserve">Diferencia</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</si>
  <si>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</si>
  <si>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</si>
  <si>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</si>
  <si>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</si>
  <si>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</si>
  <si>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</si>
  <si>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</si>
  <si>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</si>
  <si>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</si>
  <si>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</si>
  <si>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</si>
  <si>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</si>
  <si>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Legislación 10/12/2019</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</si>
  <si>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</si>
  <si>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</si>
  <si>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</si>
  <si>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</si>
  <si>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</si>
  <si>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</si>
  <si>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</si>
  <si>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</si>
  <si>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</si>
  <si>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</si>
  <si>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</si>
  <si>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</si>
  <si>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</si>
  <si>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</si>
  <si>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</si>
  <si>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</si>
  <si>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</si>
  <si>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</si>
  <si>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</si>
  <si>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</si>
  <si>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</si>
  <si>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</si>
  <si>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</si>
  <si>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</si>
  <si>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</si>
  <si>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</si>
  <si>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</si>
  <si>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</si>
  <si>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</si>
  <si>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</si>
  <si>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</si>
  <si>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</si>
  <si>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</si>
  <si>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</si>
  <si>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</si>
  <si>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</si>
  <si>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</si>
  <si>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</si>
  <si>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 sin sentencias PNRH</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</si>
  <si>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</si>
  <si>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</si>
  <si>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</si>
  <si>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</si>
  <si>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</si>
  <si>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Resultado económico </t>
  </si>
  <si>
    <t xml:space="preserve">… con rentabilidad FGS</t>
  </si>
  <si>
    <t xml:space="preserve">... y financiamiento del Tesoro</t>
  </si>
  <si>
    <t xml:space="preserve">Jubilaciones y pensiones brutas, PUAM y PNC (desde oct. 2017)</t>
  </si>
  <si>
    <t xml:space="preserve">Asignaciones familiares</t>
  </si>
  <si>
    <t xml:space="preserve">Cajas de fuerzas de seguridad, Pensiones No Contributivas (hasta 2017) e invalidez</t>
  </si>
  <si>
    <t xml:space="preserve">Gastos de consumo </t>
  </si>
  <si>
    <t xml:space="preserve">Pago de sentencias sin RH</t>
  </si>
  <si>
    <t xml:space="preserve">Gastos corrientes de ANSES, sin RH</t>
  </si>
  <si>
    <t xml:space="preserve">Gastos PNRH</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</si>
  <si>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</si>
  <si>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</si>
  <si>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</si>
  <si>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</si>
  <si>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</si>
  <si>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</si>
  <si>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</si>
  <si>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</si>
  <si>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</si>
  <si>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</si>
  <si>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</si>
  <si>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</si>
  <si>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</si>
  <si>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</si>
  <si>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</si>
  <si>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Gastos totales de ANSES, sin Reparación Histórica</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</si>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</sst>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0">
    <numFmt numFmtId="164" formatCode="General"/>
    <numFmt numFmtId="165" formatCode="#,##0.00\ ;\-#,##0.00\ ;&quot; -&quot;#\ ;@\ "/>
    <numFmt numFmtId="166" formatCode="_-* #,##0\ _p_t_a_-;\-* #,##0\ _p_t_a_-;_-* &quot;- &quot;_p_t_a_-;_-@_-"/>
    <numFmt numFmtId="167" formatCode="#,##0.00\ ;&quot; -&quot;#,##0.00\ ;&quot; -&quot;#\ ;@\ "/>
    <numFmt numFmtId="168" formatCode="0%"/>
    <numFmt numFmtId="169" formatCode="[$-409]M/D/YYYY"/>
    <numFmt numFmtId="170" formatCode="#,##0"/>
    <numFmt numFmtId="171" formatCode="0"/>
    <numFmt numFmtId="172" formatCode="0.00%"/>
    <numFmt numFmtId="173" formatCode="#,##0\ ;\-#,##0\ ;&quot; -&quot;#\ ;@\ "/>
    <numFmt numFmtId="174" formatCode="0.0&quot;  &quot;"/>
    <numFmt numFmtId="175" formatCode="#,##0;\-#,##0"/>
    <numFmt numFmtId="176" formatCode="#,##0&quot;  &quot;"/>
    <numFmt numFmtId="177" formatCode="0.000%"/>
    <numFmt numFmtId="178" formatCode="0,000"/>
    <numFmt numFmtId="179" formatCode="#,##0.00;\-#,##0.00"/>
    <numFmt numFmtId="180" formatCode="General"/>
    <numFmt numFmtId="181" formatCode="#,##0.00"/>
    <numFmt numFmtId="182" formatCode="0.0"/>
    <numFmt numFmtId="183" formatCode="#,##0.0000"/>
    <numFmt numFmtId="184" formatCode="#,##0.0"/>
    <numFmt numFmtId="185" formatCode="_-* #,##0.00\ _€_-;\-* #,##0.00\ _€_-;_-* \-??\ _€_-;_-@_-"/>
    <numFmt numFmtId="186" formatCode="0.00"/>
    <numFmt numFmtId="187" formatCode="@"/>
    <numFmt numFmtId="188" formatCode="#,##0__"/>
    <numFmt numFmtId="189" formatCode="_-* #,##0\ _€_-;\-* #,##0\ _€_-;_-* \-??\ _€_-;_-@_-"/>
    <numFmt numFmtId="190" formatCode="#,##0.0__"/>
    <numFmt numFmtId="191" formatCode="_-* #,##0.0\ _P_t_s_-;\-* #,##0.0\ _P_t_s_-;_-* \-??\ _P_t_s_-;_-@_-"/>
    <numFmt numFmtId="192" formatCode="#,##0.00\ "/>
    <numFmt numFmtId="193" formatCode="0.0%"/>
  </numFmts>
  <fonts count="12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i val="true"/>
      <sz val="1"/>
      <color rgb="FF000000"/>
      <name val="Courier New"/>
      <family val="3"/>
      <charset val="1"/>
    </font>
    <font>
      <sz val="10"/>
      <name val="Mangal"/>
      <family val="2"/>
      <charset val="1"/>
    </font>
    <font>
      <sz val="12"/>
      <name val="Courier New"/>
      <family val="3"/>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charset val="1"/>
    </font>
    <font>
      <b val="true"/>
      <i val="true"/>
      <sz val="12"/>
      <name val="Calibri"/>
      <family val="2"/>
      <charset val="1"/>
    </font>
    <font>
      <i val="true"/>
      <sz val="12"/>
      <name val="Arial"/>
      <family val="2"/>
      <charset val="204"/>
    </font>
    <font>
      <i val="true"/>
      <sz val="10"/>
      <name val="Mangal"/>
      <family val="2"/>
      <charset val="1"/>
    </font>
    <font>
      <i val="true"/>
      <sz val="10"/>
      <name val="Arial"/>
      <family val="2"/>
      <charset val="1"/>
    </font>
    <font>
      <sz val="9"/>
      <color rgb="FF000000"/>
      <name val="Book Antiqua"/>
      <family val="1"/>
      <charset val="1"/>
    </font>
    <font>
      <sz val="10"/>
      <color rgb="FF000000"/>
      <name val="Book Antiqua"/>
      <family val="1"/>
      <charset val="1"/>
    </font>
    <font>
      <sz val="10"/>
      <name val="Arial"/>
      <family val="0"/>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9"/>
      <color rgb="FF000000"/>
      <name val="Tahoma"/>
      <family val="0"/>
      <charset val="1"/>
    </font>
    <font>
      <sz val="12"/>
      <name val="Mangal"/>
      <family val="2"/>
      <charset val="1"/>
    </font>
    <font>
      <sz val="12"/>
      <color rgb="FF000000"/>
      <name val="Arial"/>
      <family val="2"/>
      <charset val="204"/>
    </font>
    <font>
      <b val="true"/>
      <i val="true"/>
      <sz val="12"/>
      <name val="Arial"/>
      <family val="2"/>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15"/>
      <color rgb="FF000000"/>
      <name val="Tahoma"/>
      <family val="2"/>
      <charset val="1"/>
    </font>
    <font>
      <sz val="15"/>
      <color rgb="FF000000"/>
      <name val="Tahoma"/>
      <family val="2"/>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b val="true"/>
      <sz val="10"/>
      <color rgb="FF000000"/>
      <name val="Calibri"/>
      <family val="0"/>
      <charset val="1"/>
    </font>
    <font>
      <sz val="10"/>
      <color rgb="FF000000"/>
      <name val="Calibri"/>
      <family val="0"/>
      <charset val="1"/>
    </font>
    <font>
      <sz val="9"/>
      <color rgb="FF404040"/>
      <name val="Calibri"/>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2">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07E29"/>
      </patternFill>
    </fill>
    <fill>
      <patternFill patternType="solid">
        <fgColor rgb="FFFFFFFF"/>
        <bgColor rgb="FFFFFFCC"/>
      </patternFill>
    </fill>
    <fill>
      <patternFill patternType="solid">
        <fgColor rgb="FF99CCFF"/>
        <bgColor rgb="FFB4C7E7"/>
      </patternFill>
    </fill>
    <fill>
      <patternFill patternType="solid">
        <fgColor rgb="FF99CC00"/>
        <bgColor rgb="FF92D050"/>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07E29"/>
      </patternFill>
    </fill>
    <fill>
      <patternFill patternType="solid">
        <fgColor rgb="FF993300"/>
        <bgColor rgb="FF993366"/>
      </patternFill>
    </fill>
    <fill>
      <patternFill patternType="solid">
        <fgColor rgb="FF800000"/>
        <bgColor rgb="FF660066"/>
      </patternFill>
    </fill>
    <fill>
      <patternFill patternType="solid">
        <fgColor rgb="FF808000"/>
        <bgColor rgb="FF70A43D"/>
      </patternFill>
    </fill>
    <fill>
      <patternFill patternType="solid">
        <fgColor rgb="FF363607"/>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FD5"/>
        <bgColor rgb="FF345271"/>
      </patternFill>
    </fill>
    <fill>
      <patternFill patternType="solid">
        <fgColor rgb="FF487EE7"/>
        <bgColor rgb="FF666699"/>
      </patternFill>
    </fill>
    <fill>
      <patternFill patternType="solid">
        <fgColor rgb="FF003366"/>
        <bgColor rgb="FF003300"/>
      </patternFill>
    </fill>
    <fill>
      <patternFill patternType="solid">
        <fgColor rgb="FF0000C2"/>
        <bgColor rgb="FF0000FF"/>
      </patternFill>
    </fill>
    <fill>
      <patternFill patternType="solid">
        <fgColor rgb="FF00CCFF"/>
        <bgColor rgb="FF33CCCC"/>
      </patternFill>
    </fill>
    <fill>
      <patternFill patternType="solid">
        <fgColor rgb="FFC5CAC1"/>
        <bgColor rgb="FFB4C7E7"/>
      </patternFill>
    </fill>
    <fill>
      <patternFill patternType="solid">
        <fgColor rgb="FF00FFFF"/>
        <bgColor rgb="FF00CCFF"/>
      </patternFill>
    </fill>
    <fill>
      <patternFill patternType="solid">
        <fgColor rgb="FFE6F0EA"/>
        <bgColor rgb="FFE2F0D9"/>
      </patternFill>
    </fill>
    <fill>
      <patternFill patternType="solid">
        <fgColor rgb="FF70A43D"/>
        <bgColor rgb="FF808000"/>
      </patternFill>
    </fill>
    <fill>
      <patternFill patternType="solid">
        <fgColor rgb="FFFF99CC"/>
        <bgColor rgb="FFFF99FF"/>
      </patternFill>
    </fill>
    <fill>
      <patternFill patternType="darkGray">
        <fgColor rgb="FF353FD5"/>
        <bgColor rgb="FF035ADA"/>
      </patternFill>
    </fill>
    <fill>
      <patternFill patternType="solid">
        <fgColor rgb="FF66CCFF"/>
        <bgColor rgb="FF99CCFF"/>
      </patternFill>
    </fill>
    <fill>
      <patternFill patternType="darkGray">
        <fgColor rgb="FF0000C2"/>
        <bgColor rgb="FF0000FF"/>
      </patternFill>
    </fill>
    <fill>
      <patternFill patternType="solid">
        <fgColor rgb="FF92D050"/>
        <bgColor rgb="FF99CC00"/>
      </patternFill>
    </fill>
    <fill>
      <patternFill patternType="solid">
        <fgColor rgb="FF003300"/>
        <bgColor rgb="FF363607"/>
      </patternFill>
    </fill>
    <fill>
      <patternFill patternType="solid">
        <fgColor rgb="FF33CCCC"/>
        <bgColor rgb="FF66CCFF"/>
      </patternFill>
    </fill>
    <fill>
      <patternFill patternType="solid">
        <fgColor rgb="FFFF99FF"/>
        <bgColor rgb="FFFF99CC"/>
      </patternFill>
    </fill>
    <fill>
      <patternFill patternType="solid">
        <fgColor rgb="FFD9D9D9"/>
        <bgColor rgb="FFBDD7EE"/>
      </patternFill>
    </fill>
    <fill>
      <patternFill patternType="solid">
        <fgColor rgb="FFFFFF97"/>
        <bgColor rgb="FFFFFFCC"/>
      </patternFill>
    </fill>
    <fill>
      <patternFill patternType="solid">
        <fgColor rgb="FFBDD7EE"/>
        <bgColor rgb="FFCCCCFF"/>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5" fontId="7"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8" fontId="7" fillId="0" borderId="0" applyFont="true" applyBorder="false" applyAlignment="true" applyProtection="false">
      <alignment horizontal="general" vertical="bottom" textRotation="0" wrapText="false" indent="0" shrinkToFit="false"/>
    </xf>
    <xf numFmtId="164" fontId="63" fillId="0" borderId="0" applyFont="true" applyBorder="false" applyAlignment="true" applyProtection="false">
      <alignment horizontal="general" vertical="bottom" textRotation="0" wrapText="false" indent="0" shrinkToFit="false"/>
    </xf>
  </cellStyleXfs>
  <cellXfs count="8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false" applyProtection="false">
      <alignment horizontal="general" vertical="bottom" textRotation="0" wrapText="false" indent="0" shrinkToFit="false"/>
      <protection locked="true" hidden="false"/>
    </xf>
    <xf numFmtId="169" fontId="12" fillId="2" borderId="0" xfId="39" applyFont="true" applyBorder="false" applyAlignment="true" applyProtection="false">
      <alignment horizontal="left" vertical="bottom" textRotation="0" wrapText="false" indent="0" shrinkToFit="false"/>
      <protection locked="true" hidden="false"/>
    </xf>
    <xf numFmtId="164" fontId="11" fillId="2" borderId="0" xfId="47" applyFont="false" applyBorder="false" applyAlignment="false" applyProtection="false">
      <alignment horizontal="general" vertical="bottom" textRotation="0" wrapText="false" indent="0" shrinkToFit="false"/>
      <protection locked="true" hidden="false"/>
    </xf>
    <xf numFmtId="164" fontId="11" fillId="2" borderId="0" xfId="47" applyFont="false" applyBorder="true" applyAlignment="false" applyProtection="false">
      <alignment horizontal="general" vertical="bottom" textRotation="0" wrapText="false" indent="0" shrinkToFit="false"/>
      <protection locked="true" hidden="false"/>
    </xf>
    <xf numFmtId="164" fontId="11" fillId="2" borderId="0" xfId="39" applyFont="true" applyBorder="false" applyAlignment="false" applyProtection="false">
      <alignment horizontal="general" vertical="bottom" textRotation="0" wrapText="false" indent="0" shrinkToFit="false"/>
      <protection locked="true" hidden="false"/>
    </xf>
    <xf numFmtId="164" fontId="11" fillId="2" borderId="0" xfId="47" applyFont="true" applyBorder="true" applyAlignment="false" applyProtection="false">
      <alignment horizontal="general" vertical="bottom" textRotation="0" wrapText="false" indent="0" shrinkToFit="false"/>
      <protection locked="true" hidden="false"/>
    </xf>
    <xf numFmtId="164" fontId="4" fillId="3" borderId="0" xfId="39" applyFont="false" applyBorder="false" applyAlignment="false" applyProtection="false">
      <alignment horizontal="general" vertical="bottom" textRotation="0" wrapText="false" indent="0" shrinkToFit="false"/>
      <protection locked="true" hidden="false"/>
    </xf>
    <xf numFmtId="169" fontId="12" fillId="4" borderId="0" xfId="39" applyFont="true" applyBorder="false" applyAlignment="true" applyProtection="false">
      <alignment horizontal="left" vertical="bottom" textRotation="0" wrapText="false" indent="0" shrinkToFit="false"/>
      <protection locked="true" hidden="false"/>
    </xf>
    <xf numFmtId="164" fontId="11" fillId="4" borderId="0" xfId="47" applyFont="false" applyBorder="false" applyAlignment="false" applyProtection="false">
      <alignment horizontal="general" vertical="bottom" textRotation="0" wrapText="false" indent="0" shrinkToFit="false"/>
      <protection locked="true" hidden="false"/>
    </xf>
    <xf numFmtId="164" fontId="11" fillId="4" borderId="0" xfId="47" applyFont="false" applyBorder="true" applyAlignment="false" applyProtection="false">
      <alignment horizontal="general" vertical="bottom" textRotation="0" wrapText="false" indent="0" shrinkToFit="false"/>
      <protection locked="true" hidden="false"/>
    </xf>
    <xf numFmtId="164" fontId="11" fillId="4" borderId="0" xfId="47" applyFont="true" applyBorder="true" applyAlignment="false" applyProtection="false">
      <alignment horizontal="general" vertical="bottom" textRotation="0" wrapText="false" indent="0" shrinkToFit="false"/>
      <protection locked="true" hidden="false"/>
    </xf>
    <xf numFmtId="164" fontId="13" fillId="5" borderId="0" xfId="39" applyFont="true" applyBorder="false" applyAlignment="false" applyProtection="false">
      <alignment horizontal="general" vertical="bottom" textRotation="0" wrapText="false" indent="0" shrinkToFit="false"/>
      <protection locked="true" hidden="false"/>
    </xf>
    <xf numFmtId="164" fontId="4" fillId="0" borderId="1" xfId="39" applyFont="false" applyBorder="true" applyAlignment="false" applyProtection="false">
      <alignment horizontal="general" vertical="bottom" textRotation="0" wrapText="false" indent="0" shrinkToFit="false"/>
      <protection locked="true" hidden="false"/>
    </xf>
    <xf numFmtId="164" fontId="4" fillId="6" borderId="2" xfId="39" applyFont="false" applyBorder="true" applyAlignment="false" applyProtection="false">
      <alignment horizontal="general" vertical="bottom" textRotation="0" wrapText="false" indent="0" shrinkToFit="false"/>
      <protection locked="true" hidden="false"/>
    </xf>
    <xf numFmtId="164" fontId="4" fillId="6" borderId="3" xfId="39" applyFont="false" applyBorder="true" applyAlignment="false" applyProtection="false">
      <alignment horizontal="general" vertical="bottom" textRotation="0" wrapText="false" indent="0" shrinkToFit="false"/>
      <protection locked="true" hidden="false"/>
    </xf>
    <xf numFmtId="164" fontId="4" fillId="6" borderId="4" xfId="39" applyFont="false" applyBorder="true" applyAlignment="false" applyProtection="false">
      <alignment horizontal="general" vertical="bottom" textRotation="0" wrapText="false" indent="0" shrinkToFit="false"/>
      <protection locked="true" hidden="false"/>
    </xf>
    <xf numFmtId="164" fontId="4" fillId="7" borderId="0" xfId="39" applyFont="false" applyBorder="false" applyAlignment="false" applyProtection="false">
      <alignment horizontal="general" vertical="bottom" textRotation="0" wrapText="false" indent="0" shrinkToFit="false"/>
      <protection locked="true" hidden="false"/>
    </xf>
    <xf numFmtId="164" fontId="14" fillId="7" borderId="0" xfId="39" applyFont="true" applyBorder="false" applyAlignment="false" applyProtection="false">
      <alignment horizontal="general" vertical="bottom" textRotation="0" wrapText="false" indent="0" shrinkToFit="false"/>
      <protection locked="true" hidden="false"/>
    </xf>
    <xf numFmtId="164" fontId="15" fillId="8" borderId="5" xfId="39" applyFont="true" applyBorder="true" applyAlignment="true" applyProtection="false">
      <alignment horizontal="center" vertical="center" textRotation="0" wrapText="true" indent="0" shrinkToFit="false"/>
      <protection locked="true" hidden="false"/>
    </xf>
    <xf numFmtId="164" fontId="15" fillId="8" borderId="5" xfId="39" applyFont="true" applyBorder="true" applyAlignment="true" applyProtection="false">
      <alignment horizontal="left" vertical="top" textRotation="0" wrapText="true" indent="0" shrinkToFit="false"/>
      <protection locked="true" hidden="false"/>
    </xf>
    <xf numFmtId="164" fontId="15" fillId="8" borderId="5" xfId="39" applyFont="true" applyBorder="true" applyAlignment="true" applyProtection="false">
      <alignment horizontal="left" vertical="bottom" textRotation="0" wrapText="false" indent="0" shrinkToFit="false"/>
      <protection locked="true" hidden="false"/>
    </xf>
    <xf numFmtId="164" fontId="12" fillId="3" borderId="0" xfId="47" applyFont="true" applyBorder="true" applyAlignment="false" applyProtection="false">
      <alignment horizontal="general" vertical="bottom" textRotation="0" wrapText="false" indent="0" shrinkToFit="false"/>
      <protection locked="true" hidden="false"/>
    </xf>
    <xf numFmtId="164" fontId="11" fillId="3" borderId="0" xfId="47" applyFont="false" applyBorder="true" applyAlignment="false" applyProtection="false">
      <alignment horizontal="general" vertical="bottom" textRotation="0" wrapText="false" indent="0" shrinkToFit="false"/>
      <protection locked="true" hidden="false"/>
    </xf>
    <xf numFmtId="164" fontId="12" fillId="5" borderId="0" xfId="39" applyFont="true" applyBorder="false" applyAlignment="false" applyProtection="false">
      <alignment horizontal="general" vertical="bottom" textRotation="0" wrapText="false" indent="0" shrinkToFit="false"/>
      <protection locked="true" hidden="false"/>
    </xf>
    <xf numFmtId="164" fontId="14" fillId="6" borderId="6" xfId="39" applyFont="true" applyBorder="true" applyAlignment="false" applyProtection="false">
      <alignment horizontal="general" vertical="bottom" textRotation="0" wrapText="false" indent="0" shrinkToFit="false"/>
      <protection locked="true" hidden="false"/>
    </xf>
    <xf numFmtId="164" fontId="4" fillId="6" borderId="0" xfId="39" applyFont="false" applyBorder="true" applyAlignment="false" applyProtection="false">
      <alignment horizontal="general" vertical="bottom" textRotation="0" wrapText="false" indent="0" shrinkToFit="false"/>
      <protection locked="true" hidden="false"/>
    </xf>
    <xf numFmtId="164" fontId="4" fillId="6" borderId="1" xfId="39" applyFont="false" applyBorder="true" applyAlignment="false" applyProtection="false">
      <alignment horizontal="general" vertical="bottom" textRotation="0" wrapText="false" indent="0" shrinkToFit="false"/>
      <protection locked="true" hidden="false"/>
    </xf>
    <xf numFmtId="170" fontId="4" fillId="0" borderId="0" xfId="39" applyFont="false" applyBorder="false" applyAlignment="false" applyProtection="false">
      <alignment horizontal="general" vertical="bottom" textRotation="0" wrapText="false" indent="0" shrinkToFit="false"/>
      <protection locked="true" hidden="false"/>
    </xf>
    <xf numFmtId="170" fontId="16" fillId="0" borderId="0" xfId="39" applyFont="true" applyBorder="false" applyAlignment="true" applyProtection="false">
      <alignment horizontal="general" vertical="center" textRotation="0" wrapText="false" indent="0" shrinkToFit="false"/>
      <protection locked="true" hidden="false"/>
    </xf>
    <xf numFmtId="164" fontId="17" fillId="0" borderId="0" xfId="39" applyFont="true" applyBorder="true" applyAlignment="true" applyProtection="true">
      <alignment horizontal="center" vertical="bottom" textRotation="0" wrapText="false" indent="0" shrinkToFit="false"/>
      <protection locked="true" hidden="false"/>
    </xf>
    <xf numFmtId="164" fontId="18" fillId="0" borderId="0" xfId="39" applyFont="true" applyBorder="false" applyAlignment="true" applyProtection="false">
      <alignment horizontal="center" vertical="bottom" textRotation="0" wrapText="false" indent="0" shrinkToFit="false"/>
      <protection locked="true" hidden="false"/>
    </xf>
    <xf numFmtId="171" fontId="13" fillId="0" borderId="0" xfId="39" applyFont="true" applyBorder="false" applyAlignment="false" applyProtection="false">
      <alignment horizontal="general" vertical="bottom" textRotation="0" wrapText="false" indent="0" shrinkToFit="false"/>
      <protection locked="true" hidden="false"/>
    </xf>
    <xf numFmtId="171" fontId="4" fillId="0" borderId="0" xfId="39" applyFont="false" applyBorder="false" applyAlignment="false" applyProtection="false">
      <alignment horizontal="general" vertical="bottom" textRotation="0" wrapText="false" indent="0" shrinkToFit="false"/>
      <protection locked="true" hidden="false"/>
    </xf>
    <xf numFmtId="172" fontId="13" fillId="0" borderId="0" xfId="48" applyFont="true" applyBorder="true" applyAlignment="true" applyProtection="true">
      <alignment horizontal="general" vertical="bottom" textRotation="0" wrapText="false" indent="0" shrinkToFit="false"/>
      <protection locked="true" hidden="false"/>
    </xf>
    <xf numFmtId="164" fontId="11" fillId="2" borderId="0" xfId="47" applyFont="true" applyBorder="false" applyAlignment="false" applyProtection="false">
      <alignment horizontal="general" vertical="bottom" textRotation="0" wrapText="false" indent="0" shrinkToFit="false"/>
      <protection locked="true" hidden="false"/>
    </xf>
    <xf numFmtId="164" fontId="12" fillId="2" borderId="0" xfId="47" applyFont="true" applyBorder="true" applyAlignment="true" applyProtection="false">
      <alignment horizontal="center" vertical="bottom" textRotation="0" wrapText="false" indent="0" shrinkToFit="false"/>
      <protection locked="true" hidden="false"/>
    </xf>
    <xf numFmtId="164" fontId="12" fillId="3" borderId="0" xfId="47" applyFont="true" applyBorder="true" applyAlignment="true" applyProtection="false">
      <alignment horizontal="center" vertical="bottom" textRotation="0" wrapText="false" indent="0" shrinkToFit="false"/>
      <protection locked="true" hidden="false"/>
    </xf>
    <xf numFmtId="164" fontId="11" fillId="4" borderId="0" xfId="47" applyFont="true" applyBorder="false" applyAlignment="false" applyProtection="false">
      <alignment horizontal="general" vertical="bottom" textRotation="0" wrapText="false" indent="0" shrinkToFit="false"/>
      <protection locked="true" hidden="false"/>
    </xf>
    <xf numFmtId="164" fontId="12" fillId="4" borderId="0" xfId="47" applyFont="true" applyBorder="true" applyAlignment="true" applyProtection="false">
      <alignment horizontal="center" vertical="bottom" textRotation="0" wrapText="false" indent="0" shrinkToFit="false"/>
      <protection locked="true" hidden="false"/>
    </xf>
    <xf numFmtId="164" fontId="12" fillId="5" borderId="0" xfId="39" applyFont="true" applyBorder="false" applyAlignment="true" applyProtection="false">
      <alignment horizontal="center" vertical="bottom" textRotation="0" wrapText="false" indent="0" shrinkToFit="false"/>
      <protection locked="true" hidden="false"/>
    </xf>
    <xf numFmtId="164" fontId="4" fillId="0" borderId="7" xfId="39" applyFont="false" applyBorder="true" applyAlignment="false" applyProtection="false">
      <alignment horizontal="general" vertical="bottom" textRotation="0" wrapText="false" indent="0" shrinkToFit="false"/>
      <protection locked="true" hidden="false"/>
    </xf>
    <xf numFmtId="164" fontId="19" fillId="9" borderId="8" xfId="47" applyFont="true" applyBorder="true" applyAlignment="true" applyProtection="false">
      <alignment horizontal="center" vertical="center" textRotation="0" wrapText="false" indent="0" shrinkToFit="false"/>
      <protection locked="true" hidden="false"/>
    </xf>
    <xf numFmtId="164" fontId="19" fillId="9" borderId="9" xfId="47" applyFont="true" applyBorder="true" applyAlignment="true" applyProtection="false">
      <alignment horizontal="center" vertical="center" textRotation="0" wrapText="false" indent="0" shrinkToFit="false"/>
      <protection locked="true" hidden="false"/>
    </xf>
    <xf numFmtId="164" fontId="19" fillId="9" borderId="10" xfId="47" applyFont="true" applyBorder="true" applyAlignment="true" applyProtection="false">
      <alignment horizontal="center" vertical="center" textRotation="0" wrapText="false" indent="0" shrinkToFit="false"/>
      <protection locked="tru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true" applyBorder="false" applyAlignment="false" applyProtection="false">
      <alignment horizontal="general" vertical="bottom" textRotation="0" wrapText="false" indent="0" shrinkToFit="false"/>
      <protection locked="true" hidden="false"/>
    </xf>
    <xf numFmtId="169" fontId="4" fillId="2" borderId="0" xfId="39" applyFont="true" applyBorder="false" applyAlignment="true" applyProtection="false">
      <alignment horizontal="left" vertical="bottom" textRotation="0" wrapText="false" indent="0" shrinkToFit="false"/>
      <protection locked="true" hidden="false"/>
    </xf>
    <xf numFmtId="164" fontId="20" fillId="2" borderId="0" xfId="47" applyFont="true" applyBorder="true" applyAlignment="true" applyProtection="false">
      <alignment horizontal="right" vertical="bottom" textRotation="0" wrapText="false" indent="0" shrinkToFit="false"/>
      <protection locked="true" hidden="false"/>
    </xf>
    <xf numFmtId="164" fontId="20" fillId="3" borderId="0" xfId="47" applyFont="true" applyBorder="true" applyAlignment="true" applyProtection="false">
      <alignment horizontal="right" vertical="bottom" textRotation="0" wrapText="false" indent="0" shrinkToFit="false"/>
      <protection locked="true" hidden="false"/>
    </xf>
    <xf numFmtId="169" fontId="4" fillId="4" borderId="0" xfId="39" applyFont="true" applyBorder="false" applyAlignment="true" applyProtection="false">
      <alignment horizontal="left" vertical="bottom" textRotation="0" wrapText="false" indent="0" shrinkToFit="false"/>
      <protection locked="true" hidden="false"/>
    </xf>
    <xf numFmtId="164" fontId="20" fillId="4" borderId="0" xfId="47" applyFont="true" applyBorder="true" applyAlignment="true" applyProtection="false">
      <alignment horizontal="right" vertical="bottom" textRotation="0" wrapText="false" indent="0" shrinkToFit="false"/>
      <protection locked="true" hidden="false"/>
    </xf>
    <xf numFmtId="164" fontId="20" fillId="5" borderId="0" xfId="39" applyFont="true" applyBorder="false" applyAlignment="true" applyProtection="false">
      <alignment horizontal="right" vertical="bottom" textRotation="0" wrapText="false" indent="0" shrinkToFit="false"/>
      <protection locked="true" hidden="false"/>
    </xf>
    <xf numFmtId="164" fontId="15" fillId="10" borderId="6" xfId="47" applyFont="true" applyBorder="true" applyAlignment="true" applyProtection="false">
      <alignment horizontal="left" vertical="bottom" textRotation="0" wrapText="false" indent="0" shrinkToFit="false"/>
      <protection locked="true" hidden="false"/>
    </xf>
    <xf numFmtId="173" fontId="13" fillId="0" borderId="0" xfId="36" applyFont="true" applyBorder="true" applyAlignment="true" applyProtection="true">
      <alignment horizontal="general" vertical="bottom" textRotation="0" wrapText="false" indent="0" shrinkToFit="false"/>
      <protection locked="true" hidden="false"/>
    </xf>
    <xf numFmtId="173" fontId="13" fillId="0" borderId="1" xfId="36" applyFont="true" applyBorder="true" applyAlignment="true" applyProtection="true">
      <alignment horizontal="general" vertical="bottom" textRotation="0" wrapText="false" indent="0" shrinkToFit="false"/>
      <protection locked="true" hidden="false"/>
    </xf>
    <xf numFmtId="164" fontId="21" fillId="0" borderId="0" xfId="39" applyFont="true" applyBorder="false" applyAlignment="false" applyProtection="false">
      <alignment horizontal="general" vertical="bottom" textRotation="0" wrapText="false" indent="0" shrinkToFit="false"/>
      <protection locked="true" hidden="false"/>
    </xf>
    <xf numFmtId="164" fontId="17" fillId="0" borderId="0" xfId="39" applyFont="true" applyBorder="false" applyAlignment="true" applyProtection="true">
      <alignment horizontal="center" vertical="bottom" textRotation="0" wrapText="false" indent="0" shrinkToFit="false"/>
      <protection locked="true" hidden="false"/>
    </xf>
    <xf numFmtId="164" fontId="22" fillId="2" borderId="0" xfId="47" applyFont="true" applyBorder="false" applyAlignment="false" applyProtection="false">
      <alignment horizontal="general" vertical="bottom" textRotation="0" wrapText="false" indent="0" shrinkToFit="false"/>
      <protection locked="true" hidden="false"/>
    </xf>
    <xf numFmtId="164" fontId="22" fillId="2" borderId="0" xfId="39" applyFont="true" applyBorder="false" applyAlignment="false" applyProtection="false">
      <alignment horizontal="general" vertical="bottom" textRotation="0" wrapText="false" indent="0" shrinkToFit="false"/>
      <protection locked="true" hidden="false"/>
    </xf>
    <xf numFmtId="164" fontId="22" fillId="3" borderId="0" xfId="47" applyFont="true" applyBorder="false" applyAlignment="false" applyProtection="false">
      <alignment horizontal="general" vertical="bottom" textRotation="0" wrapText="false" indent="0" shrinkToFit="false"/>
      <protection locked="true" hidden="false"/>
    </xf>
    <xf numFmtId="164" fontId="22" fillId="4" borderId="0" xfId="47" applyFont="true" applyBorder="false" applyAlignment="false" applyProtection="false">
      <alignment horizontal="general" vertical="bottom" textRotation="0" wrapText="false" indent="0" shrinkToFit="false"/>
      <protection locked="true" hidden="false"/>
    </xf>
    <xf numFmtId="164" fontId="22" fillId="5"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true" applyAlignment="false" applyProtection="false">
      <alignment horizontal="general" vertical="bottom" textRotation="0" wrapText="false" indent="0" shrinkToFit="false"/>
      <protection locked="true" hidden="false"/>
    </xf>
    <xf numFmtId="164" fontId="4" fillId="0" borderId="11" xfId="39" applyFont="false" applyBorder="true" applyAlignment="false" applyProtection="false">
      <alignment horizontal="general" vertical="bottom" textRotation="0" wrapText="false" indent="0" shrinkToFit="false"/>
      <protection locked="true" hidden="false"/>
    </xf>
    <xf numFmtId="164" fontId="23" fillId="7" borderId="12" xfId="39" applyFont="true" applyBorder="true" applyAlignment="false" applyProtection="false">
      <alignment horizontal="general" vertical="bottom" textRotation="0" wrapText="false" indent="0" shrinkToFit="false"/>
      <protection locked="true" hidden="false"/>
    </xf>
    <xf numFmtId="164" fontId="23" fillId="7" borderId="13" xfId="39" applyFont="true" applyBorder="true" applyAlignment="false" applyProtection="false">
      <alignment horizontal="general" vertical="bottom" textRotation="0" wrapText="false" indent="0" shrinkToFit="false"/>
      <protection locked="true" hidden="false"/>
    </xf>
    <xf numFmtId="164" fontId="23" fillId="7" borderId="14" xfId="39" applyFont="true" applyBorder="true" applyAlignment="true" applyProtection="true">
      <alignment horizontal="center" vertical="bottom" textRotation="0" wrapText="false" indent="0" shrinkToFit="false"/>
      <protection locked="true" hidden="false"/>
    </xf>
    <xf numFmtId="164" fontId="23" fillId="7" borderId="13" xfId="39" applyFont="true" applyBorder="true" applyAlignment="true" applyProtection="true">
      <alignment horizontal="center" vertical="bottom" textRotation="0" wrapText="false" indent="0" shrinkToFit="false"/>
      <protection locked="true" hidden="false"/>
    </xf>
    <xf numFmtId="174" fontId="23" fillId="7" borderId="15" xfId="39" applyFont="true" applyBorder="true" applyAlignment="false" applyProtection="false">
      <alignment horizontal="general" vertical="bottom" textRotation="0" wrapText="false" indent="0" shrinkToFit="false"/>
      <protection locked="true" hidden="false"/>
    </xf>
    <xf numFmtId="174" fontId="23" fillId="7" borderId="0" xfId="39" applyFont="true" applyBorder="true" applyAlignment="false" applyProtection="false">
      <alignment horizontal="general" vertical="bottom" textRotation="0" wrapText="false" indent="0" shrinkToFit="false"/>
      <protection locked="true" hidden="false"/>
    </xf>
    <xf numFmtId="164" fontId="24" fillId="0" borderId="0" xfId="39" applyFont="true" applyBorder="false" applyAlignment="false" applyProtection="true">
      <alignment horizontal="general" vertical="bottom" textRotation="0" wrapText="false" indent="0" shrinkToFit="false"/>
      <protection locked="false" hidden="false"/>
    </xf>
    <xf numFmtId="164" fontId="25" fillId="0" borderId="0" xfId="39" applyFont="true" applyBorder="false" applyAlignment="false" applyProtection="true">
      <alignment horizontal="general" vertical="bottom" textRotation="0" wrapText="false" indent="0" shrinkToFit="false"/>
      <protection locked="false" hidden="false"/>
    </xf>
    <xf numFmtId="164" fontId="12" fillId="7" borderId="12" xfId="47" applyFont="true" applyBorder="true" applyAlignment="false" applyProtection="false">
      <alignment horizontal="general" vertical="bottom" textRotation="0" wrapText="false" indent="0" shrinkToFit="false"/>
      <protection locked="true" hidden="false"/>
    </xf>
    <xf numFmtId="164" fontId="4" fillId="7" borderId="13" xfId="39" applyFont="false" applyBorder="true" applyAlignment="false" applyProtection="false">
      <alignment horizontal="general" vertical="bottom" textRotation="0" wrapText="false" indent="0" shrinkToFit="false"/>
      <protection locked="true" hidden="false"/>
    </xf>
    <xf numFmtId="175" fontId="15" fillId="7" borderId="16" xfId="47" applyFont="true" applyBorder="true" applyAlignment="true" applyProtection="true">
      <alignment horizontal="center" vertical="bottom" textRotation="0" wrapText="false" indent="0" shrinkToFit="false"/>
      <protection locked="true" hidden="false"/>
    </xf>
    <xf numFmtId="164" fontId="13" fillId="7" borderId="13" xfId="39" applyFont="true" applyBorder="true" applyAlignment="false" applyProtection="false">
      <alignment horizontal="general" vertical="bottom" textRotation="0" wrapText="false" indent="0" shrinkToFit="false"/>
      <protection locked="true" hidden="false"/>
    </xf>
    <xf numFmtId="175" fontId="15" fillId="7" borderId="17" xfId="47" applyFont="true" applyBorder="true" applyAlignment="true" applyProtection="true">
      <alignment horizontal="center" vertical="bottom" textRotation="0" wrapText="false" indent="0" shrinkToFit="false"/>
      <protection locked="true" hidden="false"/>
    </xf>
    <xf numFmtId="175" fontId="15" fillId="7" borderId="18" xfId="47" applyFont="true" applyBorder="true" applyAlignment="true" applyProtection="true">
      <alignment horizontal="center" vertical="bottom" textRotation="0" wrapText="false" indent="0" shrinkToFit="false"/>
      <protection locked="true" hidden="false"/>
    </xf>
    <xf numFmtId="175" fontId="15" fillId="7" borderId="13" xfId="47" applyFont="true" applyBorder="true" applyAlignment="true" applyProtection="true">
      <alignment horizontal="center" vertical="bottom" textRotation="0" wrapText="false" indent="0" shrinkToFit="false"/>
      <protection locked="true" hidden="false"/>
    </xf>
    <xf numFmtId="175" fontId="15" fillId="7" borderId="17" xfId="39" applyFont="true" applyBorder="true" applyAlignment="true" applyProtection="false">
      <alignment horizontal="center" vertical="bottom" textRotation="0" wrapText="false" indent="0" shrinkToFit="false"/>
      <protection locked="true" hidden="false"/>
    </xf>
    <xf numFmtId="175" fontId="15" fillId="7" borderId="18" xfId="39" applyFont="true" applyBorder="true" applyAlignment="true" applyProtection="false">
      <alignment horizontal="center" vertical="bottom" textRotation="0" wrapText="false" indent="0" shrinkToFit="false"/>
      <protection locked="true" hidden="false"/>
    </xf>
    <xf numFmtId="164" fontId="14" fillId="0" borderId="19" xfId="39" applyFont="true" applyBorder="true" applyAlignment="false" applyProtection="false">
      <alignment horizontal="general" vertical="bottom" textRotation="0" wrapText="false" indent="0" shrinkToFit="false"/>
      <protection locked="true" hidden="false"/>
    </xf>
    <xf numFmtId="173" fontId="14" fillId="0" borderId="19" xfId="36" applyFont="true" applyBorder="true" applyAlignment="true" applyProtection="true">
      <alignment horizontal="general" vertical="bottom" textRotation="0" wrapText="false" indent="0" shrinkToFit="false"/>
      <protection locked="true" hidden="false"/>
    </xf>
    <xf numFmtId="173" fontId="14" fillId="0"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center" vertical="bottom" textRotation="0" wrapText="false" indent="0" shrinkToFit="false"/>
      <protection locked="true" hidden="false"/>
    </xf>
    <xf numFmtId="164" fontId="23" fillId="7" borderId="0" xfId="39" applyFont="true" applyBorder="true" applyAlignment="true" applyProtection="true">
      <alignment horizontal="center" vertical="bottom" textRotation="0" wrapText="false" indent="0" shrinkToFit="false"/>
      <protection locked="true" hidden="false"/>
    </xf>
    <xf numFmtId="174" fontId="23" fillId="7" borderId="1" xfId="39" applyFont="true" applyBorder="true" applyAlignment="true" applyProtection="true">
      <alignment horizontal="center" vertical="bottom" textRotation="0" wrapText="false" indent="0" shrinkToFit="false"/>
      <protection locked="true" hidden="false"/>
    </xf>
    <xf numFmtId="174" fontId="23" fillId="7" borderId="0" xfId="39" applyFont="true" applyBorder="true" applyAlignment="true" applyProtection="true">
      <alignment horizontal="center" vertical="bottom" textRotation="0" wrapText="false" indent="0" shrinkToFit="false"/>
      <protection locked="true" hidden="false"/>
    </xf>
    <xf numFmtId="164" fontId="26" fillId="0" borderId="0" xfId="39" applyFont="true" applyBorder="false" applyAlignment="false" applyProtection="true">
      <alignment horizontal="general" vertical="bottom" textRotation="0" wrapText="false" indent="0" shrinkToFit="false"/>
      <protection locked="false" hidden="false"/>
    </xf>
    <xf numFmtId="164" fontId="19" fillId="9" borderId="20" xfId="47" applyFont="true" applyBorder="true" applyAlignment="true" applyProtection="false">
      <alignment horizontal="center" vertical="center" textRotation="0" wrapText="false" indent="0" shrinkToFit="false"/>
      <protection locked="true" hidden="false"/>
    </xf>
    <xf numFmtId="175" fontId="19" fillId="9" borderId="21" xfId="47" applyFont="true" applyBorder="true" applyAlignment="true" applyProtection="true">
      <alignment horizontal="center" vertical="center" textRotation="0" wrapText="false" indent="0" shrinkToFit="false"/>
      <protection locked="true" hidden="false"/>
    </xf>
    <xf numFmtId="164" fontId="19" fillId="9" borderId="22" xfId="39" applyFont="true" applyBorder="true" applyAlignment="true" applyProtection="false">
      <alignment horizontal="center" vertical="center" textRotation="0" wrapText="false" indent="0" shrinkToFit="false"/>
      <protection locked="true" hidden="false"/>
    </xf>
    <xf numFmtId="175" fontId="19" fillId="9" borderId="23" xfId="47" applyFont="true" applyBorder="true" applyAlignment="true" applyProtection="true">
      <alignment horizontal="center" vertical="center" textRotation="0" wrapText="false" indent="0" shrinkToFit="false"/>
      <protection locked="true" hidden="false"/>
    </xf>
    <xf numFmtId="175" fontId="19" fillId="9" borderId="24" xfId="47" applyFont="true" applyBorder="true" applyAlignment="true" applyProtection="true">
      <alignment horizontal="center" vertical="center" textRotation="0" wrapText="false" indent="0" shrinkToFit="false"/>
      <protection locked="true" hidden="false"/>
    </xf>
    <xf numFmtId="175" fontId="19" fillId="9" borderId="0" xfId="47" applyFont="true" applyBorder="true" applyAlignment="true" applyProtection="true">
      <alignment horizontal="center" vertical="center" textRotation="0" wrapText="false" indent="0" shrinkToFit="false"/>
      <protection locked="true" hidden="false"/>
    </xf>
    <xf numFmtId="175" fontId="19" fillId="9" borderId="23" xfId="39" applyFont="true" applyBorder="true" applyAlignment="true" applyProtection="false">
      <alignment horizontal="center" vertical="center" textRotation="0" wrapText="false" indent="0" shrinkToFit="false"/>
      <protection locked="true" hidden="false"/>
    </xf>
    <xf numFmtId="175" fontId="19" fillId="9" borderId="24" xfId="39" applyFont="true" applyBorder="true" applyAlignment="true" applyProtection="false">
      <alignment horizontal="center" vertical="center" textRotation="0" wrapText="false" indent="0" shrinkToFit="false"/>
      <protection locked="true" hidden="false"/>
    </xf>
    <xf numFmtId="170" fontId="4" fillId="7" borderId="0" xfId="39" applyFont="false" applyBorder="false" applyAlignment="false" applyProtection="false">
      <alignment horizontal="general" vertical="bottom" textRotation="0" wrapText="false" indent="0" shrinkToFit="false"/>
      <protection locked="true" hidden="false"/>
    </xf>
    <xf numFmtId="164" fontId="14" fillId="0" borderId="24" xfId="39" applyFont="true" applyBorder="true" applyAlignment="false" applyProtection="false">
      <alignment horizontal="general" vertical="bottom" textRotation="0" wrapText="false" indent="0" shrinkToFit="false"/>
      <protection locked="true" hidden="false"/>
    </xf>
    <xf numFmtId="173" fontId="14" fillId="0" borderId="24"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false" applyProtection="false">
      <alignment horizontal="general" vertical="bottom" textRotation="0" wrapText="false" indent="0" shrinkToFit="false"/>
      <protection locked="true" hidden="false"/>
    </xf>
    <xf numFmtId="164" fontId="23" fillId="7" borderId="0" xfId="39" applyFont="true" applyBorder="true" applyAlignment="false" applyProtection="false">
      <alignment horizontal="general" vertical="bottom" textRotation="0" wrapText="false" indent="0" shrinkToFit="false"/>
      <protection locked="true" hidden="false"/>
    </xf>
    <xf numFmtId="174" fontId="23" fillId="7" borderId="1" xfId="39" applyFont="true" applyBorder="true" applyAlignment="false" applyProtection="false">
      <alignment horizontal="general" vertical="bottom" textRotation="0" wrapText="false" indent="0" shrinkToFit="false"/>
      <protection locked="true" hidden="false"/>
    </xf>
    <xf numFmtId="164" fontId="27" fillId="0" borderId="0" xfId="39" applyFont="true" applyBorder="false" applyAlignment="false" applyProtection="true">
      <alignment horizontal="general" vertical="bottom" textRotation="0" wrapText="false" indent="0" shrinkToFit="false"/>
      <protection locked="false" hidden="false"/>
    </xf>
    <xf numFmtId="164" fontId="15" fillId="7" borderId="25" xfId="47" applyFont="true" applyBorder="true" applyAlignment="true" applyProtection="false">
      <alignment horizontal="center" vertical="bottom" textRotation="0" wrapText="false" indent="0" shrinkToFit="false"/>
      <protection locked="true" hidden="false"/>
    </xf>
    <xf numFmtId="164" fontId="4" fillId="7" borderId="26" xfId="39" applyFont="false" applyBorder="true" applyAlignment="false" applyProtection="false">
      <alignment horizontal="general" vertical="bottom" textRotation="0" wrapText="false" indent="0" shrinkToFit="false"/>
      <protection locked="true" hidden="false"/>
    </xf>
    <xf numFmtId="164" fontId="4" fillId="7" borderId="27" xfId="39" applyFont="false" applyBorder="true" applyAlignment="false" applyProtection="false">
      <alignment horizontal="general" vertical="bottom" textRotation="0" wrapText="false" indent="0" shrinkToFit="false"/>
      <protection locked="true" hidden="false"/>
    </xf>
    <xf numFmtId="175" fontId="15" fillId="7" borderId="5" xfId="47" applyFont="true" applyBorder="true" applyAlignment="true" applyProtection="true">
      <alignment horizontal="center" vertical="bottom" textRotation="0" wrapText="false" indent="0" shrinkToFit="false"/>
      <protection locked="true" hidden="false"/>
    </xf>
    <xf numFmtId="164" fontId="13" fillId="7" borderId="22" xfId="39" applyFont="true" applyBorder="true" applyAlignment="false" applyProtection="false">
      <alignment horizontal="general" vertical="bottom" textRotation="0" wrapText="false" indent="0" shrinkToFit="false"/>
      <protection locked="true" hidden="false"/>
    </xf>
    <xf numFmtId="175" fontId="15" fillId="7" borderId="28" xfId="47" applyFont="true" applyBorder="true" applyAlignment="true" applyProtection="true">
      <alignment horizontal="center" vertical="bottom" textRotation="0" wrapText="false" indent="0" shrinkToFit="false"/>
      <protection locked="true" hidden="false"/>
    </xf>
    <xf numFmtId="175" fontId="15" fillId="7" borderId="29" xfId="47" applyFont="true" applyBorder="true" applyAlignment="true" applyProtection="true">
      <alignment horizontal="center" vertical="bottom" textRotation="0" wrapText="false" indent="0" shrinkToFit="false"/>
      <protection locked="true" hidden="false"/>
    </xf>
    <xf numFmtId="175" fontId="15" fillId="7" borderId="25" xfId="47" applyFont="true" applyBorder="true" applyAlignment="true" applyProtection="true">
      <alignment horizontal="center" vertical="bottom" textRotation="0" wrapText="false" indent="0" shrinkToFit="false"/>
      <protection locked="true" hidden="false"/>
    </xf>
    <xf numFmtId="175" fontId="15" fillId="7" borderId="29" xfId="39" applyFont="true" applyBorder="true" applyAlignment="true" applyProtection="false">
      <alignment horizontal="center" vertical="bottom" textRotation="0" wrapText="false" indent="0" shrinkToFit="false"/>
      <protection locked="true" hidden="false"/>
    </xf>
    <xf numFmtId="175" fontId="15" fillId="7" borderId="30" xfId="39" applyFont="true" applyBorder="true" applyAlignment="true" applyProtection="false">
      <alignment horizontal="center" vertical="bottom" textRotation="0" wrapText="false" indent="0" shrinkToFit="false"/>
      <protection locked="true" hidden="false"/>
    </xf>
    <xf numFmtId="164" fontId="4" fillId="0" borderId="31" xfId="39" applyFont="false" applyBorder="true" applyAlignment="false" applyProtection="false">
      <alignment horizontal="general" vertical="bottom" textRotation="0" wrapText="false" indent="0" shrinkToFit="false"/>
      <protection locked="true" hidden="false"/>
    </xf>
    <xf numFmtId="164" fontId="14" fillId="0" borderId="31" xfId="39" applyFont="true" applyBorder="true" applyAlignment="false" applyProtection="false">
      <alignment horizontal="general" vertical="bottom" textRotation="0" wrapText="false" indent="0" shrinkToFit="false"/>
      <protection locked="true" hidden="false"/>
    </xf>
    <xf numFmtId="164" fontId="23" fillId="5" borderId="6" xfId="39" applyFont="true" applyBorder="true" applyAlignment="true" applyProtection="true">
      <alignment horizontal="left" vertical="bottom" textRotation="0" wrapText="false" indent="0" shrinkToFit="false"/>
      <protection locked="true" hidden="false"/>
    </xf>
    <xf numFmtId="164" fontId="28" fillId="5" borderId="0" xfId="39" applyFont="true" applyBorder="true" applyAlignment="true" applyProtection="true">
      <alignment horizontal="left" vertical="bottom" textRotation="0" wrapText="false" indent="0" shrinkToFit="false"/>
      <protection locked="true" hidden="false"/>
    </xf>
    <xf numFmtId="173" fontId="28" fillId="5" borderId="0" xfId="36" applyFont="true" applyBorder="true" applyAlignment="true" applyProtection="true">
      <alignment horizontal="general" vertical="bottom" textRotation="0" wrapText="false" indent="0" shrinkToFit="false"/>
      <protection locked="true" hidden="false"/>
    </xf>
    <xf numFmtId="172" fontId="28" fillId="5" borderId="1" xfId="48" applyFont="true" applyBorder="true" applyAlignment="true" applyProtection="true">
      <alignment horizontal="general" vertical="bottom" textRotation="0" wrapText="false" indent="0" shrinkToFit="false"/>
      <protection locked="true" hidden="false"/>
    </xf>
    <xf numFmtId="172" fontId="28" fillId="5" borderId="0" xfId="48" applyFont="true" applyBorder="true" applyAlignment="true" applyProtection="true">
      <alignment horizontal="general" vertical="bottom" textRotation="0" wrapText="false" indent="0" shrinkToFit="false"/>
      <protection locked="true" hidden="false"/>
    </xf>
    <xf numFmtId="164" fontId="29" fillId="0" borderId="0" xfId="39" applyFont="true" applyBorder="false" applyAlignment="false" applyProtection="true">
      <alignment horizontal="general" vertical="bottom" textRotation="0" wrapText="false" indent="0" shrinkToFit="false"/>
      <protection locked="false" hidden="false"/>
    </xf>
    <xf numFmtId="164" fontId="15" fillId="10" borderId="0" xfId="47" applyFont="true" applyBorder="true" applyAlignment="true" applyProtection="false">
      <alignment horizontal="left" vertical="bottom" textRotation="0" wrapText="false" indent="0" shrinkToFit="false"/>
      <protection locked="true" hidden="false"/>
    </xf>
    <xf numFmtId="164" fontId="18" fillId="10" borderId="0" xfId="47" applyFont="true" applyBorder="true" applyAlignment="true" applyProtection="false">
      <alignment horizontal="left" vertical="bottom" textRotation="0" wrapText="false" indent="0" shrinkToFit="false"/>
      <protection locked="true" hidden="false"/>
    </xf>
    <xf numFmtId="164" fontId="0" fillId="10" borderId="0" xfId="47" applyFont="true" applyBorder="true" applyAlignment="true" applyProtection="false">
      <alignment horizontal="left" vertical="bottom" textRotation="0" wrapText="false" indent="0" shrinkToFit="false"/>
      <protection locked="true" hidden="false"/>
    </xf>
    <xf numFmtId="176" fontId="15" fillId="10" borderId="21" xfId="47" applyFont="true" applyBorder="true" applyAlignment="false" applyProtection="true">
      <alignment horizontal="general" vertical="bottom" textRotation="0" wrapText="false" indent="0" shrinkToFit="false"/>
      <protection locked="true" hidden="false"/>
    </xf>
    <xf numFmtId="176" fontId="15" fillId="11" borderId="32" xfId="47" applyFont="true" applyBorder="true" applyAlignment="false" applyProtection="true">
      <alignment horizontal="general" vertical="bottom" textRotation="0" wrapText="false" indent="0" shrinkToFit="false"/>
      <protection locked="true" hidden="false"/>
    </xf>
    <xf numFmtId="175"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23" xfId="47" applyFont="true" applyBorder="true" applyAlignment="false" applyProtection="true">
      <alignment horizontal="general" vertical="bottom" textRotation="0" wrapText="false" indent="0" shrinkToFit="false"/>
      <protection locked="true" hidden="false"/>
    </xf>
    <xf numFmtId="177" fontId="15" fillId="11" borderId="21" xfId="47" applyFont="true" applyBorder="true" applyAlignment="true" applyProtection="true">
      <alignment horizontal="center" vertical="bottom" textRotation="0" wrapText="false" indent="0" shrinkToFit="false"/>
      <protection locked="true" hidden="false"/>
    </xf>
    <xf numFmtId="177" fontId="15" fillId="7" borderId="33" xfId="47" applyFont="true" applyBorder="true" applyAlignment="true" applyProtection="true">
      <alignment horizontal="center" vertical="bottom" textRotation="0" wrapText="false" indent="0" shrinkToFit="false"/>
      <protection locked="true" hidden="false"/>
    </xf>
    <xf numFmtId="171" fontId="15" fillId="7" borderId="21" xfId="47" applyFont="true" applyBorder="true" applyAlignment="true" applyProtection="true">
      <alignment horizontal="center" vertical="bottom" textRotation="0" wrapText="false" indent="0" shrinkToFit="false"/>
      <protection locked="true" hidden="false"/>
    </xf>
    <xf numFmtId="173" fontId="15" fillId="10" borderId="0" xfId="47" applyFont="true" applyBorder="true" applyAlignment="false" applyProtection="true">
      <alignment horizontal="general" vertical="bottom" textRotation="0" wrapText="false" indent="0" shrinkToFit="false"/>
      <protection locked="true" hidden="false"/>
    </xf>
    <xf numFmtId="173" fontId="15" fillId="10" borderId="21" xfId="47" applyFont="true" applyBorder="true" applyAlignment="false" applyProtection="true">
      <alignment horizontal="general" vertical="bottom" textRotation="0" wrapText="false" indent="0" shrinkToFit="false"/>
      <protection locked="true" hidden="false"/>
    </xf>
    <xf numFmtId="173" fontId="15" fillId="11" borderId="32" xfId="36" applyFont="true" applyBorder="true" applyAlignment="true" applyProtection="true">
      <alignment horizontal="center" vertical="bottom" textRotation="0" wrapText="false" indent="0" shrinkToFit="false"/>
      <protection locked="true" hidden="false"/>
    </xf>
    <xf numFmtId="173" fontId="15" fillId="11" borderId="34" xfId="36" applyFont="true" applyBorder="true" applyAlignment="true" applyProtection="true">
      <alignment horizontal="center" vertical="bottom" textRotation="0" wrapText="false" indent="0" shrinkToFit="false"/>
      <protection locked="true" hidden="false"/>
    </xf>
    <xf numFmtId="173" fontId="15" fillId="7" borderId="23" xfId="36" applyFont="true" applyBorder="true" applyAlignment="true" applyProtection="true">
      <alignment horizontal="center" vertical="bottom" textRotation="0" wrapText="false" indent="0" shrinkToFit="false"/>
      <protection locked="true" hidden="false"/>
    </xf>
    <xf numFmtId="177" fontId="15" fillId="11" borderId="21" xfId="39" applyFont="true" applyBorder="true" applyAlignment="true" applyProtection="false">
      <alignment horizontal="center" vertical="bottom" textRotation="0" wrapText="false" indent="0" shrinkToFit="false"/>
      <protection locked="true" hidden="false"/>
    </xf>
    <xf numFmtId="177" fontId="15" fillId="11" borderId="22" xfId="39" applyFont="true" applyBorder="true" applyAlignment="true" applyProtection="false">
      <alignment horizontal="center" vertical="bottom" textRotation="0" wrapText="false" indent="0" shrinkToFit="false"/>
      <protection locked="true" hidden="false"/>
    </xf>
    <xf numFmtId="177" fontId="15" fillId="7" borderId="21" xfId="39" applyFont="true" applyBorder="true" applyAlignment="true" applyProtection="false">
      <alignment horizontal="center" vertical="bottom" textRotation="0" wrapText="false" indent="0" shrinkToFit="false"/>
      <protection locked="true" hidden="false"/>
    </xf>
    <xf numFmtId="164" fontId="4" fillId="7" borderId="12" xfId="39" applyFont="false" applyBorder="true" applyAlignment="false" applyProtection="false">
      <alignment horizontal="general" vertical="bottom" textRotation="0" wrapText="false" indent="0" shrinkToFit="false"/>
      <protection locked="true" hidden="false"/>
    </xf>
    <xf numFmtId="164" fontId="14" fillId="7" borderId="13" xfId="39" applyFont="true" applyBorder="true" applyAlignment="false" applyProtection="false">
      <alignment horizontal="general" vertical="bottom" textRotation="0" wrapText="false" indent="0" shrinkToFit="false"/>
      <protection locked="true" hidden="false"/>
    </xf>
    <xf numFmtId="164" fontId="4" fillId="7" borderId="15" xfId="39" applyFont="false" applyBorder="true" applyAlignment="false" applyProtection="false">
      <alignment horizontal="general" vertical="bottom" textRotation="0" wrapText="false" indent="0" shrinkToFit="false"/>
      <protection locked="true" hidden="false"/>
    </xf>
    <xf numFmtId="164" fontId="14" fillId="7" borderId="12" xfId="39" applyFont="true" applyBorder="true" applyAlignment="false" applyProtection="false">
      <alignment horizontal="general" vertical="bottom" textRotation="0" wrapText="false" indent="0" shrinkToFit="false"/>
      <protection locked="true" hidden="false"/>
    </xf>
    <xf numFmtId="164" fontId="14" fillId="7" borderId="18" xfId="39" applyFont="true" applyBorder="true" applyAlignment="false" applyProtection="false">
      <alignment horizontal="general" vertical="bottom" textRotation="0" wrapText="false" indent="0" shrinkToFit="false"/>
      <protection locked="true" hidden="false"/>
    </xf>
    <xf numFmtId="164" fontId="14" fillId="7" borderId="0" xfId="39" applyFont="true" applyBorder="true" applyAlignment="false" applyProtection="false">
      <alignment horizontal="general" vertical="bottom" textRotation="0" wrapText="false" indent="0" shrinkToFit="false"/>
      <protection locked="true" hidden="false"/>
    </xf>
    <xf numFmtId="173" fontId="14" fillId="7" borderId="18" xfId="36" applyFont="true" applyBorder="true" applyAlignment="true" applyProtection="true">
      <alignment horizontal="general" vertical="bottom" textRotation="0" wrapText="false" indent="0" shrinkToFit="false"/>
      <protection locked="true" hidden="false"/>
    </xf>
    <xf numFmtId="173" fontId="14" fillId="7"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left" vertical="bottom" textRotation="0" wrapText="false" indent="0" shrinkToFit="false"/>
      <protection locked="true" hidden="false"/>
    </xf>
    <xf numFmtId="164" fontId="28" fillId="7" borderId="0" xfId="39" applyFont="true" applyBorder="true" applyAlignment="true" applyProtection="true">
      <alignment horizontal="left" vertical="bottom" textRotation="0" wrapText="false" indent="0" shrinkToFit="false"/>
      <protection locked="true" hidden="false"/>
    </xf>
    <xf numFmtId="173" fontId="28" fillId="7" borderId="0" xfId="36" applyFont="true" applyBorder="true" applyAlignment="true" applyProtection="true">
      <alignment horizontal="general" vertical="bottom" textRotation="0" wrapText="false" indent="0" shrinkToFit="false"/>
      <protection locked="true" hidden="false"/>
    </xf>
    <xf numFmtId="172" fontId="28" fillId="7" borderId="1" xfId="48" applyFont="true" applyBorder="true" applyAlignment="true" applyProtection="true">
      <alignment horizontal="general" vertical="bottom" textRotation="0" wrapText="false" indent="0" shrinkToFit="false"/>
      <protection locked="true" hidden="false"/>
    </xf>
    <xf numFmtId="172" fontId="28" fillId="7" borderId="0" xfId="48" applyFont="true" applyBorder="true" applyAlignment="true" applyProtection="true">
      <alignment horizontal="general" vertical="bottom" textRotation="0" wrapText="false" indent="0" shrinkToFit="false"/>
      <protection locked="true" hidden="false"/>
    </xf>
    <xf numFmtId="164" fontId="30" fillId="0" borderId="0" xfId="39" applyFont="true" applyBorder="false" applyAlignment="false" applyProtection="true">
      <alignment horizontal="general" vertical="bottom" textRotation="0" wrapText="false" indent="0" shrinkToFit="false"/>
      <protection locked="false" hidden="false"/>
    </xf>
    <xf numFmtId="176"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1" xfId="47" applyFont="true" applyBorder="true" applyAlignment="false" applyProtection="true">
      <alignment horizontal="general" vertical="bottom" textRotation="0" wrapText="false" indent="0" shrinkToFit="false"/>
      <protection locked="true" hidden="false"/>
    </xf>
    <xf numFmtId="177" fontId="15" fillId="7" borderId="34" xfId="47" applyFont="true" applyBorder="true" applyAlignment="true" applyProtection="true">
      <alignment horizontal="center" vertical="bottom" textRotation="0" wrapText="false" indent="0" shrinkToFit="false"/>
      <protection locked="true" hidden="false"/>
    </xf>
    <xf numFmtId="177" fontId="15" fillId="7" borderId="32" xfId="39" applyFont="true" applyBorder="true" applyAlignment="true" applyProtection="false">
      <alignment horizontal="center" vertical="bottom" textRotation="0" wrapText="false" indent="0" shrinkToFit="false"/>
      <protection locked="true" hidden="false"/>
    </xf>
    <xf numFmtId="164" fontId="4" fillId="7" borderId="6" xfId="39" applyFont="false" applyBorder="true" applyAlignment="false" applyProtection="false">
      <alignment horizontal="general" vertical="bottom" textRotation="0" wrapText="false" indent="0" shrinkToFit="false"/>
      <protection locked="true" hidden="false"/>
    </xf>
    <xf numFmtId="164" fontId="14" fillId="0" borderId="0" xfId="39" applyFont="true" applyBorder="true" applyAlignment="false" applyProtection="false">
      <alignment horizontal="general" vertical="bottom" textRotation="0" wrapText="false" indent="0" shrinkToFit="false"/>
      <protection locked="true" hidden="false"/>
    </xf>
    <xf numFmtId="164" fontId="4" fillId="7" borderId="1" xfId="39" applyFont="false" applyBorder="true" applyAlignment="false" applyProtection="false">
      <alignment horizontal="general" vertical="bottom" textRotation="0" wrapText="false" indent="0" shrinkToFit="false"/>
      <protection locked="true" hidden="false"/>
    </xf>
    <xf numFmtId="164" fontId="4" fillId="7" borderId="0" xfId="39" applyFont="true" applyBorder="true" applyAlignment="false" applyProtection="false">
      <alignment horizontal="general" vertical="bottom" textRotation="0" wrapText="false" indent="0" shrinkToFit="false"/>
      <protection locked="true" hidden="false"/>
    </xf>
    <xf numFmtId="164" fontId="14" fillId="7" borderId="21" xfId="39" applyFont="true" applyBorder="true" applyAlignment="false" applyProtection="false">
      <alignment horizontal="general" vertical="bottom" textRotation="0" wrapText="false" indent="0" shrinkToFit="false"/>
      <protection locked="true" hidden="false"/>
    </xf>
    <xf numFmtId="164" fontId="4" fillId="7" borderId="21" xfId="39" applyFont="true" applyBorder="true" applyAlignment="false" applyProtection="false">
      <alignment horizontal="general" vertical="bottom" textRotation="0" wrapText="false" indent="0" shrinkToFit="false"/>
      <protection locked="true" hidden="false"/>
    </xf>
    <xf numFmtId="164" fontId="4" fillId="7" borderId="24" xfId="39" applyFont="false" applyBorder="true" applyAlignment="false" applyProtection="false">
      <alignment horizontal="general" vertical="bottom" textRotation="0" wrapText="false" indent="0" shrinkToFit="false"/>
      <protection locked="true" hidden="false"/>
    </xf>
    <xf numFmtId="173" fontId="14" fillId="7" borderId="31" xfId="36" applyFont="true" applyBorder="true" applyAlignment="true" applyProtection="true">
      <alignment horizontal="general" vertical="bottom" textRotation="0" wrapText="false" indent="0" shrinkToFit="false"/>
      <protection locked="true" hidden="false"/>
    </xf>
    <xf numFmtId="164" fontId="17" fillId="0" borderId="35" xfId="39" applyFont="true" applyBorder="true" applyAlignment="false" applyProtection="false">
      <alignment horizontal="general" vertical="bottom" textRotation="0" wrapText="false" indent="0" shrinkToFit="false"/>
      <protection locked="true" hidden="false"/>
    </xf>
    <xf numFmtId="164" fontId="17" fillId="0" borderId="36" xfId="39" applyFont="true" applyBorder="true" applyAlignment="false" applyProtection="false">
      <alignment horizontal="general" vertical="bottom" textRotation="0" wrapText="false" indent="0" shrinkToFit="false"/>
      <protection locked="true" hidden="false"/>
    </xf>
    <xf numFmtId="164" fontId="17" fillId="0" borderId="37" xfId="39" applyFont="true" applyBorder="true" applyAlignment="false" applyProtection="false">
      <alignment horizontal="general" vertical="bottom" textRotation="0" wrapText="false" indent="0" shrinkToFit="false"/>
      <protection locked="true" hidden="false"/>
    </xf>
    <xf numFmtId="164" fontId="17" fillId="0" borderId="38" xfId="39" applyFont="true" applyBorder="true" applyAlignment="false" applyProtection="false">
      <alignment horizontal="general" vertical="bottom" textRotation="0" wrapText="false" indent="0" shrinkToFit="false"/>
      <protection locked="true" hidden="false"/>
    </xf>
    <xf numFmtId="164" fontId="17" fillId="0" borderId="39" xfId="39" applyFont="true" applyBorder="true" applyAlignment="false" applyProtection="false">
      <alignment horizontal="general" vertical="bottom" textRotation="0" wrapText="fals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5" fontId="29" fillId="0" borderId="0" xfId="36" applyFont="true" applyBorder="true" applyAlignment="true" applyProtection="true">
      <alignment horizontal="general" vertical="bottom" textRotation="0" wrapText="false" indent="0" shrinkToFit="false"/>
      <protection locked="false" hidden="false"/>
    </xf>
    <xf numFmtId="178" fontId="4" fillId="0" borderId="0" xfId="39" applyFont="true" applyBorder="false" applyAlignment="false" applyProtection="true">
      <alignment horizontal="general" vertical="bottom" textRotation="0" wrapText="false" indent="0" shrinkToFit="false"/>
      <protection locked="false" hidden="false"/>
    </xf>
    <xf numFmtId="173" fontId="15" fillId="11" borderId="21" xfId="36" applyFont="true" applyBorder="true" applyAlignment="true" applyProtection="true">
      <alignment horizontal="center" vertical="bottom" textRotation="0" wrapText="false" indent="0" shrinkToFit="false"/>
      <protection locked="true" hidden="false"/>
    </xf>
    <xf numFmtId="173" fontId="15" fillId="11" borderId="33" xfId="36" applyFont="true" applyBorder="true" applyAlignment="true" applyProtection="true">
      <alignment horizontal="center" vertical="bottom" textRotation="0" wrapText="false" indent="0" shrinkToFit="false"/>
      <protection locked="true" hidden="false"/>
    </xf>
    <xf numFmtId="164" fontId="17" fillId="0" borderId="40" xfId="39" applyFont="true" applyBorder="true" applyAlignment="true" applyProtection="true">
      <alignment horizontal="general" vertical="bottom" textRotation="0" wrapText="false" indent="0" shrinkToFit="false"/>
      <protection locked="true" hidden="false"/>
    </xf>
    <xf numFmtId="164" fontId="17" fillId="0" borderId="21" xfId="39" applyFont="true" applyBorder="true" applyAlignment="true" applyProtection="true">
      <alignment horizontal="center" vertical="bottom" textRotation="0" wrapText="false" indent="0" shrinkToFit="false"/>
      <protection locked="true" hidden="false"/>
    </xf>
    <xf numFmtId="164" fontId="17" fillId="0" borderId="33" xfId="39" applyFont="true" applyBorder="true" applyAlignment="true" applyProtection="true">
      <alignment horizontal="center" vertical="bottom" textRotation="0" wrapText="false" indent="0" shrinkToFit="false"/>
      <protection locked="true" hidden="false"/>
    </xf>
    <xf numFmtId="164" fontId="17" fillId="0" borderId="41" xfId="39" applyFont="true" applyBorder="true" applyAlignment="true" applyProtection="true">
      <alignment horizontal="center" vertical="bottom" textRotation="0" wrapText="false" indent="0" shrinkToFit="false"/>
      <protection locked="true" hidden="false"/>
    </xf>
    <xf numFmtId="171" fontId="4" fillId="0" borderId="0" xfId="39" applyFont="true" applyBorder="false" applyAlignment="false" applyProtection="true">
      <alignment horizontal="general" vertical="bottom" textRotation="0" wrapText="false" indent="0" shrinkToFit="false"/>
      <protection locked="false" hidden="false"/>
    </xf>
    <xf numFmtId="173" fontId="4" fillId="0" borderId="0" xfId="39" applyFont="false" applyBorder="false" applyAlignment="false" applyProtection="false">
      <alignment horizontal="general" vertical="bottom" textRotation="0" wrapText="false" indent="0" shrinkToFit="false"/>
      <protection locked="true" hidden="false"/>
    </xf>
    <xf numFmtId="164" fontId="4" fillId="7" borderId="42" xfId="39" applyFont="true" applyBorder="true" applyAlignment="false" applyProtection="false">
      <alignment horizontal="general" vertical="bottom" textRotation="0" wrapText="false" indent="0" shrinkToFit="false"/>
      <protection locked="true" hidden="false"/>
    </xf>
    <xf numFmtId="164" fontId="4" fillId="7" borderId="5" xfId="39" applyFont="true" applyBorder="true" applyAlignment="false" applyProtection="false">
      <alignment horizontal="general" vertical="bottom" textRotation="0" wrapText="false" indent="0" shrinkToFit="false"/>
      <protection locked="true" hidden="false"/>
    </xf>
    <xf numFmtId="164" fontId="4" fillId="7" borderId="30" xfId="39" applyFont="true" applyBorder="true" applyAlignment="false" applyProtection="false">
      <alignment horizontal="general" vertical="bottom" textRotation="0" wrapText="false" indent="0" shrinkToFit="false"/>
      <protection locked="true" hidden="false"/>
    </xf>
    <xf numFmtId="164" fontId="14" fillId="7" borderId="5" xfId="39" applyFont="true" applyBorder="true" applyAlignment="false" applyProtection="false">
      <alignment horizontal="general" vertical="bottom" textRotation="0" wrapText="false" indent="0" shrinkToFit="false"/>
      <protection locked="true" hidden="false"/>
    </xf>
    <xf numFmtId="164" fontId="4" fillId="7" borderId="25" xfId="39" applyFont="true" applyBorder="true" applyAlignment="false" applyProtection="false">
      <alignment horizontal="general" vertical="bottom" textRotation="0" wrapText="false" indent="0" shrinkToFit="false"/>
      <protection locked="true" hidden="false"/>
    </xf>
    <xf numFmtId="164" fontId="4" fillId="7" borderId="29" xfId="39" applyFont="false" applyBorder="true" applyAlignment="false" applyProtection="false">
      <alignment horizontal="general" vertical="bottom" textRotation="0" wrapText="false" indent="0" shrinkToFit="false"/>
      <protection locked="true" hidden="false"/>
    </xf>
    <xf numFmtId="164" fontId="17" fillId="0" borderId="40"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true" applyProtection="false">
      <alignment horizontal="center" vertical="bottom" textRotation="0" wrapText="false" indent="0" shrinkToFit="false"/>
      <protection locked="true" hidden="false"/>
    </xf>
    <xf numFmtId="164" fontId="17" fillId="0" borderId="21" xfId="39" applyFont="true" applyBorder="true" applyAlignment="true" applyProtection="false">
      <alignment horizontal="center" vertical="bottom" textRotation="0" wrapText="false" indent="0" shrinkToFit="false"/>
      <protection locked="true" hidden="false"/>
    </xf>
    <xf numFmtId="175" fontId="15" fillId="10" borderId="21" xfId="47" applyFont="true" applyBorder="true" applyAlignment="false" applyProtection="true">
      <alignment horizontal="general" vertical="bottom" textRotation="0" wrapText="false" indent="0" shrinkToFit="false"/>
      <protection locked="true" hidden="false"/>
    </xf>
    <xf numFmtId="164" fontId="4" fillId="7" borderId="20" xfId="39" applyFont="false" applyBorder="true" applyAlignment="false" applyProtection="false">
      <alignment horizontal="general" vertical="bottom" textRotation="0" wrapText="false" indent="0" shrinkToFit="false"/>
      <protection locked="true" hidden="false"/>
    </xf>
    <xf numFmtId="164" fontId="17" fillId="0" borderId="21"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false" applyProtection="false">
      <alignment horizontal="general" vertical="bottom" textRotation="0" wrapText="false" indent="0" shrinkToFit="false"/>
      <protection locked="true" hidden="false"/>
    </xf>
    <xf numFmtId="164" fontId="17" fillId="0" borderId="41" xfId="39" applyFont="true" applyBorder="true" applyAlignment="false" applyProtection="false">
      <alignment horizontal="general" vertical="bottom" textRotation="0" wrapText="false" indent="0" shrinkToFit="false"/>
      <protection locked="true" hidden="false"/>
    </xf>
    <xf numFmtId="164" fontId="31" fillId="0" borderId="18" xfId="39" applyFont="true" applyBorder="true" applyAlignment="false" applyProtection="false">
      <alignment horizontal="general" vertical="bottom" textRotation="0" wrapText="false" indent="0" shrinkToFit="false"/>
      <protection locked="true" hidden="false"/>
    </xf>
    <xf numFmtId="173" fontId="14" fillId="7" borderId="20" xfId="36" applyFont="true" applyBorder="true" applyAlignment="true" applyProtection="true">
      <alignment horizontal="general" vertical="bottom" textRotation="0" wrapText="false" indent="0" shrinkToFit="false"/>
      <protection locked="true" hidden="false"/>
    </xf>
    <xf numFmtId="173" fontId="14" fillId="7" borderId="21" xfId="36" applyFont="true" applyBorder="true" applyAlignment="true" applyProtection="true">
      <alignment horizontal="general" vertical="bottom" textRotation="0" wrapText="false" indent="0" shrinkToFit="false"/>
      <protection locked="true" hidden="false"/>
    </xf>
    <xf numFmtId="173" fontId="14" fillId="7" borderId="1" xfId="36" applyFont="true" applyBorder="true" applyAlignment="true" applyProtection="true">
      <alignment horizontal="general" vertical="bottom" textRotation="0" wrapText="false" indent="0" shrinkToFit="false"/>
      <protection locked="true" hidden="false"/>
    </xf>
    <xf numFmtId="173" fontId="14" fillId="7" borderId="6" xfId="36" applyFont="true" applyBorder="true" applyAlignment="true" applyProtection="true">
      <alignment horizontal="general" vertical="bottom" textRotation="0" wrapText="false" indent="0" shrinkToFit="false"/>
      <protection locked="true" hidden="false"/>
    </xf>
    <xf numFmtId="173" fontId="14" fillId="7" borderId="24" xfId="36" applyFont="true" applyBorder="true" applyAlignment="true" applyProtection="true">
      <alignment horizontal="general" vertical="bottom" textRotation="0" wrapText="false" indent="0" shrinkToFit="false"/>
      <protection locked="true" hidden="false"/>
    </xf>
    <xf numFmtId="164" fontId="17" fillId="0" borderId="43" xfId="39" applyFont="true" applyBorder="true" applyAlignment="false" applyProtection="false">
      <alignment horizontal="general" vertical="bottom" textRotation="0" wrapText="false" indent="0" shrinkToFit="false"/>
      <protection locked="true" hidden="false"/>
    </xf>
    <xf numFmtId="164" fontId="17" fillId="0" borderId="26" xfId="39" applyFont="true" applyBorder="true" applyAlignment="false" applyProtection="false">
      <alignment horizontal="general" vertical="bottom" textRotation="0" wrapText="false" indent="0" shrinkToFit="false"/>
      <protection locked="true" hidden="false"/>
    </xf>
    <xf numFmtId="164" fontId="17" fillId="0" borderId="5" xfId="39" applyFont="true" applyBorder="true" applyAlignment="false" applyProtection="false">
      <alignment horizontal="general" vertical="bottom" textRotation="0" wrapText="false" indent="0" shrinkToFit="false"/>
      <protection locked="true" hidden="false"/>
    </xf>
    <xf numFmtId="164" fontId="17" fillId="0" borderId="44" xfId="39" applyFont="true" applyBorder="true" applyAlignment="false" applyProtection="false">
      <alignment horizontal="general" vertical="bottom" textRotation="0" wrapText="false" indent="0" shrinkToFit="false"/>
      <protection locked="true" hidden="false"/>
    </xf>
    <xf numFmtId="164" fontId="17" fillId="0" borderId="45" xfId="39" applyFont="true" applyBorder="true" applyAlignment="false" applyProtection="false">
      <alignment horizontal="general" vertical="bottom" textRotation="0" wrapText="false" indent="0" shrinkToFit="false"/>
      <protection locked="true" hidden="false"/>
    </xf>
    <xf numFmtId="164" fontId="32" fillId="0" borderId="24" xfId="39" applyFont="true" applyBorder="true" applyAlignment="false" applyProtection="false">
      <alignment horizontal="general" vertical="bottom" textRotation="0" wrapText="false" indent="0" shrinkToFit="false"/>
      <protection locked="true" hidden="false"/>
    </xf>
    <xf numFmtId="173" fontId="33" fillId="7" borderId="21" xfId="36" applyFont="true" applyBorder="true" applyAlignment="true" applyProtection="true">
      <alignment horizontal="general" vertical="bottom" textRotation="0" wrapText="false" indent="0" shrinkToFit="false"/>
      <protection locked="true" hidden="false"/>
    </xf>
    <xf numFmtId="164" fontId="17" fillId="0" borderId="33"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false" applyProtection="true">
      <alignment horizontal="general" vertical="bottom" textRotation="0" wrapText="false" indent="0" shrinkToFit="false"/>
      <protection locked="true" hidden="false"/>
    </xf>
    <xf numFmtId="179" fontId="17" fillId="0" borderId="33" xfId="39" applyFont="true" applyBorder="true" applyAlignment="false" applyProtection="true">
      <alignment horizontal="general" vertical="bottom" textRotation="0" wrapText="false" indent="0" shrinkToFit="false"/>
      <protection locked="true" hidden="false"/>
    </xf>
    <xf numFmtId="179" fontId="17" fillId="0" borderId="41" xfId="39" applyFont="true" applyBorder="true" applyAlignment="false" applyProtection="true">
      <alignment horizontal="general" vertical="bottom" textRotation="0" wrapText="false" indent="0" shrinkToFit="false"/>
      <protection locked="true" hidden="false"/>
    </xf>
    <xf numFmtId="179" fontId="17" fillId="0" borderId="0" xfId="39" applyFont="true" applyBorder="true" applyAlignment="false" applyProtection="true">
      <alignment horizontal="general" vertical="bottom" textRotation="0" wrapText="false" indent="0" shrinkToFit="false"/>
      <protection locked="true" hidden="false"/>
    </xf>
    <xf numFmtId="164" fontId="34" fillId="0" borderId="40" xfId="39" applyFont="true" applyBorder="true" applyAlignment="false" applyProtection="false">
      <alignment horizontal="general" vertical="bottom" textRotation="0" wrapText="false" indent="0" shrinkToFit="false"/>
      <protection locked="true" hidden="false"/>
    </xf>
    <xf numFmtId="179" fontId="34" fillId="0" borderId="21" xfId="39" applyFont="true" applyBorder="true" applyAlignment="false" applyProtection="true">
      <alignment horizontal="general" vertical="bottom" textRotation="0" wrapText="false" indent="0" shrinkToFit="false"/>
      <protection locked="true" hidden="false"/>
    </xf>
    <xf numFmtId="179" fontId="34" fillId="0" borderId="33" xfId="39" applyFont="true" applyBorder="true" applyAlignment="false" applyProtection="true">
      <alignment horizontal="general" vertical="bottom" textRotation="0" wrapText="false" indent="0" shrinkToFit="false"/>
      <protection locked="true" hidden="false"/>
    </xf>
    <xf numFmtId="179" fontId="34" fillId="0" borderId="41" xfId="39" applyFont="true" applyBorder="true" applyAlignment="false" applyProtection="true">
      <alignment horizontal="general" vertical="bottom" textRotation="0" wrapText="false" indent="0" shrinkToFit="false"/>
      <protection locked="true" hidden="false"/>
    </xf>
    <xf numFmtId="179" fontId="34" fillId="0" borderId="0" xfId="39" applyFont="true" applyBorder="true" applyAlignment="false" applyProtection="true">
      <alignment horizontal="general" vertical="bottom" textRotation="0" wrapText="false" indent="0" shrinkToFit="false"/>
      <protection locked="true" hidden="false"/>
    </xf>
    <xf numFmtId="164" fontId="4" fillId="0" borderId="24" xfId="39" applyFont="false" applyBorder="true" applyAlignment="false" applyProtection="false">
      <alignment horizontal="general" vertical="bottom" textRotation="0" wrapText="false" indent="0" shrinkToFit="false"/>
      <protection locked="true" hidden="false"/>
    </xf>
    <xf numFmtId="170" fontId="35" fillId="0" borderId="0" xfId="21" applyFont="true" applyBorder="true" applyAlignment="true" applyProtection="true">
      <alignment horizontal="general" vertical="bottom" textRotation="0" wrapText="false" indent="0" shrinkToFit="false"/>
      <protection locked="true" hidden="false"/>
    </xf>
    <xf numFmtId="164" fontId="34" fillId="0" borderId="43" xfId="39" applyFont="true" applyBorder="true" applyAlignment="false" applyProtection="false">
      <alignment horizontal="general" vertical="bottom" textRotation="0" wrapText="false" indent="0" shrinkToFit="false"/>
      <protection locked="true" hidden="false"/>
    </xf>
    <xf numFmtId="164" fontId="4" fillId="0" borderId="2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false" applyProtection="true">
      <alignment horizontal="general" vertical="bottom" textRotation="0" wrapText="false" indent="0" shrinkToFit="false"/>
      <protection locked="true" hidden="false"/>
    </xf>
    <xf numFmtId="179" fontId="34" fillId="0" borderId="44" xfId="39" applyFont="true" applyBorder="true" applyAlignment="false" applyProtection="true">
      <alignment horizontal="general" vertical="bottom" textRotation="0" wrapText="false" indent="0" shrinkToFit="false"/>
      <protection locked="true" hidden="false"/>
    </xf>
    <xf numFmtId="179" fontId="34" fillId="0" borderId="45"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true" applyProtection="true">
      <alignment horizontal="right" vertical="bottom" textRotation="0" wrapText="false" indent="0" shrinkToFit="false"/>
      <protection locked="true" hidden="false"/>
    </xf>
    <xf numFmtId="179" fontId="17" fillId="0" borderId="33" xfId="39" applyFont="true" applyBorder="true" applyAlignment="true" applyProtection="true">
      <alignment horizontal="right" vertical="bottom" textRotation="0" wrapText="false" indent="0" shrinkToFit="false"/>
      <protection locked="true" hidden="false"/>
    </xf>
    <xf numFmtId="179" fontId="17" fillId="0" borderId="41" xfId="39" applyFont="true" applyBorder="true" applyAlignment="true" applyProtection="true">
      <alignment horizontal="right" vertical="bottom" textRotation="0" wrapText="false" indent="0" shrinkToFit="false"/>
      <protection locked="true" hidden="false"/>
    </xf>
    <xf numFmtId="179" fontId="34" fillId="0" borderId="21" xfId="39" applyFont="true" applyBorder="true" applyAlignment="true" applyProtection="true">
      <alignment horizontal="right" vertical="bottom" textRotation="0" wrapText="false" indent="0" shrinkToFit="false"/>
      <protection locked="true" hidden="false"/>
    </xf>
    <xf numFmtId="179" fontId="34" fillId="0" borderId="33" xfId="39" applyFont="true" applyBorder="true" applyAlignment="true" applyProtection="true">
      <alignment horizontal="right" vertical="bottom" textRotation="0" wrapText="false" indent="0" shrinkToFit="false"/>
      <protection locked="true" hidden="false"/>
    </xf>
    <xf numFmtId="179" fontId="34" fillId="0" borderId="41" xfId="39" applyFont="true" applyBorder="true" applyAlignment="true" applyProtection="true">
      <alignment horizontal="right" vertical="bottom" textRotation="0" wrapText="false" indent="0" shrinkToFit="false"/>
      <protection locked="true" hidden="false"/>
    </xf>
    <xf numFmtId="164" fontId="15" fillId="10" borderId="46" xfId="47" applyFont="true" applyBorder="true" applyAlignment="true" applyProtection="false">
      <alignment horizontal="left" vertical="bottom" textRotation="0" wrapText="false" indent="0" shrinkToFit="false"/>
      <protection locked="true" hidden="false"/>
    </xf>
    <xf numFmtId="173" fontId="13" fillId="0" borderId="11" xfId="36" applyFont="true" applyBorder="true" applyAlignment="true" applyProtection="true">
      <alignment horizontal="general" vertical="bottom" textRotation="0" wrapText="false" indent="0" shrinkToFit="false"/>
      <protection locked="true" hidden="false"/>
    </xf>
    <xf numFmtId="164" fontId="4" fillId="0" borderId="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true" applyProtection="true">
      <alignment horizontal="right" vertical="bottom" textRotation="0" wrapText="false" indent="0" shrinkToFit="false"/>
      <protection locked="true" hidden="false"/>
    </xf>
    <xf numFmtId="179" fontId="34" fillId="0" borderId="44" xfId="39" applyFont="true" applyBorder="true" applyAlignment="true" applyProtection="true">
      <alignment horizontal="right" vertical="bottom" textRotation="0" wrapText="false" indent="0" shrinkToFit="false"/>
      <protection locked="true" hidden="false"/>
    </xf>
    <xf numFmtId="179" fontId="34" fillId="0" borderId="45" xfId="39" applyFont="true" applyBorder="true" applyAlignment="true" applyProtection="true">
      <alignment horizontal="right" vertical="bottom" textRotation="0" wrapText="false" indent="0" shrinkToFit="false"/>
      <protection locked="true" hidden="false"/>
    </xf>
    <xf numFmtId="164" fontId="4" fillId="6" borderId="6" xfId="39" applyFont="false" applyBorder="true" applyAlignment="false" applyProtection="false">
      <alignment horizontal="general" vertical="bottom" textRotation="0" wrapText="false" indent="0" shrinkToFit="false"/>
      <protection locked="true" hidden="false"/>
    </xf>
    <xf numFmtId="173" fontId="14" fillId="7" borderId="47" xfId="36" applyFont="true" applyBorder="true" applyAlignment="true" applyProtection="true">
      <alignment horizontal="general" vertical="bottom" textRotation="0" wrapText="false" indent="0" shrinkToFit="false"/>
      <protection locked="true" hidden="false"/>
    </xf>
    <xf numFmtId="173" fontId="14" fillId="7" borderId="48" xfId="36" applyFont="true" applyBorder="true" applyAlignment="true" applyProtection="true">
      <alignment horizontal="general" vertical="bottom" textRotation="0" wrapText="false" indent="0" shrinkToFit="false"/>
      <protection locked="true" hidden="false"/>
    </xf>
    <xf numFmtId="173" fontId="14" fillId="7" borderId="49" xfId="36" applyFont="true" applyBorder="true" applyAlignment="true" applyProtection="true">
      <alignment horizontal="general" vertical="bottom" textRotation="0" wrapText="false" indent="0" shrinkToFit="false"/>
      <protection locked="true" hidden="false"/>
    </xf>
    <xf numFmtId="173" fontId="14" fillId="7" borderId="11" xfId="36" applyFont="true" applyBorder="true" applyAlignment="true" applyProtection="true">
      <alignment horizontal="general" vertical="bottom" textRotation="0" wrapText="false" indent="0" shrinkToFit="false"/>
      <protection locked="true" hidden="false"/>
    </xf>
    <xf numFmtId="173" fontId="14" fillId="7" borderId="46" xfId="36" applyFont="true" applyBorder="true" applyAlignment="true" applyProtection="true">
      <alignment horizontal="general" vertical="bottom" textRotation="0" wrapText="false" indent="0" shrinkToFit="false"/>
      <protection locked="true" hidden="false"/>
    </xf>
    <xf numFmtId="164" fontId="15" fillId="10" borderId="11" xfId="47" applyFont="true" applyBorder="true" applyAlignment="true" applyProtection="false">
      <alignment horizontal="left" vertical="bottom" textRotation="0" wrapText="false" indent="0" shrinkToFit="false"/>
      <protection locked="true" hidden="false"/>
    </xf>
    <xf numFmtId="164" fontId="18" fillId="10" borderId="11" xfId="47" applyFont="true" applyBorder="true" applyAlignment="true" applyProtection="false">
      <alignment horizontal="left" vertical="bottom" textRotation="0" wrapText="false" indent="0" shrinkToFit="false"/>
      <protection locked="true" hidden="false"/>
    </xf>
    <xf numFmtId="164" fontId="0" fillId="10" borderId="11" xfId="47" applyFont="true" applyBorder="true" applyAlignment="true" applyProtection="false">
      <alignment horizontal="left" vertical="bottom" textRotation="0" wrapText="false" indent="0" shrinkToFit="false"/>
      <protection locked="true" hidden="false"/>
    </xf>
    <xf numFmtId="175" fontId="15" fillId="10" borderId="48" xfId="47" applyFont="true" applyBorder="true" applyAlignment="false" applyProtection="true">
      <alignment horizontal="general" vertical="bottom" textRotation="0" wrapText="false" indent="0" shrinkToFit="false"/>
      <protection locked="true" hidden="false"/>
    </xf>
    <xf numFmtId="175" fontId="15" fillId="11" borderId="48" xfId="47" applyFont="true" applyBorder="true" applyAlignment="false" applyProtection="true">
      <alignment horizontal="general" vertical="bottom" textRotation="0" wrapText="false" indent="0" shrinkToFit="false"/>
      <protection locked="true" hidden="false"/>
    </xf>
    <xf numFmtId="170" fontId="15" fillId="7" borderId="50" xfId="47" applyFont="true" applyBorder="true" applyAlignment="false" applyProtection="true">
      <alignment horizontal="general" vertical="bottom" textRotation="0" wrapText="false" indent="0" shrinkToFit="false"/>
      <protection locked="true" hidden="false"/>
    </xf>
    <xf numFmtId="177" fontId="15" fillId="11" borderId="47" xfId="47" applyFont="true" applyBorder="true" applyAlignment="true" applyProtection="true">
      <alignment horizontal="center" vertical="bottom" textRotation="0" wrapText="false" indent="0" shrinkToFit="false"/>
      <protection locked="true" hidden="false"/>
    </xf>
    <xf numFmtId="177" fontId="15" fillId="11" borderId="48" xfId="47" applyFont="true" applyBorder="true" applyAlignment="true" applyProtection="true">
      <alignment horizontal="center" vertical="bottom" textRotation="0" wrapText="false" indent="0" shrinkToFit="false"/>
      <protection locked="true" hidden="false"/>
    </xf>
    <xf numFmtId="177" fontId="15" fillId="7" borderId="51" xfId="47" applyFont="true" applyBorder="true" applyAlignment="true" applyProtection="true">
      <alignment horizontal="center" vertical="bottom" textRotation="0" wrapText="false" indent="0" shrinkToFit="false"/>
      <protection locked="true" hidden="false"/>
    </xf>
    <xf numFmtId="171" fontId="15" fillId="7" borderId="48" xfId="47" applyFont="true" applyBorder="true" applyAlignment="true" applyProtection="true">
      <alignment horizontal="center" vertical="bottom" textRotation="0" wrapText="false" indent="0" shrinkToFit="false"/>
      <protection locked="true" hidden="false"/>
    </xf>
    <xf numFmtId="173" fontId="15" fillId="10" borderId="51" xfId="47" applyFont="true" applyBorder="true" applyAlignment="false" applyProtection="true">
      <alignment horizontal="general" vertical="bottom" textRotation="0" wrapText="false" indent="0" shrinkToFit="false"/>
      <protection locked="true" hidden="false"/>
    </xf>
    <xf numFmtId="173" fontId="15" fillId="10" borderId="11" xfId="47" applyFont="true" applyBorder="true" applyAlignment="false" applyProtection="true">
      <alignment horizontal="general" vertical="bottom" textRotation="0" wrapText="false" indent="0" shrinkToFit="false"/>
      <protection locked="true" hidden="false"/>
    </xf>
    <xf numFmtId="173" fontId="15" fillId="10" borderId="52" xfId="47" applyFont="true" applyBorder="true" applyAlignment="false" applyProtection="true">
      <alignment horizontal="general" vertical="bottom" textRotation="0" wrapText="false" indent="0" shrinkToFit="false"/>
      <protection locked="true" hidden="false"/>
    </xf>
    <xf numFmtId="173" fontId="15" fillId="10" borderId="48" xfId="47" applyFont="true" applyBorder="true" applyAlignment="false" applyProtection="true">
      <alignment horizontal="general" vertical="bottom" textRotation="0" wrapText="false" indent="0" shrinkToFit="false"/>
      <protection locked="true" hidden="false"/>
    </xf>
    <xf numFmtId="173" fontId="15" fillId="11" borderId="48" xfId="36" applyFont="true" applyBorder="true" applyAlignment="true" applyProtection="true">
      <alignment horizontal="center" vertical="bottom" textRotation="0" wrapText="false" indent="0" shrinkToFit="false"/>
      <protection locked="true" hidden="false"/>
    </xf>
    <xf numFmtId="173" fontId="15" fillId="11" borderId="51" xfId="36" applyFont="true" applyBorder="true" applyAlignment="true" applyProtection="true">
      <alignment horizontal="center" vertical="bottom" textRotation="0" wrapText="false" indent="0" shrinkToFit="false"/>
      <protection locked="true" hidden="false"/>
    </xf>
    <xf numFmtId="173" fontId="15" fillId="7" borderId="50" xfId="36" applyFont="true" applyBorder="true" applyAlignment="true" applyProtection="true">
      <alignment horizontal="center" vertical="bottom" textRotation="0" wrapText="false" indent="0" shrinkToFit="false"/>
      <protection locked="true" hidden="false"/>
    </xf>
    <xf numFmtId="177" fontId="15" fillId="11" borderId="47" xfId="39" applyFont="true" applyBorder="true" applyAlignment="true" applyProtection="false">
      <alignment horizontal="center" vertical="bottom" textRotation="0" wrapText="false" indent="0" shrinkToFit="false"/>
      <protection locked="true" hidden="false"/>
    </xf>
    <xf numFmtId="177" fontId="15" fillId="11" borderId="52" xfId="39" applyFont="true" applyBorder="true" applyAlignment="true" applyProtection="false">
      <alignment horizontal="center" vertical="bottom" textRotation="0" wrapText="false" indent="0" shrinkToFit="false"/>
      <protection locked="true" hidden="false"/>
    </xf>
    <xf numFmtId="177" fontId="15" fillId="11" borderId="48" xfId="39" applyFont="true" applyBorder="true" applyAlignment="true" applyProtection="false">
      <alignment horizontal="center" vertical="bottom" textRotation="0" wrapText="false" indent="0" shrinkToFit="false"/>
      <protection locked="true" hidden="false"/>
    </xf>
    <xf numFmtId="177" fontId="15" fillId="7" borderId="48" xfId="39" applyFont="true" applyBorder="true" applyAlignment="true" applyProtection="false">
      <alignment horizontal="center" vertical="bottom" textRotation="0" wrapText="false" indent="0" shrinkToFit="false"/>
      <protection locked="true" hidden="false"/>
    </xf>
    <xf numFmtId="171" fontId="15" fillId="7" borderId="21" xfId="39" applyFont="true" applyBorder="true" applyAlignment="true" applyProtection="false">
      <alignment horizontal="center" vertical="bottom" textRotation="0" wrapText="false" indent="0" shrinkToFit="false"/>
      <protection locked="true" hidden="false"/>
    </xf>
    <xf numFmtId="164" fontId="15" fillId="12" borderId="33" xfId="47" applyFont="true" applyBorder="true" applyAlignment="true" applyProtection="false">
      <alignment horizontal="left" vertical="bottom" textRotation="0" wrapText="false" indent="0" shrinkToFit="false"/>
      <protection locked="true" hidden="false"/>
    </xf>
    <xf numFmtId="164" fontId="4" fillId="12" borderId="0" xfId="39" applyFont="false" applyBorder="true" applyAlignment="false" applyProtection="false">
      <alignment horizontal="general" vertical="bottom" textRotation="0" wrapText="false" indent="0" shrinkToFit="false"/>
      <protection locked="true" hidden="false"/>
    </xf>
    <xf numFmtId="173" fontId="15" fillId="12" borderId="21" xfId="36" applyFont="true" applyBorder="true" applyAlignment="true" applyProtection="true">
      <alignment horizontal="center" vertical="bottom" textRotation="0" wrapText="false" indent="0" shrinkToFit="false"/>
      <protection locked="true" hidden="false"/>
    </xf>
    <xf numFmtId="173" fontId="15" fillId="12" borderId="33" xfId="36" applyFont="true" applyBorder="true" applyAlignment="true" applyProtection="true">
      <alignment horizontal="center" vertical="bottom" textRotation="0" wrapText="false" indent="0" shrinkToFit="false"/>
      <protection locked="true" hidden="false"/>
    </xf>
    <xf numFmtId="177" fontId="15" fillId="7" borderId="21" xfId="47" applyFont="true" applyBorder="true" applyAlignment="true" applyProtection="true">
      <alignment horizontal="center" vertical="bottom" textRotation="0" wrapText="false" indent="0" shrinkToFit="false"/>
      <protection locked="true" hidden="false"/>
    </xf>
    <xf numFmtId="171" fontId="15" fillId="7" borderId="32" xfId="39" applyFont="true" applyBorder="true" applyAlignment="true" applyProtection="false">
      <alignment horizontal="center" vertical="bottom" textRotation="0" wrapText="false" indent="0" shrinkToFit="false"/>
      <protection locked="true" hidden="false"/>
    </xf>
    <xf numFmtId="177" fontId="15" fillId="7" borderId="22" xfId="39" applyFont="true" applyBorder="true" applyAlignment="true" applyProtection="false">
      <alignment horizontal="center" vertical="bottom" textRotation="0" wrapText="false" indent="0" shrinkToFit="false"/>
      <protection locked="true" hidden="false"/>
    </xf>
    <xf numFmtId="164" fontId="23" fillId="7" borderId="46" xfId="39" applyFont="true" applyBorder="true" applyAlignment="true" applyProtection="true">
      <alignment horizontal="left" vertical="bottom" textRotation="0" wrapText="false" indent="0" shrinkToFit="false"/>
      <protection locked="true" hidden="false"/>
    </xf>
    <xf numFmtId="164" fontId="28" fillId="7" borderId="11" xfId="39" applyFont="true" applyBorder="true" applyAlignment="true" applyProtection="true">
      <alignment horizontal="left" vertical="bottom" textRotation="0" wrapText="false" indent="0" shrinkToFit="false"/>
      <protection locked="true" hidden="false"/>
    </xf>
    <xf numFmtId="173" fontId="28" fillId="7" borderId="11" xfId="36" applyFont="true" applyBorder="true" applyAlignment="true" applyProtection="true">
      <alignment horizontal="general" vertical="bottom" textRotation="0" wrapText="false" indent="0" shrinkToFit="false"/>
      <protection locked="true" hidden="false"/>
    </xf>
    <xf numFmtId="172" fontId="28" fillId="7" borderId="49" xfId="48" applyFont="true" applyBorder="true" applyAlignment="true" applyProtection="true">
      <alignment horizontal="general" vertical="bottom" textRotation="0" wrapText="false" indent="0" shrinkToFit="false"/>
      <protection locked="true" hidden="false"/>
    </xf>
    <xf numFmtId="173" fontId="36" fillId="0" borderId="0" xfId="36" applyFont="true" applyBorder="true" applyAlignment="true" applyProtection="true">
      <alignment horizontal="general" vertical="bottom" textRotation="0" wrapText="false" indent="0" shrinkToFit="false"/>
      <protection locked="true" hidden="false"/>
    </xf>
    <xf numFmtId="180" fontId="36" fillId="0" borderId="0" xfId="39" applyFont="true" applyBorder="false" applyAlignment="false" applyProtection="false">
      <alignment horizontal="general" vertical="bottom" textRotation="0" wrapText="false" indent="0" shrinkToFit="false"/>
      <protection locked="true" hidden="false"/>
    </xf>
    <xf numFmtId="170" fontId="36" fillId="0" borderId="0" xfId="39" applyFont="true" applyBorder="false" applyAlignment="false" applyProtection="false">
      <alignment horizontal="general" vertical="bottom" textRotation="0" wrapText="false" indent="0" shrinkToFit="false"/>
      <protection locked="true" hidden="false"/>
    </xf>
    <xf numFmtId="175" fontId="15" fillId="7" borderId="24" xfId="47" applyFont="true" applyBorder="true" applyAlignment="true" applyProtection="true">
      <alignment horizontal="center" vertical="bottom" textRotation="0" wrapText="false" indent="0" shrinkToFit="false"/>
      <protection locked="true" hidden="false"/>
    </xf>
    <xf numFmtId="177" fontId="37" fillId="0" borderId="18" xfId="39" applyFont="true" applyBorder="true" applyAlignment="false" applyProtection="false">
      <alignment horizontal="general" vertical="bottom" textRotation="0" wrapText="false" indent="0" shrinkToFit="false"/>
      <protection locked="true" hidden="false"/>
    </xf>
    <xf numFmtId="177" fontId="37" fillId="0" borderId="53" xfId="39" applyFont="true" applyBorder="true" applyAlignment="false" applyProtection="false">
      <alignment horizontal="general" vertical="bottom" textRotation="0" wrapText="false" indent="0" shrinkToFit="false"/>
      <protection locked="true" hidden="false"/>
    </xf>
    <xf numFmtId="177" fontId="37" fillId="0" borderId="15"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false" applyAlignment="true" applyProtection="false">
      <alignment horizontal="right" vertical="bottom" textRotation="0" wrapText="false" indent="0" shrinkToFit="false"/>
      <protection locked="true" hidden="false"/>
    </xf>
    <xf numFmtId="177" fontId="37" fillId="0" borderId="24" xfId="39" applyFont="true" applyBorder="true" applyAlignment="false" applyProtection="false">
      <alignment horizontal="general" vertical="bottom" textRotation="0" wrapText="false" indent="0" shrinkToFit="false"/>
      <protection locked="true" hidden="false"/>
    </xf>
    <xf numFmtId="177" fontId="37" fillId="0" borderId="20" xfId="39" applyFont="true" applyBorder="true" applyAlignment="false" applyProtection="false">
      <alignment horizontal="general" vertical="bottom" textRotation="0" wrapText="false" indent="0" shrinkToFit="false"/>
      <protection locked="true" hidden="false"/>
    </xf>
    <xf numFmtId="177" fontId="37" fillId="0" borderId="1" xfId="39" applyFont="true" applyBorder="true" applyAlignment="false" applyProtection="false">
      <alignment horizontal="general" vertical="bottom" textRotation="0" wrapText="false" indent="0" shrinkToFit="false"/>
      <protection locked="true" hidden="false"/>
    </xf>
    <xf numFmtId="164" fontId="14" fillId="0" borderId="54" xfId="39" applyFont="true" applyBorder="true" applyAlignment="false" applyProtection="false">
      <alignment horizontal="general" vertical="bottom" textRotation="0" wrapText="false" indent="0" shrinkToFit="false"/>
      <protection locked="true" hidden="false"/>
    </xf>
    <xf numFmtId="164" fontId="32" fillId="0" borderId="54" xfId="39" applyFont="true" applyBorder="true" applyAlignment="false" applyProtection="false">
      <alignment horizontal="general" vertical="bottom" textRotation="0" wrapText="false" indent="0" shrinkToFit="false"/>
      <protection locked="true" hidden="false"/>
    </xf>
    <xf numFmtId="173" fontId="38" fillId="0" borderId="55" xfId="36" applyFont="true" applyBorder="true" applyAlignment="true" applyProtection="true">
      <alignment horizontal="general" vertical="bottom" textRotation="0" wrapText="false" indent="0" shrinkToFit="false"/>
      <protection locked="true" hidden="false"/>
    </xf>
    <xf numFmtId="173" fontId="33" fillId="0" borderId="55" xfId="36" applyFont="true" applyBorder="true" applyAlignment="true" applyProtection="true">
      <alignment horizontal="general" vertical="bottom" textRotation="0" wrapText="false" indent="0" shrinkToFit="false"/>
      <protection locked="true" hidden="false"/>
    </xf>
    <xf numFmtId="164" fontId="39" fillId="0" borderId="0" xfId="39" applyFont="true" applyBorder="false" applyAlignment="false" applyProtection="true">
      <alignment horizontal="general" vertical="bottom" textRotation="0" wrapText="false" indent="0" shrinkToFit="false"/>
      <protection locked="false" hidden="false"/>
    </xf>
    <xf numFmtId="164" fontId="14" fillId="0" borderId="55" xfId="39" applyFont="true" applyBorder="true" applyAlignment="false" applyProtection="false">
      <alignment horizontal="general" vertical="bottom" textRotation="0" wrapText="false" indent="0" shrinkToFit="false"/>
      <protection locked="true" hidden="false"/>
    </xf>
    <xf numFmtId="164" fontId="32" fillId="0" borderId="55" xfId="39" applyFont="true" applyBorder="true" applyAlignment="false" applyProtection="false">
      <alignment horizontal="general" vertical="bottom" textRotation="0" wrapText="false" indent="0" shrinkToFit="false"/>
      <protection locked="true" hidden="false"/>
    </xf>
    <xf numFmtId="177" fontId="15" fillId="7" borderId="48" xfId="47" applyFont="true" applyBorder="true" applyAlignment="true" applyProtection="true">
      <alignment horizontal="center" vertical="bottom" textRotation="0" wrapText="false" indent="0" shrinkToFit="false"/>
      <protection locked="true" hidden="false"/>
    </xf>
    <xf numFmtId="171" fontId="15" fillId="7" borderId="48" xfId="39" applyFont="true" applyBorder="true" applyAlignment="true" applyProtection="false">
      <alignment horizontal="center" vertical="bottom" textRotation="0" wrapText="false" indent="0" shrinkToFit="false"/>
      <protection locked="true" hidden="false"/>
    </xf>
    <xf numFmtId="164" fontId="15" fillId="12" borderId="51" xfId="47" applyFont="true" applyBorder="true" applyAlignment="true" applyProtection="false">
      <alignment horizontal="left" vertical="bottom" textRotation="0" wrapText="false" indent="0" shrinkToFit="false"/>
      <protection locked="true" hidden="false"/>
    </xf>
    <xf numFmtId="164" fontId="4" fillId="12" borderId="11" xfId="39" applyFont="false" applyBorder="true" applyAlignment="false" applyProtection="false">
      <alignment horizontal="general" vertical="bottom" textRotation="0" wrapText="false" indent="0" shrinkToFit="false"/>
      <protection locked="true" hidden="false"/>
    </xf>
    <xf numFmtId="164" fontId="4" fillId="12" borderId="52" xfId="39" applyFont="false" applyBorder="true" applyAlignment="false" applyProtection="false">
      <alignment horizontal="general" vertical="bottom" textRotation="0" wrapText="false" indent="0" shrinkToFit="false"/>
      <protection locked="true" hidden="false"/>
    </xf>
    <xf numFmtId="173" fontId="15" fillId="12" borderId="48" xfId="36" applyFont="true" applyBorder="true" applyAlignment="true" applyProtection="true">
      <alignment horizontal="center" vertical="bottom" textRotation="0" wrapText="false" indent="0" shrinkToFit="false"/>
      <protection locked="true" hidden="false"/>
    </xf>
    <xf numFmtId="173" fontId="15" fillId="12" borderId="51" xfId="36" applyFont="true" applyBorder="true" applyAlignment="true" applyProtection="true">
      <alignment horizontal="center" vertical="bottom" textRotation="0" wrapText="false" indent="0" shrinkToFit="false"/>
      <protection locked="true" hidden="false"/>
    </xf>
    <xf numFmtId="177" fontId="15" fillId="7" borderId="52" xfId="39" applyFont="true" applyBorder="true" applyAlignment="true" applyProtection="false">
      <alignment horizontal="center" vertical="bottom" textRotation="0" wrapText="false" indent="0" shrinkToFit="false"/>
      <protection locked="true" hidden="false"/>
    </xf>
    <xf numFmtId="164" fontId="15" fillId="12" borderId="0" xfId="47" applyFont="true" applyBorder="true" applyAlignment="true" applyProtection="false">
      <alignment horizontal="left" vertical="bottom" textRotation="0" wrapText="false" indent="0" shrinkToFit="false"/>
      <protection locked="true" hidden="false"/>
    </xf>
    <xf numFmtId="164" fontId="15" fillId="12" borderId="0" xfId="39" applyFont="true" applyBorder="true" applyAlignment="false" applyProtection="false">
      <alignment horizontal="general" vertical="bottom" textRotation="0" wrapText="false" indent="0" shrinkToFit="false"/>
      <protection locked="true" hidden="false"/>
    </xf>
    <xf numFmtId="164" fontId="20" fillId="12" borderId="0" xfId="39" applyFont="true" applyBorder="true" applyAlignment="false" applyProtection="false">
      <alignment horizontal="general" vertical="bottom" textRotation="0" wrapText="false" indent="0" shrinkToFit="false"/>
      <protection locked="true" hidden="false"/>
    </xf>
    <xf numFmtId="175" fontId="15" fillId="12" borderId="21" xfId="47" applyFont="true" applyBorder="true" applyAlignment="false" applyProtection="true">
      <alignment horizontal="general" vertical="bottom" textRotation="0" wrapText="false" indent="0" shrinkToFit="false"/>
      <protection locked="true" hidden="false"/>
    </xf>
    <xf numFmtId="164" fontId="15" fillId="13" borderId="33" xfId="47" applyFont="true" applyBorder="true" applyAlignment="true" applyProtection="false">
      <alignment horizontal="left" vertical="bottom" textRotation="0" wrapText="false" indent="0" shrinkToFit="false"/>
      <protection locked="true" hidden="false"/>
    </xf>
    <xf numFmtId="164" fontId="4" fillId="13" borderId="0" xfId="39" applyFont="false" applyBorder="true" applyAlignment="false" applyProtection="false">
      <alignment horizontal="general" vertical="bottom" textRotation="0" wrapText="false" indent="0" shrinkToFit="false"/>
      <protection locked="true" hidden="false"/>
    </xf>
    <xf numFmtId="173" fontId="15" fillId="13" borderId="21" xfId="36" applyFont="true" applyBorder="true" applyAlignment="true" applyProtection="true">
      <alignment horizontal="center" vertical="bottom" textRotation="0" wrapText="false" indent="0" shrinkToFit="false"/>
      <protection locked="true" hidden="false"/>
    </xf>
    <xf numFmtId="173" fontId="15" fillId="13" borderId="33" xfId="36" applyFont="true" applyBorder="true" applyAlignment="true" applyProtection="true">
      <alignment horizontal="center" vertical="bottom" textRotation="0" wrapText="false" indent="0" shrinkToFit="false"/>
      <protection locked="true" hidden="false"/>
    </xf>
    <xf numFmtId="181" fontId="4" fillId="0" borderId="0" xfId="39" applyFont="false" applyBorder="false" applyAlignment="false" applyProtection="false">
      <alignment horizontal="general" vertical="bottom" textRotation="0" wrapText="false" indent="0" shrinkToFit="false"/>
      <protection locked="true" hidden="false"/>
    </xf>
    <xf numFmtId="164" fontId="18" fillId="12" borderId="0" xfId="47" applyFont="true" applyBorder="true" applyAlignment="true" applyProtection="false">
      <alignment horizontal="left" vertical="bottom" textRotation="0" wrapText="false" indent="0" shrinkToFit="false"/>
      <protection locked="true" hidden="false"/>
    </xf>
    <xf numFmtId="164" fontId="0" fillId="12" borderId="0" xfId="47" applyFont="true" applyBorder="true" applyAlignment="true" applyProtection="false">
      <alignment horizontal="left" vertical="bottom" textRotation="0" wrapText="false" indent="0" shrinkToFit="false"/>
      <protection locked="true" hidden="false"/>
    </xf>
    <xf numFmtId="176" fontId="15" fillId="12" borderId="21" xfId="47" applyFont="true" applyBorder="true" applyAlignment="false" applyProtection="true">
      <alignment horizontal="general" vertical="bottom" textRotation="0" wrapText="false" indent="0" shrinkToFit="false"/>
      <protection locked="true" hidden="false"/>
    </xf>
    <xf numFmtId="177" fontId="37" fillId="0" borderId="31" xfId="39" applyFont="true" applyBorder="true" applyAlignment="false" applyProtection="false">
      <alignment horizontal="general" vertical="bottom" textRotation="0" wrapText="false" indent="0" shrinkToFit="false"/>
      <protection locked="true" hidden="false"/>
    </xf>
    <xf numFmtId="177" fontId="37" fillId="0" borderId="47" xfId="39" applyFont="true" applyBorder="true" applyAlignment="false" applyProtection="false">
      <alignment horizontal="general" vertical="bottom" textRotation="0" wrapText="false" indent="0" shrinkToFit="false"/>
      <protection locked="true" hidden="false"/>
    </xf>
    <xf numFmtId="177" fontId="37" fillId="0" borderId="49" xfId="39" applyFont="true" applyBorder="true" applyAlignment="false" applyProtection="false">
      <alignment horizontal="general" vertical="bottom" textRotation="0" wrapText="false" indent="0" shrinkToFit="false"/>
      <protection locked="true" hidden="false"/>
    </xf>
    <xf numFmtId="164" fontId="40" fillId="0" borderId="40" xfId="39" applyFont="true" applyBorder="true" applyAlignment="true" applyProtection="true">
      <alignment horizontal="general" vertical="bottom" textRotation="0" wrapText="false" indent="0" shrinkToFit="false"/>
      <protection locked="true" hidden="false"/>
    </xf>
    <xf numFmtId="164" fontId="14" fillId="0" borderId="0" xfId="39" applyFont="true" applyBorder="false" applyAlignment="false" applyProtection="false">
      <alignment horizontal="general" vertical="bottom" textRotation="0" wrapText="false" indent="0" shrinkToFit="false"/>
      <protection locked="true" hidden="false"/>
    </xf>
    <xf numFmtId="164" fontId="14" fillId="0" borderId="18" xfId="39" applyFont="true" applyBorder="true" applyAlignment="false" applyProtection="false">
      <alignment horizontal="general" vertical="bottom" textRotation="0" wrapText="false" indent="0" shrinkToFit="false"/>
      <protection locked="true" hidden="false"/>
    </xf>
    <xf numFmtId="164" fontId="15" fillId="12" borderId="11" xfId="47" applyFont="true" applyBorder="true" applyAlignment="true" applyProtection="false">
      <alignment horizontal="left" vertical="bottom" textRotation="0" wrapText="false" indent="0" shrinkToFit="false"/>
      <protection locked="true" hidden="false"/>
    </xf>
    <xf numFmtId="164" fontId="18" fillId="12" borderId="11" xfId="47" applyFont="true" applyBorder="true" applyAlignment="true" applyProtection="false">
      <alignment horizontal="left" vertical="bottom" textRotation="0" wrapText="false" indent="0" shrinkToFit="false"/>
      <protection locked="true" hidden="false"/>
    </xf>
    <xf numFmtId="164" fontId="0" fillId="12" borderId="11" xfId="47" applyFont="true" applyBorder="true" applyAlignment="true" applyProtection="false">
      <alignment horizontal="left" vertical="bottom" textRotation="0" wrapText="false" indent="0" shrinkToFit="false"/>
      <protection locked="true" hidden="false"/>
    </xf>
    <xf numFmtId="176" fontId="15" fillId="12" borderId="48" xfId="47" applyFont="true" applyBorder="true" applyAlignment="false" applyProtection="true">
      <alignment horizontal="general" vertical="bottom" textRotation="0" wrapText="false" indent="0" shrinkToFit="false"/>
      <protection locked="true" hidden="false"/>
    </xf>
    <xf numFmtId="176" fontId="15" fillId="11" borderId="48" xfId="47" applyFont="true" applyBorder="true" applyAlignment="false" applyProtection="true">
      <alignment horizontal="general" vertical="bottom" textRotation="0" wrapText="false" indent="0" shrinkToFit="false"/>
      <protection locked="true" hidden="false"/>
    </xf>
    <xf numFmtId="164" fontId="15" fillId="13" borderId="51" xfId="47" applyFont="true" applyBorder="true" applyAlignment="true" applyProtection="false">
      <alignment horizontal="left" vertical="bottom" textRotation="0" wrapText="false" indent="0" shrinkToFit="false"/>
      <protection locked="true" hidden="false"/>
    </xf>
    <xf numFmtId="164" fontId="4" fillId="13" borderId="11" xfId="39" applyFont="false" applyBorder="true" applyAlignment="false" applyProtection="false">
      <alignment horizontal="general" vertical="bottom" textRotation="0" wrapText="false" indent="0" shrinkToFit="false"/>
      <protection locked="true" hidden="false"/>
    </xf>
    <xf numFmtId="173" fontId="15" fillId="13" borderId="48" xfId="36" applyFont="true" applyBorder="true" applyAlignment="true" applyProtection="true">
      <alignment horizontal="center" vertical="bottom" textRotation="0" wrapText="false" indent="0" shrinkToFit="false"/>
      <protection locked="true" hidden="false"/>
    </xf>
    <xf numFmtId="173" fontId="15" fillId="13" borderId="51" xfId="36" applyFont="true" applyBorder="true" applyAlignment="true" applyProtection="true">
      <alignment horizontal="center" vertical="bottom" textRotation="0" wrapText="false" indent="0" shrinkToFit="false"/>
      <protection locked="true" hidden="false"/>
    </xf>
    <xf numFmtId="164" fontId="15" fillId="14" borderId="33" xfId="47" applyFont="true" applyBorder="true" applyAlignment="true" applyProtection="false">
      <alignment horizontal="left" vertical="bottom" textRotation="0" wrapText="false" indent="0" shrinkToFit="false"/>
      <protection locked="true" hidden="false"/>
    </xf>
    <xf numFmtId="164" fontId="4" fillId="14" borderId="0" xfId="39" applyFont="false" applyBorder="true" applyAlignment="false" applyProtection="false">
      <alignment horizontal="general" vertical="bottom" textRotation="0" wrapText="false" indent="0" shrinkToFit="false"/>
      <protection locked="true" hidden="false"/>
    </xf>
    <xf numFmtId="173" fontId="15" fillId="14" borderId="21" xfId="36" applyFont="true" applyBorder="true" applyAlignment="true" applyProtection="true">
      <alignment horizontal="center" vertical="bottom" textRotation="0" wrapText="false" indent="0" shrinkToFit="false"/>
      <protection locked="true" hidden="false"/>
    </xf>
    <xf numFmtId="173" fontId="15" fillId="14" borderId="33" xfId="36" applyFont="true" applyBorder="true" applyAlignment="true" applyProtection="true">
      <alignment horizontal="center" vertical="bottom" textRotation="0" wrapText="false" indent="0" shrinkToFit="false"/>
      <protection locked="true" hidden="false"/>
    </xf>
    <xf numFmtId="165" fontId="13" fillId="0" borderId="0" xfId="36" applyFont="true" applyBorder="true" applyAlignment="true" applyProtection="true">
      <alignment horizontal="general" vertical="bottom" textRotation="0" wrapText="false" indent="0" shrinkToFit="false"/>
      <protection locked="true" hidden="false"/>
    </xf>
    <xf numFmtId="171" fontId="15" fillId="7" borderId="5" xfId="39" applyFont="true" applyBorder="true" applyAlignment="true" applyProtection="false">
      <alignment horizontal="center" vertical="bottom" textRotation="0" wrapText="false" indent="0" shrinkToFit="false"/>
      <protection locked="true" hidden="false"/>
    </xf>
    <xf numFmtId="164" fontId="15" fillId="14" borderId="44" xfId="47" applyFont="true" applyBorder="true" applyAlignment="true" applyProtection="false">
      <alignment horizontal="left" vertical="bottom" textRotation="0" wrapText="false" indent="0" shrinkToFit="false"/>
      <protection locked="true" hidden="false"/>
    </xf>
    <xf numFmtId="164" fontId="4" fillId="14" borderId="26" xfId="39" applyFont="false" applyBorder="true" applyAlignment="false" applyProtection="false">
      <alignment horizontal="general" vertical="bottom" textRotation="0" wrapText="false" indent="0" shrinkToFit="false"/>
      <protection locked="true" hidden="false"/>
    </xf>
    <xf numFmtId="177" fontId="15" fillId="11" borderId="5" xfId="39" applyFont="true" applyBorder="true" applyAlignment="true" applyProtection="false">
      <alignment horizontal="center" vertical="bottom" textRotation="0" wrapText="false" indent="0" shrinkToFit="false"/>
      <protection locked="true" hidden="false"/>
    </xf>
    <xf numFmtId="177" fontId="15" fillId="11" borderId="27" xfId="39" applyFont="true" applyBorder="true" applyAlignment="true" applyProtection="false">
      <alignment horizontal="center" vertical="bottom" textRotation="0" wrapText="false" indent="0" shrinkToFit="false"/>
      <protection locked="true" hidden="false"/>
    </xf>
    <xf numFmtId="177" fontId="15" fillId="7" borderId="27" xfId="39" applyFont="true" applyBorder="true" applyAlignment="true" applyProtection="false">
      <alignment horizontal="center" vertical="bottom" textRotation="0" wrapText="false" indent="0" shrinkToFit="false"/>
      <protection locked="true" hidden="false"/>
    </xf>
    <xf numFmtId="164" fontId="15" fillId="15" borderId="33" xfId="47" applyFont="true" applyBorder="true" applyAlignment="true" applyProtection="false">
      <alignment horizontal="left" vertical="bottom" textRotation="0" wrapText="false" indent="0" shrinkToFit="false"/>
      <protection locked="true" hidden="false"/>
    </xf>
    <xf numFmtId="164" fontId="4" fillId="15" borderId="0" xfId="39" applyFont="false" applyBorder="true" applyAlignment="false" applyProtection="false">
      <alignment horizontal="general" vertical="bottom" textRotation="0" wrapText="false" indent="0" shrinkToFit="false"/>
      <protection locked="true" hidden="false"/>
    </xf>
    <xf numFmtId="173" fontId="15" fillId="15" borderId="21" xfId="36" applyFont="true" applyBorder="true" applyAlignment="true" applyProtection="true">
      <alignment horizontal="center" vertical="bottom" textRotation="0" wrapText="false" indent="0" shrinkToFit="false"/>
      <protection locked="true" hidden="false"/>
    </xf>
    <xf numFmtId="173" fontId="15" fillId="15" borderId="33" xfId="36" applyFont="true" applyBorder="true" applyAlignment="true" applyProtection="true">
      <alignment horizontal="center" vertical="bottom" textRotation="0" wrapText="false" indent="0" shrinkToFit="false"/>
      <protection locked="true" hidden="false"/>
    </xf>
    <xf numFmtId="171" fontId="15" fillId="7" borderId="56" xfId="39" applyFont="true" applyBorder="true" applyAlignment="true" applyProtection="false">
      <alignment horizontal="center" vertical="bottom" textRotation="0" wrapText="false" indent="0" shrinkToFit="false"/>
      <protection locked="true" hidden="false"/>
    </xf>
    <xf numFmtId="164" fontId="15" fillId="15" borderId="57" xfId="47" applyFont="true" applyBorder="true" applyAlignment="true" applyProtection="false">
      <alignment horizontal="left" vertical="bottom" textRotation="0" wrapText="false" indent="0" shrinkToFit="false"/>
      <protection locked="true" hidden="false"/>
    </xf>
    <xf numFmtId="164" fontId="4" fillId="15" borderId="58" xfId="39" applyFont="false" applyBorder="true" applyAlignment="false" applyProtection="false">
      <alignment horizontal="general" vertical="bottom" textRotation="0" wrapText="false" indent="0" shrinkToFit="false"/>
      <protection locked="true" hidden="false"/>
    </xf>
    <xf numFmtId="177" fontId="15" fillId="11" borderId="56" xfId="39" applyFont="true" applyBorder="true" applyAlignment="true" applyProtection="false">
      <alignment horizontal="center" vertical="bottom" textRotation="0" wrapText="false" indent="0" shrinkToFit="false"/>
      <protection locked="true" hidden="false"/>
    </xf>
    <xf numFmtId="177" fontId="15" fillId="11" borderId="59" xfId="39" applyFont="true" applyBorder="true" applyAlignment="true" applyProtection="false">
      <alignment horizontal="center" vertical="bottom" textRotation="0" wrapText="false" indent="0" shrinkToFit="false"/>
      <protection locked="true" hidden="false"/>
    </xf>
    <xf numFmtId="177" fontId="15" fillId="7" borderId="59" xfId="39" applyFont="true" applyBorder="true" applyAlignment="true" applyProtection="false">
      <alignment horizontal="center" vertical="bottom" textRotation="0" wrapText="false" indent="0" shrinkToFit="false"/>
      <protection locked="true" hidden="false"/>
    </xf>
    <xf numFmtId="164" fontId="15" fillId="16" borderId="33" xfId="47" applyFont="true" applyBorder="true" applyAlignment="true" applyProtection="false">
      <alignment horizontal="left" vertical="bottom" textRotation="0" wrapText="false" indent="0" shrinkToFit="false"/>
      <protection locked="true" hidden="false"/>
    </xf>
    <xf numFmtId="164" fontId="4" fillId="16" borderId="0" xfId="39" applyFont="false" applyBorder="true" applyAlignment="false" applyProtection="false">
      <alignment horizontal="general" vertical="bottom" textRotation="0" wrapText="false" indent="0" shrinkToFit="false"/>
      <protection locked="true" hidden="false"/>
    </xf>
    <xf numFmtId="173" fontId="15" fillId="16" borderId="21" xfId="36" applyFont="true" applyBorder="true" applyAlignment="true" applyProtection="true">
      <alignment horizontal="center" vertical="bottom" textRotation="0" wrapText="false" indent="0" shrinkToFit="false"/>
      <protection locked="true" hidden="false"/>
    </xf>
    <xf numFmtId="173" fontId="15" fillId="16" borderId="33" xfId="36" applyFont="true" applyBorder="true" applyAlignment="true" applyProtection="true">
      <alignment horizontal="center" vertical="bottom" textRotation="0" wrapText="false" indent="0" shrinkToFit="false"/>
      <protection locked="true" hidden="false"/>
    </xf>
    <xf numFmtId="175" fontId="15" fillId="12" borderId="48" xfId="47" applyFont="true" applyBorder="true" applyAlignment="false" applyProtection="true">
      <alignment horizontal="general" vertical="bottom" textRotation="0" wrapText="false" indent="0" shrinkToFit="false"/>
      <protection locked="true" hidden="false"/>
    </xf>
    <xf numFmtId="164" fontId="15" fillId="17" borderId="0" xfId="47" applyFont="true" applyBorder="true" applyAlignment="true" applyProtection="false">
      <alignment horizontal="left" vertical="bottom" textRotation="0" wrapText="false" indent="0" shrinkToFit="false"/>
      <protection locked="true" hidden="false"/>
    </xf>
    <xf numFmtId="164" fontId="18" fillId="17" borderId="0" xfId="47" applyFont="true" applyBorder="true" applyAlignment="true" applyProtection="false">
      <alignment horizontal="left" vertical="bottom" textRotation="0" wrapText="false" indent="0" shrinkToFit="false"/>
      <protection locked="true" hidden="false"/>
    </xf>
    <xf numFmtId="164" fontId="0" fillId="17" borderId="0" xfId="47" applyFont="true" applyBorder="true" applyAlignment="true" applyProtection="false">
      <alignment horizontal="left" vertical="bottom" textRotation="0" wrapText="false" indent="0" shrinkToFit="false"/>
      <protection locked="true" hidden="false"/>
    </xf>
    <xf numFmtId="164" fontId="11" fillId="0" borderId="0" xfId="47" applyFont="true" applyBorder="false" applyAlignment="false" applyProtection="false">
      <alignment horizontal="general" vertical="bottom" textRotation="0" wrapText="false" indent="0" shrinkToFit="false"/>
      <protection locked="true" hidden="false"/>
    </xf>
    <xf numFmtId="164" fontId="15" fillId="16" borderId="51" xfId="47" applyFont="true" applyBorder="true" applyAlignment="true" applyProtection="false">
      <alignment horizontal="left" vertical="bottom" textRotation="0" wrapText="false" indent="0" shrinkToFit="false"/>
      <protection locked="true" hidden="false"/>
    </xf>
    <xf numFmtId="164" fontId="4" fillId="16" borderId="11" xfId="39" applyFont="false" applyBorder="true" applyAlignment="false" applyProtection="false">
      <alignment horizontal="general" vertical="bottom" textRotation="0" wrapText="false" indent="0" shrinkToFit="false"/>
      <protection locked="true" hidden="false"/>
    </xf>
    <xf numFmtId="173" fontId="15" fillId="16" borderId="48" xfId="36" applyFont="true" applyBorder="true" applyAlignment="true" applyProtection="true">
      <alignment horizontal="center" vertical="bottom" textRotation="0" wrapText="false" indent="0" shrinkToFit="false"/>
      <protection locked="true" hidden="false"/>
    </xf>
    <xf numFmtId="173" fontId="15" fillId="16" borderId="51" xfId="36" applyFont="true" applyBorder="true" applyAlignment="true" applyProtection="true">
      <alignment horizontal="center" vertical="bottom" textRotation="0" wrapText="false" indent="0" shrinkToFit="false"/>
      <protection locked="true" hidden="false"/>
    </xf>
    <xf numFmtId="164" fontId="4" fillId="0" borderId="49" xfId="39" applyFont="false" applyBorder="true" applyAlignment="false" applyProtection="false">
      <alignment horizontal="general" vertical="bottom" textRotation="0" wrapText="false" indent="0" shrinkToFit="false"/>
      <protection locked="true" hidden="false"/>
    </xf>
    <xf numFmtId="164" fontId="15" fillId="17" borderId="0" xfId="39" applyFont="true" applyBorder="true" applyAlignment="false" applyProtection="false">
      <alignment horizontal="general" vertical="bottom" textRotation="0" wrapText="false" indent="0" shrinkToFit="false"/>
      <protection locked="true" hidden="false"/>
    </xf>
    <xf numFmtId="164" fontId="20" fillId="17" borderId="0" xfId="39" applyFont="true" applyBorder="true" applyAlignment="false" applyProtection="false">
      <alignment horizontal="general" vertical="bottom" textRotation="0" wrapText="false" indent="0" shrinkToFit="false"/>
      <protection locked="true" hidden="false"/>
    </xf>
    <xf numFmtId="175" fontId="15" fillId="17" borderId="21" xfId="47" applyFont="true" applyBorder="true" applyAlignment="false" applyProtection="true">
      <alignment horizontal="general" vertical="bottom" textRotation="0" wrapText="false" indent="0" shrinkToFit="false"/>
      <protection locked="true" hidden="false"/>
    </xf>
    <xf numFmtId="164" fontId="15" fillId="18" borderId="33" xfId="47" applyFont="true" applyBorder="true" applyAlignment="true" applyProtection="false">
      <alignment horizontal="left" vertical="bottom" textRotation="0" wrapText="false" indent="0" shrinkToFit="false"/>
      <protection locked="true" hidden="false"/>
    </xf>
    <xf numFmtId="164" fontId="4" fillId="18" borderId="0" xfId="39" applyFont="false" applyBorder="true" applyAlignment="false" applyProtection="false">
      <alignment horizontal="general" vertical="bottom" textRotation="0" wrapText="false" indent="0" shrinkToFit="false"/>
      <protection locked="true" hidden="false"/>
    </xf>
    <xf numFmtId="173" fontId="15" fillId="18" borderId="21" xfId="36" applyFont="true" applyBorder="true" applyAlignment="true" applyProtection="true">
      <alignment horizontal="center" vertical="bottom" textRotation="0" wrapText="false" indent="0" shrinkToFit="false"/>
      <protection locked="true" hidden="false"/>
    </xf>
    <xf numFmtId="173" fontId="15" fillId="18" borderId="33" xfId="36" applyFont="true" applyBorder="true" applyAlignment="true" applyProtection="true">
      <alignment horizontal="center" vertical="bottom" textRotation="0" wrapText="false" indent="0" shrinkToFit="false"/>
      <protection locked="true" hidden="false"/>
    </xf>
    <xf numFmtId="175" fontId="15" fillId="7" borderId="31" xfId="47" applyFont="true" applyBorder="true" applyAlignment="true" applyProtection="true">
      <alignment horizontal="center" vertical="bottom" textRotation="0" wrapText="false" indent="0" shrinkToFit="false"/>
      <protection locked="true" hidden="false"/>
    </xf>
    <xf numFmtId="173" fontId="37" fillId="0" borderId="18" xfId="36" applyFont="true" applyBorder="true" applyAlignment="true" applyProtection="true">
      <alignment horizontal="general" vertical="bottom" textRotation="0" wrapText="false" indent="0" shrinkToFit="false"/>
      <protection locked="true" hidden="false"/>
    </xf>
    <xf numFmtId="173" fontId="37" fillId="0" borderId="53" xfId="36" applyFont="true" applyBorder="true" applyAlignment="true" applyProtection="true">
      <alignment horizontal="general" vertical="bottom" textRotation="0" wrapText="false" indent="0" shrinkToFit="false"/>
      <protection locked="true" hidden="false"/>
    </xf>
    <xf numFmtId="173" fontId="37" fillId="0" borderId="1" xfId="36" applyFont="true" applyBorder="true" applyAlignment="true" applyProtection="true">
      <alignment horizontal="general" vertical="bottom" textRotation="0" wrapText="false" indent="0" shrinkToFit="false"/>
      <protection locked="true" hidden="false"/>
    </xf>
    <xf numFmtId="173" fontId="37" fillId="0" borderId="24" xfId="36" applyFont="true" applyBorder="true" applyAlignment="true" applyProtection="true">
      <alignment horizontal="general" vertical="bottom" textRotation="0" wrapText="false" indent="0" shrinkToFit="false"/>
      <protection locked="true" hidden="false"/>
    </xf>
    <xf numFmtId="173" fontId="37" fillId="0" borderId="20" xfId="36" applyFont="true" applyBorder="true" applyAlignment="true" applyProtection="true">
      <alignment horizontal="general" vertical="bottom" textRotation="0" wrapText="false" indent="0" shrinkToFit="false"/>
      <protection locked="true" hidden="false"/>
    </xf>
    <xf numFmtId="164" fontId="15" fillId="17" borderId="11" xfId="47" applyFont="true" applyBorder="true" applyAlignment="true" applyProtection="false">
      <alignment horizontal="left" vertical="bottom" textRotation="0" wrapText="false" indent="0" shrinkToFit="false"/>
      <protection locked="true" hidden="false"/>
    </xf>
    <xf numFmtId="164" fontId="18" fillId="17" borderId="11" xfId="47" applyFont="true" applyBorder="true" applyAlignment="true" applyProtection="false">
      <alignment horizontal="left" vertical="bottom" textRotation="0" wrapText="false" indent="0" shrinkToFit="false"/>
      <protection locked="true" hidden="false"/>
    </xf>
    <xf numFmtId="164" fontId="0" fillId="17" borderId="11" xfId="47" applyFont="true" applyBorder="true" applyAlignment="true" applyProtection="false">
      <alignment horizontal="left" vertical="bottom" textRotation="0" wrapText="false" indent="0" shrinkToFit="false"/>
      <protection locked="true" hidden="false"/>
    </xf>
    <xf numFmtId="175" fontId="15" fillId="17" borderId="48" xfId="47" applyFont="true" applyBorder="true" applyAlignment="false" applyProtection="true">
      <alignment horizontal="general" vertical="bottom" textRotation="0" wrapText="false" indent="0" shrinkToFit="false"/>
      <protection locked="true" hidden="false"/>
    </xf>
    <xf numFmtId="170" fontId="40" fillId="0" borderId="0" xfId="39" applyFont="true" applyBorder="false" applyAlignment="false" applyProtection="false">
      <alignment horizontal="general" vertical="bottom" textRotation="0" wrapText="false" indent="0" shrinkToFit="false"/>
      <protection locked="true" hidden="false"/>
    </xf>
    <xf numFmtId="164" fontId="15" fillId="19" borderId="0" xfId="47" applyFont="true" applyBorder="true" applyAlignment="true" applyProtection="false">
      <alignment horizontal="left" vertical="bottom" textRotation="0" wrapText="false" indent="0" shrinkToFit="false"/>
      <protection locked="true" hidden="false"/>
    </xf>
    <xf numFmtId="164" fontId="18" fillId="19" borderId="0" xfId="47" applyFont="true" applyBorder="true" applyAlignment="true" applyProtection="false">
      <alignment horizontal="left" vertical="bottom" textRotation="0" wrapText="false" indent="0" shrinkToFit="false"/>
      <protection locked="true" hidden="false"/>
    </xf>
    <xf numFmtId="164" fontId="0" fillId="19" borderId="0" xfId="47" applyFont="true" applyBorder="true" applyAlignment="true" applyProtection="false">
      <alignment horizontal="left" vertical="bottom" textRotation="0" wrapText="false" indent="0" shrinkToFit="false"/>
      <protection locked="true" hidden="false"/>
    </xf>
    <xf numFmtId="175" fontId="15" fillId="19" borderId="21" xfId="47" applyFont="true" applyBorder="true" applyAlignment="false" applyProtection="true">
      <alignment horizontal="general" vertical="bottom" textRotation="0" wrapText="false" indent="0" shrinkToFit="false"/>
      <protection locked="true" hidden="false"/>
    </xf>
    <xf numFmtId="164" fontId="15" fillId="18" borderId="51" xfId="47" applyFont="true" applyBorder="true" applyAlignment="true" applyProtection="false">
      <alignment horizontal="left" vertical="bottom" textRotation="0" wrapText="false" indent="0" shrinkToFit="false"/>
      <protection locked="true" hidden="false"/>
    </xf>
    <xf numFmtId="164" fontId="4" fillId="18" borderId="11" xfId="39" applyFont="false" applyBorder="true" applyAlignment="false" applyProtection="false">
      <alignment horizontal="general" vertical="bottom" textRotation="0" wrapText="false" indent="0" shrinkToFit="false"/>
      <protection locked="true" hidden="false"/>
    </xf>
    <xf numFmtId="173" fontId="15" fillId="18" borderId="48" xfId="36" applyFont="true" applyBorder="true" applyAlignment="true" applyProtection="true">
      <alignment horizontal="center" vertical="bottom" textRotation="0" wrapText="false" indent="0" shrinkToFit="false"/>
      <protection locked="true" hidden="false"/>
    </xf>
    <xf numFmtId="173" fontId="15" fillId="18" borderId="51" xfId="36" applyFont="true" applyBorder="true" applyAlignment="true" applyProtection="true">
      <alignment horizontal="center" vertical="bottom" textRotation="0" wrapText="false" indent="0" shrinkToFit="false"/>
      <protection locked="true" hidden="false"/>
    </xf>
    <xf numFmtId="164" fontId="15" fillId="20" borderId="33" xfId="47" applyFont="true" applyBorder="true" applyAlignment="true" applyProtection="false">
      <alignment horizontal="left" vertical="bottom" textRotation="0" wrapText="false" indent="0" shrinkToFit="false"/>
      <protection locked="true" hidden="false"/>
    </xf>
    <xf numFmtId="164" fontId="4" fillId="20" borderId="0" xfId="39" applyFont="false" applyBorder="true" applyAlignment="false" applyProtection="false">
      <alignment horizontal="general" vertical="bottom" textRotation="0" wrapText="false" indent="0" shrinkToFit="false"/>
      <protection locked="true" hidden="false"/>
    </xf>
    <xf numFmtId="173" fontId="15" fillId="20" borderId="21" xfId="36" applyFont="true" applyBorder="true" applyAlignment="true" applyProtection="true">
      <alignment horizontal="center" vertical="bottom" textRotation="0" wrapText="false" indent="0" shrinkToFit="false"/>
      <protection locked="true" hidden="false"/>
    </xf>
    <xf numFmtId="173" fontId="15" fillId="20" borderId="33" xfId="36" applyFont="true" applyBorder="true" applyAlignment="true" applyProtection="true">
      <alignment horizontal="center" vertical="bottom" textRotation="0" wrapText="false" indent="0" shrinkToFit="false"/>
      <protection locked="true" hidden="false"/>
    </xf>
    <xf numFmtId="173" fontId="37" fillId="0" borderId="31" xfId="36" applyFont="true" applyBorder="true" applyAlignment="true" applyProtection="true">
      <alignment horizontal="general" vertical="bottom" textRotation="0" wrapText="false" indent="0" shrinkToFit="false"/>
      <protection locked="true" hidden="false"/>
    </xf>
    <xf numFmtId="173" fontId="37" fillId="0" borderId="47" xfId="36" applyFont="true" applyBorder="true" applyAlignment="true" applyProtection="true">
      <alignment horizontal="general" vertical="bottom" textRotation="0" wrapText="false" indent="0" shrinkToFit="false"/>
      <protection locked="true" hidden="false"/>
    </xf>
    <xf numFmtId="164" fontId="4" fillId="0" borderId="51" xfId="39" applyFont="false" applyBorder="true" applyAlignment="false" applyProtection="false">
      <alignment horizontal="general" vertical="bottom" textRotation="0" wrapText="false" indent="0" shrinkToFit="false"/>
      <protection locked="true" hidden="false"/>
    </xf>
    <xf numFmtId="173" fontId="37" fillId="0" borderId="50" xfId="36" applyFont="true" applyBorder="true" applyAlignment="true" applyProtection="true">
      <alignment horizontal="general" vertical="bottom" textRotation="0" wrapText="false" indent="0" shrinkToFit="false"/>
      <protection locked="true" hidden="false"/>
    </xf>
    <xf numFmtId="164" fontId="15" fillId="19" borderId="11" xfId="47" applyFont="true" applyBorder="true" applyAlignment="true" applyProtection="false">
      <alignment horizontal="left" vertical="bottom" textRotation="0" wrapText="false" indent="0" shrinkToFit="false"/>
      <protection locked="true" hidden="false"/>
    </xf>
    <xf numFmtId="164" fontId="18" fillId="19" borderId="11" xfId="47" applyFont="true" applyBorder="true" applyAlignment="true" applyProtection="false">
      <alignment horizontal="left" vertical="bottom" textRotation="0" wrapText="false" indent="0" shrinkToFit="false"/>
      <protection locked="true" hidden="false"/>
    </xf>
    <xf numFmtId="164" fontId="0" fillId="19" borderId="11" xfId="47" applyFont="true" applyBorder="true" applyAlignment="true" applyProtection="false">
      <alignment horizontal="left" vertical="bottom" textRotation="0" wrapText="false" indent="0" shrinkToFit="false"/>
      <protection locked="true" hidden="false"/>
    </xf>
    <xf numFmtId="175" fontId="15" fillId="19" borderId="48" xfId="47" applyFont="true" applyBorder="true" applyAlignment="false" applyProtection="true">
      <alignment horizontal="general" vertical="bottom" textRotation="0" wrapText="false" indent="0" shrinkToFit="false"/>
      <protection locked="true" hidden="false"/>
    </xf>
    <xf numFmtId="164" fontId="15" fillId="13" borderId="0" xfId="47" applyFont="true" applyBorder="true" applyAlignment="true" applyProtection="false">
      <alignment horizontal="left" vertical="bottom" textRotation="0" wrapText="false" indent="0" shrinkToFit="false"/>
      <protection locked="true" hidden="false"/>
    </xf>
    <xf numFmtId="164" fontId="18" fillId="13" borderId="0" xfId="47" applyFont="true" applyBorder="true" applyAlignment="true" applyProtection="false">
      <alignment horizontal="left" vertical="bottom" textRotation="0" wrapText="false" indent="0" shrinkToFit="false"/>
      <protection locked="true" hidden="false"/>
    </xf>
    <xf numFmtId="164" fontId="0" fillId="13" borderId="0" xfId="47" applyFont="true" applyBorder="true" applyAlignment="true" applyProtection="false">
      <alignment horizontal="left" vertical="bottom" textRotation="0" wrapText="false" indent="0" shrinkToFit="false"/>
      <protection locked="true" hidden="false"/>
    </xf>
    <xf numFmtId="175" fontId="15" fillId="13" borderId="21" xfId="39" applyFont="true" applyBorder="true" applyAlignment="false" applyProtection="false">
      <alignment horizontal="general" vertical="bottom" textRotation="0" wrapText="false" indent="0" shrinkToFit="false"/>
      <protection locked="true" hidden="false"/>
    </xf>
    <xf numFmtId="175" fontId="15" fillId="13" borderId="22" xfId="39" applyFont="true" applyBorder="true" applyAlignment="false" applyProtection="false">
      <alignment horizontal="general" vertical="bottom" textRotation="0" wrapText="false" indent="0" shrinkToFit="false"/>
      <protection locked="true" hidden="false"/>
    </xf>
    <xf numFmtId="170" fontId="15" fillId="7" borderId="1" xfId="39" applyFont="true" applyBorder="true" applyAlignment="false" applyProtection="false">
      <alignment horizontal="general" vertical="bottom" textRotation="0" wrapText="false" indent="0" shrinkToFit="false"/>
      <protection locked="true" hidden="false"/>
    </xf>
    <xf numFmtId="164" fontId="15" fillId="20" borderId="51" xfId="47" applyFont="true" applyBorder="true" applyAlignment="true" applyProtection="false">
      <alignment horizontal="left" vertical="bottom" textRotation="0" wrapText="false" indent="0" shrinkToFit="false"/>
      <protection locked="true" hidden="false"/>
    </xf>
    <xf numFmtId="164" fontId="4" fillId="20" borderId="11" xfId="39" applyFont="false" applyBorder="true" applyAlignment="false" applyProtection="false">
      <alignment horizontal="general" vertical="bottom" textRotation="0" wrapText="false" indent="0" shrinkToFit="false"/>
      <protection locked="true" hidden="false"/>
    </xf>
    <xf numFmtId="173" fontId="15" fillId="20" borderId="48" xfId="36" applyFont="true" applyBorder="true" applyAlignment="true" applyProtection="true">
      <alignment horizontal="center" vertical="bottom" textRotation="0" wrapText="false" indent="0" shrinkToFit="false"/>
      <protection locked="true" hidden="false"/>
    </xf>
    <xf numFmtId="173" fontId="15" fillId="20" borderId="51" xfId="36" applyFont="true" applyBorder="true" applyAlignment="true" applyProtection="true">
      <alignment horizontal="center" vertical="bottom" textRotation="0" wrapText="false" indent="0" shrinkToFit="false"/>
      <protection locked="true" hidden="false"/>
    </xf>
    <xf numFmtId="164" fontId="15" fillId="21" borderId="33" xfId="47" applyFont="true" applyBorder="true" applyAlignment="true" applyProtection="false">
      <alignment horizontal="left" vertical="bottom" textRotation="0" wrapText="false" indent="0" shrinkToFit="false"/>
      <protection locked="true" hidden="false"/>
    </xf>
    <xf numFmtId="164" fontId="4" fillId="21" borderId="0" xfId="39" applyFont="false" applyBorder="true" applyAlignment="false" applyProtection="false">
      <alignment horizontal="general" vertical="bottom" textRotation="0" wrapText="false" indent="0" shrinkToFit="false"/>
      <protection locked="true" hidden="false"/>
    </xf>
    <xf numFmtId="173" fontId="15" fillId="21" borderId="21" xfId="36" applyFont="true" applyBorder="true" applyAlignment="true" applyProtection="true">
      <alignment horizontal="center" vertical="bottom" textRotation="0" wrapText="false" indent="0" shrinkToFit="false"/>
      <protection locked="true" hidden="false"/>
    </xf>
    <xf numFmtId="173" fontId="15" fillId="21" borderId="33" xfId="36" applyFont="true" applyBorder="true" applyAlignment="true" applyProtection="true">
      <alignment horizontal="center" vertical="bottom" textRotation="0" wrapText="false" indent="0" shrinkToFit="false"/>
      <protection locked="true" hidden="false"/>
    </xf>
    <xf numFmtId="164" fontId="41" fillId="7" borderId="60" xfId="39" applyFont="true" applyBorder="true" applyAlignment="true" applyProtection="false">
      <alignment horizontal="right" vertical="bottom" textRotation="0" wrapText="false" indent="0" shrinkToFit="false"/>
      <protection locked="true" hidden="false"/>
    </xf>
    <xf numFmtId="164" fontId="15" fillId="13" borderId="11" xfId="47" applyFont="true" applyBorder="true" applyAlignment="true" applyProtection="false">
      <alignment horizontal="left" vertical="bottom" textRotation="0" wrapText="false" indent="0" shrinkToFit="false"/>
      <protection locked="true" hidden="false"/>
    </xf>
    <xf numFmtId="164" fontId="18" fillId="13" borderId="11" xfId="47" applyFont="true" applyBorder="true" applyAlignment="true" applyProtection="false">
      <alignment horizontal="left" vertical="bottom" textRotation="0" wrapText="false" indent="0" shrinkToFit="false"/>
      <protection locked="true" hidden="false"/>
    </xf>
    <xf numFmtId="164" fontId="0" fillId="13" borderId="11" xfId="47" applyFont="true" applyBorder="true" applyAlignment="true" applyProtection="false">
      <alignment horizontal="left" vertical="bottom" textRotation="0" wrapText="false" indent="0" shrinkToFit="false"/>
      <protection locked="true" hidden="false"/>
    </xf>
    <xf numFmtId="175" fontId="15" fillId="13" borderId="48" xfId="39" applyFont="true" applyBorder="true" applyAlignment="false" applyProtection="false">
      <alignment horizontal="general" vertical="bottom" textRotation="0" wrapText="false" indent="0" shrinkToFit="false"/>
      <protection locked="true" hidden="false"/>
    </xf>
    <xf numFmtId="175" fontId="15" fillId="13" borderId="52" xfId="39" applyFont="true" applyBorder="true" applyAlignment="false" applyProtection="false">
      <alignment horizontal="general" vertical="bottom" textRotation="0" wrapText="false" indent="0" shrinkToFit="false"/>
      <protection locked="true" hidden="false"/>
    </xf>
    <xf numFmtId="170" fontId="15" fillId="7" borderId="49" xfId="39" applyFont="true" applyBorder="true" applyAlignment="false" applyProtection="false">
      <alignment horizontal="general" vertical="bottom" textRotation="0" wrapText="false" indent="0" shrinkToFit="false"/>
      <protection locked="true" hidden="false"/>
    </xf>
    <xf numFmtId="164" fontId="15" fillId="21" borderId="51" xfId="47" applyFont="true" applyBorder="true" applyAlignment="true" applyProtection="false">
      <alignment horizontal="left" vertical="bottom" textRotation="0" wrapText="false" indent="0" shrinkToFit="false"/>
      <protection locked="true" hidden="false"/>
    </xf>
    <xf numFmtId="164" fontId="4" fillId="21" borderId="11" xfId="39" applyFont="false" applyBorder="true" applyAlignment="false" applyProtection="false">
      <alignment horizontal="general" vertical="bottom" textRotation="0" wrapText="false" indent="0" shrinkToFit="false"/>
      <protection locked="true" hidden="false"/>
    </xf>
    <xf numFmtId="173" fontId="15" fillId="21" borderId="48" xfId="36" applyFont="true" applyBorder="true" applyAlignment="true" applyProtection="true">
      <alignment horizontal="center" vertical="bottom" textRotation="0" wrapText="false" indent="0" shrinkToFit="false"/>
      <protection locked="true" hidden="false"/>
    </xf>
    <xf numFmtId="173" fontId="15" fillId="21" borderId="51" xfId="36" applyFont="true" applyBorder="true" applyAlignment="true" applyProtection="true">
      <alignment horizontal="center" vertical="bottom" textRotation="0" wrapText="false" indent="0" shrinkToFit="false"/>
      <protection locked="true" hidden="false"/>
    </xf>
    <xf numFmtId="181" fontId="4" fillId="21" borderId="11" xfId="39" applyFont="false" applyBorder="true" applyAlignment="false" applyProtection="false">
      <alignment horizontal="general" vertical="bottom" textRotation="0" wrapText="false" indent="0" shrinkToFit="false"/>
      <protection locked="true" hidden="false"/>
    </xf>
    <xf numFmtId="164" fontId="15" fillId="22" borderId="33" xfId="47" applyFont="true" applyBorder="true" applyAlignment="true" applyProtection="false">
      <alignment horizontal="left" vertical="bottom" textRotation="0" wrapText="false" indent="0" shrinkToFit="false"/>
      <protection locked="true" hidden="false"/>
    </xf>
    <xf numFmtId="164" fontId="4" fillId="22" borderId="0" xfId="39" applyFont="false" applyBorder="true" applyAlignment="false" applyProtection="false">
      <alignment horizontal="general" vertical="bottom" textRotation="0" wrapText="false" indent="0" shrinkToFit="false"/>
      <protection locked="true" hidden="false"/>
    </xf>
    <xf numFmtId="173" fontId="15" fillId="22" borderId="21" xfId="36" applyFont="true" applyBorder="true" applyAlignment="true" applyProtection="true">
      <alignment horizontal="center" vertical="bottom" textRotation="0" wrapText="false" indent="0" shrinkToFit="false"/>
      <protection locked="true" hidden="false"/>
    </xf>
    <xf numFmtId="173" fontId="15" fillId="22" borderId="33" xfId="36" applyFont="true" applyBorder="true" applyAlignment="true" applyProtection="true">
      <alignment horizontal="center" vertical="bottom" textRotation="0" wrapText="false" indent="0" shrinkToFit="false"/>
      <protection locked="true" hidden="false"/>
    </xf>
    <xf numFmtId="175" fontId="15" fillId="17" borderId="21" xfId="39" applyFont="true" applyBorder="true" applyAlignment="false" applyProtection="false">
      <alignment horizontal="general" vertical="bottom" textRotation="0" wrapText="false" indent="0" shrinkToFit="false"/>
      <protection locked="true" hidden="false"/>
    </xf>
    <xf numFmtId="164" fontId="15" fillId="22" borderId="51" xfId="47" applyFont="true" applyBorder="true" applyAlignment="true" applyProtection="false">
      <alignment horizontal="left" vertical="bottom" textRotation="0" wrapText="false" indent="0" shrinkToFit="false"/>
      <protection locked="true" hidden="false"/>
    </xf>
    <xf numFmtId="164" fontId="4" fillId="22" borderId="11" xfId="39" applyFont="false" applyBorder="true" applyAlignment="false" applyProtection="false">
      <alignment horizontal="general" vertical="bottom" textRotation="0" wrapText="false" indent="0" shrinkToFit="false"/>
      <protection locked="true" hidden="false"/>
    </xf>
    <xf numFmtId="173" fontId="15" fillId="22" borderId="48" xfId="36" applyFont="true" applyBorder="true" applyAlignment="true" applyProtection="true">
      <alignment horizontal="center" vertical="bottom" textRotation="0" wrapText="false" indent="0" shrinkToFit="false"/>
      <protection locked="true" hidden="false"/>
    </xf>
    <xf numFmtId="173" fontId="15" fillId="22" borderId="51" xfId="36" applyFont="true" applyBorder="true" applyAlignment="true" applyProtection="true">
      <alignment horizontal="center" vertical="bottom" textRotation="0" wrapText="false" indent="0" shrinkToFit="false"/>
      <protection locked="true" hidden="false"/>
    </xf>
    <xf numFmtId="175" fontId="15" fillId="17" borderId="48" xfId="39" applyFont="true" applyBorder="true" applyAlignment="false" applyProtection="false">
      <alignment horizontal="general" vertical="bottom" textRotation="0" wrapText="false" indent="0" shrinkToFit="false"/>
      <protection locked="true" hidden="false"/>
    </xf>
    <xf numFmtId="164" fontId="15" fillId="23" borderId="0" xfId="47" applyFont="true" applyBorder="true" applyAlignment="true" applyProtection="false">
      <alignment horizontal="left" vertical="bottom" textRotation="0" wrapText="false" indent="0" shrinkToFit="false"/>
      <protection locked="true" hidden="false"/>
    </xf>
    <xf numFmtId="164" fontId="18" fillId="23" borderId="0" xfId="47" applyFont="true" applyBorder="true" applyAlignment="true" applyProtection="false">
      <alignment horizontal="left" vertical="bottom" textRotation="0" wrapText="false" indent="0" shrinkToFit="false"/>
      <protection locked="true" hidden="false"/>
    </xf>
    <xf numFmtId="164" fontId="0" fillId="23" borderId="0" xfId="47" applyFont="true" applyBorder="true" applyAlignment="true" applyProtection="false">
      <alignment horizontal="left" vertical="bottom" textRotation="0" wrapText="false" indent="0" shrinkToFit="false"/>
      <protection locked="true" hidden="false"/>
    </xf>
    <xf numFmtId="175" fontId="15" fillId="23" borderId="21" xfId="39" applyFont="true" applyBorder="true" applyAlignment="false" applyProtection="false">
      <alignment horizontal="general" vertical="bottom" textRotation="0" wrapText="false" indent="0" shrinkToFit="false"/>
      <protection locked="true" hidden="false"/>
    </xf>
    <xf numFmtId="176" fontId="15" fillId="23" borderId="21" xfId="47" applyFont="true" applyBorder="true" applyAlignment="false" applyProtection="true">
      <alignment horizontal="general" vertical="bottom" textRotation="0" wrapText="false" indent="0" shrinkToFit="false"/>
      <protection locked="true" hidden="false"/>
    </xf>
    <xf numFmtId="164" fontId="15" fillId="23" borderId="11" xfId="47" applyFont="true" applyBorder="true" applyAlignment="true" applyProtection="false">
      <alignment horizontal="left" vertical="bottom" textRotation="0" wrapText="false" indent="0" shrinkToFit="false"/>
      <protection locked="true" hidden="false"/>
    </xf>
    <xf numFmtId="164" fontId="18" fillId="23" borderId="11" xfId="47" applyFont="true" applyBorder="true" applyAlignment="true" applyProtection="false">
      <alignment horizontal="left" vertical="bottom" textRotation="0" wrapText="false" indent="0" shrinkToFit="false"/>
      <protection locked="true" hidden="false"/>
    </xf>
    <xf numFmtId="164" fontId="0" fillId="23" borderId="11" xfId="47" applyFont="true" applyBorder="true" applyAlignment="true" applyProtection="false">
      <alignment horizontal="left" vertical="bottom" textRotation="0" wrapText="false" indent="0" shrinkToFit="false"/>
      <protection locked="true" hidden="false"/>
    </xf>
    <xf numFmtId="176" fontId="15" fillId="23" borderId="48" xfId="47" applyFont="true" applyBorder="true" applyAlignment="false" applyProtection="true">
      <alignment horizontal="general" vertical="bottom" textRotation="0" wrapText="false" indent="0" shrinkToFit="false"/>
      <protection locked="true" hidden="false"/>
    </xf>
    <xf numFmtId="164" fontId="15" fillId="24" borderId="0" xfId="47" applyFont="true" applyBorder="true" applyAlignment="true" applyProtection="false">
      <alignment horizontal="left" vertical="bottom" textRotation="0" wrapText="false" indent="0" shrinkToFit="false"/>
      <protection locked="true" hidden="false"/>
    </xf>
    <xf numFmtId="164" fontId="18" fillId="24" borderId="0" xfId="47" applyFont="true" applyBorder="true" applyAlignment="true" applyProtection="false">
      <alignment horizontal="left" vertical="bottom" textRotation="0" wrapText="false" indent="0" shrinkToFit="false"/>
      <protection locked="true" hidden="false"/>
    </xf>
    <xf numFmtId="164" fontId="0" fillId="24" borderId="0" xfId="47" applyFont="true" applyBorder="true" applyAlignment="true" applyProtection="false">
      <alignment horizontal="left" vertical="bottom" textRotation="0" wrapText="false" indent="0" shrinkToFit="false"/>
      <protection locked="true" hidden="false"/>
    </xf>
    <xf numFmtId="175" fontId="18" fillId="24" borderId="21" xfId="47" applyFont="true" applyBorder="true" applyAlignment="false" applyProtection="true">
      <alignment horizontal="general" vertical="bottom" textRotation="0" wrapText="false" indent="0" shrinkToFit="false"/>
      <protection locked="true" hidden="false"/>
    </xf>
    <xf numFmtId="170" fontId="17" fillId="0" borderId="0" xfId="39" applyFont="true" applyBorder="false" applyAlignment="false" applyProtection="false">
      <alignment horizontal="general" vertical="bottom" textRotation="0" wrapText="false" indent="0" shrinkToFit="false"/>
      <protection locked="true" hidden="false"/>
    </xf>
    <xf numFmtId="177" fontId="15" fillId="7" borderId="0" xfId="47" applyFont="true" applyBorder="true" applyAlignment="true" applyProtection="true">
      <alignment horizontal="center" vertical="bottom" textRotation="0" wrapText="false" indent="0" shrinkToFit="false"/>
      <protection locked="true" hidden="false"/>
    </xf>
    <xf numFmtId="164" fontId="4" fillId="0" borderId="0" xfId="39" applyFont="true" applyBorder="false" applyAlignment="true" applyProtection="false">
      <alignment horizontal="general" vertical="bottom" textRotation="0" wrapText="true" indent="0" shrinkToFit="false"/>
      <protection locked="true" hidden="false"/>
    </xf>
    <xf numFmtId="172" fontId="4" fillId="0" borderId="0" xfId="39" applyFont="false" applyBorder="false" applyAlignment="false" applyProtection="false">
      <alignment horizontal="general" vertical="bottom" textRotation="0" wrapText="false" indent="0" shrinkToFit="false"/>
      <protection locked="true" hidden="false"/>
    </xf>
    <xf numFmtId="176" fontId="18" fillId="24" borderId="21" xfId="47" applyFont="true" applyBorder="true" applyAlignment="false" applyProtection="true">
      <alignment horizontal="general" vertical="bottom" textRotation="0" wrapText="false" indent="0" shrinkToFit="false"/>
      <protection locked="true" hidden="false"/>
    </xf>
    <xf numFmtId="164" fontId="42" fillId="0" borderId="0" xfId="39" applyFont="true" applyBorder="false" applyAlignment="false" applyProtection="false">
      <alignment horizontal="general" vertical="bottom" textRotation="0" wrapText="false" indent="0" shrinkToFit="false"/>
      <protection locked="true" hidden="false"/>
    </xf>
    <xf numFmtId="175" fontId="15" fillId="24" borderId="21" xfId="47" applyFont="true" applyBorder="true" applyAlignment="false" applyProtection="true">
      <alignment horizontal="general" vertical="bottom" textRotation="0" wrapText="false" indent="0" shrinkToFit="false"/>
      <protection locked="true" hidden="false"/>
    </xf>
    <xf numFmtId="164" fontId="20" fillId="0" borderId="0" xfId="39" applyFont="true" applyBorder="false" applyAlignment="true" applyProtection="false">
      <alignment horizontal="general" vertical="bottom" textRotation="0" wrapText="true" indent="0" shrinkToFit="false"/>
      <protection locked="true" hidden="false"/>
    </xf>
    <xf numFmtId="176" fontId="15" fillId="24" borderId="21" xfId="47" applyFont="true" applyBorder="true" applyAlignment="false" applyProtection="true">
      <alignment horizontal="general" vertical="bottom" textRotation="0" wrapText="false" indent="0" shrinkToFit="false"/>
      <protection locked="true" hidden="false"/>
    </xf>
    <xf numFmtId="164" fontId="15" fillId="24" borderId="11" xfId="47" applyFont="true" applyBorder="true" applyAlignment="true" applyProtection="false">
      <alignment horizontal="left" vertical="bottom" textRotation="0" wrapText="false" indent="0" shrinkToFit="false"/>
      <protection locked="true" hidden="false"/>
    </xf>
    <xf numFmtId="164" fontId="18" fillId="24" borderId="11" xfId="47" applyFont="true" applyBorder="true" applyAlignment="true" applyProtection="false">
      <alignment horizontal="left" vertical="bottom" textRotation="0" wrapText="false" indent="0" shrinkToFit="false"/>
      <protection locked="true" hidden="false"/>
    </xf>
    <xf numFmtId="164" fontId="0" fillId="24" borderId="11" xfId="47" applyFont="true" applyBorder="true" applyAlignment="true" applyProtection="false">
      <alignment horizontal="left" vertical="bottom" textRotation="0" wrapText="false" indent="0" shrinkToFit="false"/>
      <protection locked="true" hidden="false"/>
    </xf>
    <xf numFmtId="176" fontId="15" fillId="24" borderId="48" xfId="47" applyFont="true" applyBorder="true" applyAlignment="false" applyProtection="true">
      <alignment horizontal="general" vertical="bottom" textRotation="0" wrapText="false" indent="0" shrinkToFit="false"/>
      <protection locked="true" hidden="false"/>
    </xf>
    <xf numFmtId="175" fontId="15" fillId="13" borderId="16" xfId="39" applyFont="true" applyBorder="true" applyAlignment="false" applyProtection="false">
      <alignment horizontal="general" vertical="bottom" textRotation="0" wrapText="false" indent="0" shrinkToFit="false"/>
      <protection locked="true" hidden="false"/>
    </xf>
    <xf numFmtId="170" fontId="15" fillId="7" borderId="22" xfId="47" applyFont="true" applyBorder="true" applyAlignment="false" applyProtection="true">
      <alignment horizontal="general" vertical="bottom" textRotation="0" wrapText="false" indent="0" shrinkToFit="false"/>
      <protection locked="true" hidden="false"/>
    </xf>
    <xf numFmtId="176" fontId="15" fillId="13" borderId="21" xfId="47" applyFont="true" applyBorder="true" applyAlignment="false" applyProtection="true">
      <alignment horizontal="general" vertical="bottom" textRotation="0" wrapText="false" indent="0" shrinkToFit="false"/>
      <protection locked="true" hidden="false"/>
    </xf>
    <xf numFmtId="176" fontId="15" fillId="13" borderId="21" xfId="39" applyFont="true" applyBorder="true" applyAlignment="false" applyProtection="false">
      <alignment horizontal="general" vertical="bottom" textRotation="0" wrapText="false" indent="0" shrinkToFit="false"/>
      <protection locked="true" hidden="false"/>
    </xf>
    <xf numFmtId="170" fontId="15" fillId="7" borderId="22" xfId="39" applyFont="true" applyBorder="true" applyAlignment="false" applyProtection="false">
      <alignment horizontal="general" vertical="bottom" textRotation="0" wrapText="false" indent="0" shrinkToFit="false"/>
      <protection locked="true" hidden="false"/>
    </xf>
    <xf numFmtId="170" fontId="15" fillId="7" borderId="22" xfId="36" applyFont="true" applyBorder="true" applyAlignment="true" applyProtection="true">
      <alignment horizontal="general" vertical="bottom" textRotation="0" wrapText="false" indent="0" shrinkToFit="false"/>
      <protection locked="true" hidden="false"/>
    </xf>
    <xf numFmtId="176" fontId="20" fillId="13" borderId="48" xfId="47" applyFont="true" applyBorder="true" applyAlignment="true" applyProtection="true">
      <alignment horizontal="right" vertical="bottom" textRotation="0" wrapText="false" indent="0" shrinkToFit="false"/>
      <protection locked="true" hidden="false"/>
    </xf>
    <xf numFmtId="170" fontId="20" fillId="0" borderId="48" xfId="47" applyFont="true" applyBorder="true" applyAlignment="true" applyProtection="true">
      <alignment horizontal="right" vertical="bottom" textRotation="0" wrapText="false" indent="0" shrinkToFit="false"/>
      <protection locked="true" hidden="false"/>
    </xf>
    <xf numFmtId="164" fontId="15" fillId="25" borderId="0" xfId="47" applyFont="true" applyBorder="true" applyAlignment="true" applyProtection="false">
      <alignment horizontal="left" vertical="bottom" textRotation="0" wrapText="false" indent="0" shrinkToFit="false"/>
      <protection locked="true" hidden="false"/>
    </xf>
    <xf numFmtId="164" fontId="18" fillId="25" borderId="0" xfId="47" applyFont="true" applyBorder="true" applyAlignment="true" applyProtection="false">
      <alignment horizontal="left" vertical="bottom" textRotation="0" wrapText="false" indent="0" shrinkToFit="false"/>
      <protection locked="true" hidden="false"/>
    </xf>
    <xf numFmtId="164" fontId="0" fillId="25" borderId="0" xfId="47" applyFont="true" applyBorder="true" applyAlignment="true" applyProtection="false">
      <alignment horizontal="left" vertical="bottom" textRotation="0" wrapText="false" indent="0" shrinkToFit="false"/>
      <protection locked="true" hidden="false"/>
    </xf>
    <xf numFmtId="176" fontId="20" fillId="25" borderId="21" xfId="47" applyFont="true" applyBorder="true" applyAlignment="true" applyProtection="true">
      <alignment horizontal="right" vertical="bottom" textRotation="0" wrapText="false" indent="0" shrinkToFit="false"/>
      <protection locked="true" hidden="false"/>
    </xf>
    <xf numFmtId="176" fontId="20" fillId="25" borderId="33" xfId="47" applyFont="true" applyBorder="true" applyAlignment="true" applyProtection="true">
      <alignment horizontal="right" vertical="bottom" textRotation="0" wrapText="false" indent="0" shrinkToFit="false"/>
      <protection locked="true" hidden="false"/>
    </xf>
    <xf numFmtId="164" fontId="0" fillId="25" borderId="11" xfId="47" applyFont="true" applyBorder="true" applyAlignment="true" applyProtection="false">
      <alignment horizontal="left" vertical="bottom" textRotation="0" wrapText="false" indent="0" shrinkToFit="false"/>
      <protection locked="true" hidden="false"/>
    </xf>
    <xf numFmtId="164" fontId="15" fillId="25" borderId="11" xfId="47" applyFont="true" applyBorder="true" applyAlignment="true" applyProtection="false">
      <alignment horizontal="left" vertical="bottom" textRotation="0" wrapText="false" indent="0" shrinkToFit="false"/>
      <protection locked="true" hidden="false"/>
    </xf>
    <xf numFmtId="164" fontId="18" fillId="25" borderId="11" xfId="47" applyFont="true" applyBorder="true" applyAlignment="true" applyProtection="false">
      <alignment horizontal="left" vertical="bottom" textRotation="0" wrapText="false" indent="0" shrinkToFit="false"/>
      <protection locked="true" hidden="false"/>
    </xf>
    <xf numFmtId="176" fontId="20" fillId="25" borderId="48" xfId="47" applyFont="true" applyBorder="true" applyAlignment="true" applyProtection="true">
      <alignment horizontal="right" vertical="bottom" textRotation="0" wrapText="false" indent="0" shrinkToFit="false"/>
      <protection locked="true" hidden="false"/>
    </xf>
    <xf numFmtId="176" fontId="20" fillId="25" borderId="51" xfId="47" applyFont="true" applyBorder="true" applyAlignment="true" applyProtection="true">
      <alignment horizontal="right" vertical="bottom" textRotation="0" wrapText="false" indent="0" shrinkToFit="false"/>
      <protection locked="true" hidden="false"/>
    </xf>
    <xf numFmtId="177" fontId="15" fillId="11" borderId="48" xfId="47" applyFont="true" applyBorder="true" applyAlignment="false" applyProtection="true">
      <alignment horizontal="general" vertical="bottom" textRotation="0" wrapText="false" indent="0" shrinkToFit="false"/>
      <protection locked="true" hidden="false"/>
    </xf>
    <xf numFmtId="177" fontId="20" fillId="0" borderId="48" xfId="47" applyFont="true" applyBorder="true" applyAlignment="true" applyProtection="true">
      <alignment horizontal="right" vertical="bottom" textRotation="0" wrapText="false" indent="0" shrinkToFit="false"/>
      <protection locked="true" hidden="false"/>
    </xf>
    <xf numFmtId="164" fontId="15" fillId="26" borderId="0" xfId="47" applyFont="true" applyBorder="true" applyAlignment="true" applyProtection="false">
      <alignment horizontal="left" vertical="bottom" textRotation="0" wrapText="false" indent="0" shrinkToFit="false"/>
      <protection locked="true" hidden="false"/>
    </xf>
    <xf numFmtId="164" fontId="18" fillId="26" borderId="0" xfId="47" applyFont="true" applyBorder="true" applyAlignment="true" applyProtection="false">
      <alignment horizontal="left" vertical="bottom" textRotation="0" wrapText="false" indent="0" shrinkToFit="false"/>
      <protection locked="true" hidden="false"/>
    </xf>
    <xf numFmtId="164" fontId="0" fillId="26" borderId="0" xfId="47" applyFont="true" applyBorder="true" applyAlignment="true" applyProtection="false">
      <alignment horizontal="left" vertical="bottom" textRotation="0" wrapText="false" indent="0" shrinkToFit="false"/>
      <protection locked="true" hidden="false"/>
    </xf>
    <xf numFmtId="176" fontId="20" fillId="26" borderId="21" xfId="47" applyFont="true" applyBorder="true" applyAlignment="true" applyProtection="true">
      <alignment horizontal="right" vertical="bottom" textRotation="0" wrapText="false" indent="0" shrinkToFit="false"/>
      <protection locked="true" hidden="false"/>
    </xf>
    <xf numFmtId="176" fontId="20" fillId="26" borderId="33" xfId="47" applyFont="true" applyBorder="true" applyAlignment="true" applyProtection="true">
      <alignment horizontal="right" vertical="bottom" textRotation="0" wrapText="false" indent="0" shrinkToFit="false"/>
      <protection locked="true" hidden="false"/>
    </xf>
    <xf numFmtId="170" fontId="37" fillId="0" borderId="21" xfId="39" applyFont="true" applyBorder="true" applyAlignment="false" applyProtection="false">
      <alignment horizontal="general" vertical="bottom" textRotation="0" wrapText="false" indent="0" shrinkToFit="false"/>
      <protection locked="true" hidden="false"/>
    </xf>
    <xf numFmtId="164" fontId="15" fillId="26" borderId="11" xfId="47" applyFont="true" applyBorder="true" applyAlignment="true" applyProtection="false">
      <alignment horizontal="left" vertical="bottom" textRotation="0" wrapText="false" indent="0" shrinkToFit="false"/>
      <protection locked="true" hidden="false"/>
    </xf>
    <xf numFmtId="164" fontId="18" fillId="26" borderId="11" xfId="47" applyFont="true" applyBorder="true" applyAlignment="true" applyProtection="false">
      <alignment horizontal="left" vertical="bottom" textRotation="0" wrapText="false" indent="0" shrinkToFit="false"/>
      <protection locked="true" hidden="false"/>
    </xf>
    <xf numFmtId="164" fontId="0" fillId="26" borderId="11" xfId="47" applyFont="true" applyBorder="true" applyAlignment="true" applyProtection="false">
      <alignment horizontal="left" vertical="bottom" textRotation="0" wrapText="false" indent="0" shrinkToFit="false"/>
      <protection locked="true" hidden="false"/>
    </xf>
    <xf numFmtId="176" fontId="20" fillId="26" borderId="48" xfId="47" applyFont="true" applyBorder="true" applyAlignment="true" applyProtection="true">
      <alignment horizontal="right" vertical="bottom" textRotation="0" wrapText="false" indent="0" shrinkToFit="false"/>
      <protection locked="true" hidden="false"/>
    </xf>
    <xf numFmtId="176" fontId="20" fillId="26" borderId="51" xfId="47" applyFont="true" applyBorder="true" applyAlignment="true" applyProtection="true">
      <alignment horizontal="right" vertical="bottom" textRotation="0" wrapText="false" indent="0" shrinkToFit="false"/>
      <protection locked="true" hidden="false"/>
    </xf>
    <xf numFmtId="170" fontId="37" fillId="0" borderId="48" xfId="39" applyFont="true" applyBorder="true" applyAlignment="false" applyProtection="false">
      <alignment horizontal="general" vertical="bottom" textRotation="0" wrapText="false" indent="0" shrinkToFit="false"/>
      <protection locked="true" hidden="false"/>
    </xf>
    <xf numFmtId="170" fontId="20" fillId="7" borderId="0" xfId="39" applyFont="true" applyBorder="false" applyAlignment="false" applyProtection="false">
      <alignment horizontal="general" vertical="bottom" textRotation="0" wrapText="false" indent="0" shrinkToFit="false"/>
      <protection locked="true" hidden="false"/>
    </xf>
    <xf numFmtId="170" fontId="20" fillId="7" borderId="0" xfId="36" applyFont="true" applyBorder="true" applyAlignment="true" applyProtection="true">
      <alignment horizontal="general" vertical="bottom" textRotation="0" wrapText="false" indent="0" shrinkToFit="false"/>
      <protection locked="true" hidden="false"/>
    </xf>
    <xf numFmtId="170" fontId="20" fillId="7" borderId="0" xfId="39" applyFont="true" applyBorder="false" applyAlignment="true" applyProtection="false">
      <alignment horizontal="right" vertical="bottom" textRotation="0" wrapText="false" indent="0" shrinkToFit="false"/>
      <protection locked="true" hidden="false"/>
    </xf>
    <xf numFmtId="170" fontId="20" fillId="7" borderId="0" xfId="39" applyFont="true" applyBorder="false" applyAlignment="true" applyProtection="false">
      <alignment horizontal="general" vertical="bottom" textRotation="0" wrapText="false" indent="0" shrinkToFit="false"/>
      <protection locked="true" hidden="false"/>
    </xf>
    <xf numFmtId="164" fontId="13" fillId="0" borderId="0" xfId="39" applyFont="true" applyBorder="false" applyAlignment="false" applyProtection="false">
      <alignment horizontal="general" vertical="bottom" textRotation="0" wrapText="false" indent="0" shrinkToFit="false"/>
      <protection locked="true" hidden="false"/>
    </xf>
    <xf numFmtId="164" fontId="43" fillId="27" borderId="0" xfId="21" applyFont="true" applyBorder="true" applyAlignment="true" applyProtection="true">
      <alignment horizontal="general" vertical="bottom" textRotation="0" wrapText="false" indent="0" shrinkToFit="false"/>
      <protection locked="true" hidden="false"/>
    </xf>
    <xf numFmtId="164" fontId="44" fillId="27" borderId="0" xfId="21" applyFont="true" applyBorder="true" applyAlignment="true" applyProtection="true">
      <alignment horizontal="general" vertical="bottom" textRotation="0" wrapText="false" indent="0" shrinkToFit="false"/>
      <protection locked="true" hidden="false"/>
    </xf>
    <xf numFmtId="164" fontId="15" fillId="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18" fillId="0" borderId="0" xfId="21" applyFont="true" applyBorder="true" applyAlignment="true" applyProtection="true">
      <alignment horizontal="general" vertical="bottom" textRotation="0" wrapText="false" indent="0" shrinkToFit="false"/>
      <protection locked="true" hidden="false"/>
    </xf>
    <xf numFmtId="164" fontId="16" fillId="0" borderId="0" xfId="21" applyFont="true" applyBorder="true" applyAlignment="true" applyProtection="true">
      <alignment horizontal="general" vertical="bottom" textRotation="0" wrapText="false" indent="0" shrinkToFit="false"/>
      <protection locked="true" hidden="false"/>
    </xf>
    <xf numFmtId="164" fontId="45" fillId="0" borderId="0" xfId="42" applyFont="true" applyBorder="true" applyAlignment="true" applyProtection="true">
      <alignment horizontal="general" vertical="center" textRotation="0" wrapText="true" indent="0" shrinkToFit="false"/>
      <protection locked="true" hidden="false"/>
    </xf>
    <xf numFmtId="164" fontId="35" fillId="8" borderId="61" xfId="21" applyFont="true" applyBorder="true" applyAlignment="true" applyProtection="true">
      <alignment horizontal="general" vertical="bottom" textRotation="0" wrapText="false" indent="0" shrinkToFit="false"/>
      <protection locked="true" hidden="false"/>
    </xf>
    <xf numFmtId="164" fontId="19" fillId="8" borderId="61" xfId="21" applyFont="true" applyBorder="true" applyAlignment="true" applyProtection="true">
      <alignment horizontal="center" vertical="center" textRotation="0" wrapText="true" indent="0" shrinkToFit="false"/>
      <protection locked="true" hidden="false"/>
    </xf>
    <xf numFmtId="164" fontId="19" fillId="8" borderId="32" xfId="21" applyFont="true" applyBorder="true" applyAlignment="true" applyProtection="true">
      <alignment horizontal="center" vertical="center" textRotation="0" wrapText="true" indent="0" shrinkToFit="false"/>
      <protection locked="true" hidden="false"/>
    </xf>
    <xf numFmtId="171" fontId="19" fillId="28" borderId="0" xfId="38" applyFont="true" applyBorder="true" applyAlignment="true" applyProtection="true">
      <alignment horizontal="general" vertical="bottom" textRotation="0" wrapText="false" indent="0" shrinkToFit="false"/>
      <protection locked="true" hidden="false"/>
    </xf>
    <xf numFmtId="170" fontId="35" fillId="28" borderId="0" xfId="38" applyFont="true" applyBorder="true" applyAlignment="true" applyProtection="true">
      <alignment horizontal="general" vertical="bottom" textRotation="0" wrapText="false" indent="0" shrinkToFit="false"/>
      <protection locked="true" hidden="false"/>
    </xf>
    <xf numFmtId="171" fontId="19" fillId="7" borderId="0" xfId="38" applyFont="true" applyBorder="true" applyAlignment="true" applyProtection="true">
      <alignment horizontal="general" vertical="bottom" textRotation="0" wrapText="false" indent="0" shrinkToFit="false"/>
      <protection locked="true" hidden="false"/>
    </xf>
    <xf numFmtId="170" fontId="35" fillId="7" borderId="0" xfId="38" applyFont="true" applyBorder="true" applyAlignment="true" applyProtection="true">
      <alignment horizontal="general" vertical="bottom" textRotation="0" wrapText="false" indent="0" shrinkToFit="false"/>
      <protection locked="true" hidden="false"/>
    </xf>
    <xf numFmtId="171" fontId="19" fillId="0" borderId="0" xfId="38" applyFont="true" applyBorder="true" applyAlignment="true" applyProtection="true">
      <alignment horizontal="general" vertical="bottom" textRotation="0" wrapText="false" indent="0" shrinkToFit="false"/>
      <protection locked="true" hidden="false"/>
    </xf>
    <xf numFmtId="170" fontId="35" fillId="0" borderId="0" xfId="38" applyFont="true" applyBorder="true" applyAlignment="true" applyProtection="true">
      <alignment horizontal="general" vertical="bottom" textRotation="0" wrapText="false" indent="0" shrinkToFit="false"/>
      <protection locked="true" hidden="false"/>
    </xf>
    <xf numFmtId="172" fontId="0" fillId="0" borderId="0" xfId="19" applyFont="false" applyBorder="true" applyAlignment="fals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general" vertical="bottom" textRotation="0" wrapText="false" indent="0" shrinkToFit="false"/>
      <protection locked="true" hidden="false"/>
    </xf>
    <xf numFmtId="170" fontId="35" fillId="29" borderId="0" xfId="21" applyFont="true" applyBorder="true" applyAlignment="true" applyProtection="true">
      <alignment horizontal="general" vertical="bottom" textRotation="0" wrapText="false" indent="0" shrinkToFit="false"/>
      <protection locked="true" hidden="false"/>
    </xf>
    <xf numFmtId="171" fontId="19" fillId="7" borderId="0" xfId="21" applyFont="true" applyBorder="true" applyAlignment="true" applyProtection="true">
      <alignment horizontal="general" vertical="bottom" textRotation="0" wrapText="false" indent="0" shrinkToFit="false"/>
      <protection locked="true" hidden="false"/>
    </xf>
    <xf numFmtId="170" fontId="35" fillId="7" borderId="0" xfId="21" applyFont="true" applyBorder="true" applyAlignment="true" applyProtection="true">
      <alignment horizontal="general" vertical="bottom" textRotation="0" wrapText="false" indent="0" shrinkToFit="false"/>
      <protection locked="true" hidden="false"/>
    </xf>
    <xf numFmtId="171" fontId="46" fillId="7" borderId="0" xfId="21" applyFont="true" applyBorder="true" applyAlignment="true" applyProtection="true">
      <alignment horizontal="center" vertical="center" textRotation="0" wrapText="false" indent="0" shrinkToFit="false"/>
      <protection locked="true" hidden="false"/>
    </xf>
    <xf numFmtId="170" fontId="47" fillId="7" borderId="0" xfId="21" applyFont="true" applyBorder="true" applyAlignment="true" applyProtection="true">
      <alignment horizontal="center" vertical="bottom" textRotation="0" wrapText="false" indent="0" shrinkToFit="false"/>
      <protection locked="true" hidden="false"/>
    </xf>
    <xf numFmtId="171" fontId="46" fillId="30" borderId="0" xfId="21" applyFont="true" applyBorder="true" applyAlignment="true" applyProtection="true">
      <alignment horizontal="center" vertical="center" textRotation="0" wrapText="false" indent="0" shrinkToFit="false"/>
      <protection locked="true" hidden="false"/>
    </xf>
    <xf numFmtId="170" fontId="47" fillId="30" borderId="0" xfId="21" applyFont="true" applyBorder="true" applyAlignment="true" applyProtection="true">
      <alignment horizontal="center" vertical="bottom" textRotation="0" wrapText="false" indent="0" shrinkToFit="false"/>
      <protection locked="true" hidden="false"/>
    </xf>
    <xf numFmtId="164" fontId="44" fillId="27" borderId="0" xfId="20" applyFont="true" applyBorder="true" applyAlignment="true" applyProtection="true">
      <alignment horizontal="general" vertical="bottom" textRotation="0" wrapText="false" indent="0" shrinkToFit="false"/>
      <protection locked="true" hidden="false"/>
    </xf>
    <xf numFmtId="164" fontId="49" fillId="27" borderId="0" xfId="20" applyFont="true" applyBorder="true" applyAlignment="true" applyProtection="true">
      <alignment horizontal="center" vertical="bottom" textRotation="0" wrapText="false" indent="0" shrinkToFit="false"/>
      <protection locked="true" hidden="false"/>
    </xf>
    <xf numFmtId="164" fontId="20" fillId="7" borderId="0" xfId="21" applyFont="true" applyBorder="true" applyAlignment="tru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right" vertical="bottom" textRotation="0" wrapText="false" indent="0" shrinkToFit="false"/>
      <protection locked="true" hidden="false"/>
    </xf>
    <xf numFmtId="170" fontId="35" fillId="29" borderId="0" xfId="21" applyFont="true" applyBorder="true" applyAlignment="true" applyProtection="true">
      <alignment horizontal="right" vertical="bottom" textRotation="0" wrapText="false" indent="0" shrinkToFit="false"/>
      <protection locked="true" hidden="false"/>
    </xf>
    <xf numFmtId="170" fontId="35" fillId="7" borderId="0" xfId="21" applyFont="true" applyBorder="true" applyAlignment="true" applyProtection="true">
      <alignment horizontal="right" vertical="bottom" textRotation="0" wrapText="false" indent="0" shrinkToFit="false"/>
      <protection locked="true" hidden="false"/>
    </xf>
    <xf numFmtId="171" fontId="19" fillId="29" borderId="0" xfId="21" applyFont="true" applyBorder="true" applyAlignment="true" applyProtection="true">
      <alignment horizontal="left" vertical="bottom" textRotation="0" wrapText="false" indent="0" shrinkToFit="false"/>
      <protection locked="true" hidden="false"/>
    </xf>
    <xf numFmtId="171" fontId="19" fillId="7" borderId="0" xfId="21" applyFont="true" applyBorder="true" applyAlignment="true" applyProtection="true">
      <alignment horizontal="left" vertical="bottom" textRotation="0" wrapText="false" indent="0" shrinkToFit="false"/>
      <protection locked="true" hidden="false"/>
    </xf>
    <xf numFmtId="164" fontId="19" fillId="7" borderId="0" xfId="21" applyFont="true" applyBorder="true" applyAlignment="true" applyProtection="true">
      <alignment horizontal="general" vertical="bottom" textRotation="0" wrapText="false" indent="0" shrinkToFit="false"/>
      <protection locked="true" hidden="false"/>
    </xf>
    <xf numFmtId="171" fontId="50" fillId="0" borderId="0" xfId="21" applyFont="true" applyBorder="true" applyAlignment="true" applyProtection="true">
      <alignment horizontal="general" vertical="bottom" textRotation="0" wrapText="false" indent="0" shrinkToFit="false"/>
      <protection locked="true" hidden="false"/>
    </xf>
    <xf numFmtId="164" fontId="51" fillId="0" borderId="0" xfId="21" applyFont="true" applyBorder="true" applyAlignment="true" applyProtection="true">
      <alignment horizontal="general" vertical="bottom" textRotation="0" wrapText="false" indent="0" shrinkToFit="false"/>
      <protection locked="true" hidden="false"/>
    </xf>
    <xf numFmtId="164" fontId="4" fillId="31" borderId="0" xfId="39" applyFont="false" applyBorder="false" applyAlignment="false" applyProtection="false">
      <alignment horizontal="general" vertical="bottom" textRotation="0" wrapText="false" indent="0" shrinkToFit="false"/>
      <protection locked="true" hidden="false"/>
    </xf>
    <xf numFmtId="164" fontId="52" fillId="31" borderId="0" xfId="39" applyFont="true" applyBorder="true" applyAlignment="true" applyProtection="false">
      <alignment horizontal="justify" vertical="center" textRotation="0" wrapText="false" indent="0" shrinkToFit="false"/>
      <protection locked="true" hidden="false"/>
    </xf>
    <xf numFmtId="164" fontId="4" fillId="31" borderId="0" xfId="39" applyFont="true" applyBorder="false" applyAlignment="true" applyProtection="false">
      <alignment horizontal="justify" vertical="bottom" textRotation="0" wrapText="false" indent="0" shrinkToFit="false"/>
      <protection locked="true" hidden="false"/>
    </xf>
    <xf numFmtId="164" fontId="53" fillId="31" borderId="0" xfId="39" applyFont="true" applyBorder="true" applyAlignment="true" applyProtection="false">
      <alignment horizontal="justify" vertical="center" textRotation="0" wrapText="false" indent="0" shrinkToFit="false"/>
      <protection locked="true" hidden="false"/>
    </xf>
    <xf numFmtId="164"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true" applyAlignment="false" applyProtection="false">
      <alignment horizontal="general" vertical="bottom" textRotation="0" wrapText="false" indent="0" shrinkToFit="false"/>
      <protection locked="true" hidden="false"/>
    </xf>
    <xf numFmtId="170" fontId="4" fillId="7" borderId="21" xfId="39" applyFont="false" applyBorder="true" applyAlignment="false" applyProtection="false">
      <alignment horizontal="general" vertical="bottom" textRotation="0" wrapText="false" indent="0" shrinkToFit="false"/>
      <protection locked="true" hidden="false"/>
    </xf>
    <xf numFmtId="180" fontId="4" fillId="7" borderId="0" xfId="39" applyFont="true" applyBorder="false" applyAlignment="false" applyProtection="false">
      <alignment horizontal="general" vertical="bottom" textRotation="0" wrapText="false" indent="0" shrinkToFit="false"/>
      <protection locked="true" hidden="false"/>
    </xf>
    <xf numFmtId="170" fontId="4" fillId="7" borderId="0" xfId="39" applyFont="true" applyBorder="false" applyAlignment="false" applyProtection="false">
      <alignment horizontal="general" vertical="bottom" textRotation="0" wrapText="false" indent="0" shrinkToFit="false"/>
      <protection locked="true" hidden="false"/>
    </xf>
    <xf numFmtId="170" fontId="34" fillId="7" borderId="0" xfId="39" applyFont="true" applyBorder="false" applyAlignment="true" applyProtection="false">
      <alignment horizontal="general" vertical="bottom" textRotation="0" wrapText="true" indent="0" shrinkToFit="false"/>
      <protection locked="true" hidden="false"/>
    </xf>
    <xf numFmtId="170" fontId="4" fillId="23" borderId="21" xfId="39" applyFont="false" applyBorder="true" applyAlignment="false" applyProtection="false">
      <alignment horizontal="general" vertical="bottom" textRotation="0" wrapText="false" indent="0" shrinkToFit="false"/>
      <protection locked="true" hidden="false"/>
    </xf>
    <xf numFmtId="182" fontId="4" fillId="0" borderId="0" xfId="39" applyFont="false" applyBorder="false" applyAlignment="false" applyProtection="false">
      <alignment horizontal="general" vertical="bottom" textRotation="0" wrapText="false" indent="0" shrinkToFit="false"/>
      <protection locked="true" hidden="false"/>
    </xf>
    <xf numFmtId="183" fontId="4" fillId="7" borderId="0" xfId="39" applyFont="true" applyBorder="false" applyAlignment="false" applyProtection="false">
      <alignment horizontal="general" vertical="bottom" textRotation="0" wrapText="false" indent="0" shrinkToFit="false"/>
      <protection locked="true" hidden="false"/>
    </xf>
    <xf numFmtId="171" fontId="16" fillId="0" borderId="0" xfId="39" applyFont="true" applyBorder="false" applyAlignment="false" applyProtection="false">
      <alignment horizontal="general" vertical="bottom" textRotation="0" wrapText="false" indent="0" shrinkToFit="false"/>
      <protection locked="true" hidden="false"/>
    </xf>
    <xf numFmtId="170" fontId="54" fillId="7" borderId="0" xfId="39" applyFont="true" applyBorder="false" applyAlignment="false" applyProtection="false">
      <alignment horizontal="general" vertical="bottom" textRotation="0" wrapText="false" indent="0" shrinkToFit="false"/>
      <protection locked="true" hidden="false"/>
    </xf>
    <xf numFmtId="170" fontId="54" fillId="2" borderId="0" xfId="39" applyFont="true" applyBorder="false" applyAlignment="false" applyProtection="false">
      <alignment horizontal="general" vertical="bottom" textRotation="0" wrapText="false" indent="0" shrinkToFit="false"/>
      <protection locked="true" hidden="false"/>
    </xf>
    <xf numFmtId="170" fontId="55" fillId="0" borderId="0" xfId="39" applyFont="true" applyBorder="false" applyAlignment="false" applyProtection="false">
      <alignment horizontal="general" vertical="bottom" textRotation="0" wrapText="false" indent="0" shrinkToFit="false"/>
      <protection locked="true" hidden="false"/>
    </xf>
    <xf numFmtId="164" fontId="56" fillId="0" borderId="0" xfId="39" applyFont="true" applyBorder="false" applyAlignment="false" applyProtection="false">
      <alignment horizontal="general" vertical="bottom" textRotation="0" wrapText="false" indent="0" shrinkToFit="false"/>
      <protection locked="true" hidden="false"/>
    </xf>
    <xf numFmtId="170" fontId="56" fillId="0" borderId="0" xfId="39" applyFont="true" applyBorder="false" applyAlignment="false" applyProtection="false">
      <alignment horizontal="general" vertical="bottom" textRotation="0" wrapText="false" indent="0" shrinkToFit="false"/>
      <protection locked="true" hidden="false"/>
    </xf>
    <xf numFmtId="170" fontId="57" fillId="2" borderId="0" xfId="39" applyFont="true" applyBorder="false" applyAlignment="false" applyProtection="false">
      <alignment horizontal="general" vertical="bottom" textRotation="0" wrapText="false" indent="0" shrinkToFit="false"/>
      <protection locked="true" hidden="false"/>
    </xf>
    <xf numFmtId="170" fontId="58" fillId="7" borderId="0" xfId="39" applyFont="true" applyBorder="false" applyAlignment="false" applyProtection="false">
      <alignment horizontal="general" vertical="bottom" textRotation="0" wrapText="false" indent="0" shrinkToFit="false"/>
      <protection locked="true" hidden="false"/>
    </xf>
    <xf numFmtId="184" fontId="59" fillId="0" borderId="62" xfId="0" applyFont="true" applyBorder="true" applyAlignment="true" applyProtection="false">
      <alignment horizontal="right" vertical="center" textRotation="0" wrapText="false" indent="0" shrinkToFit="false"/>
      <protection locked="true" hidden="false"/>
    </xf>
    <xf numFmtId="184" fontId="59" fillId="32" borderId="49" xfId="0" applyFont="true" applyBorder="true" applyAlignment="true" applyProtection="false">
      <alignment horizontal="right" vertical="center" textRotation="0" wrapText="false" indent="0" shrinkToFit="false"/>
      <protection locked="true" hidden="false"/>
    </xf>
    <xf numFmtId="164" fontId="4" fillId="0" borderId="0" xfId="39" applyFont="true" applyBorder="true" applyAlignment="true" applyProtection="false">
      <alignment horizontal="center" vertical="center" textRotation="0" wrapText="true" indent="0" shrinkToFit="false"/>
      <protection locked="true" hidden="false"/>
    </xf>
    <xf numFmtId="164" fontId="45" fillId="7" borderId="0" xfId="39" applyFont="true" applyBorder="false" applyAlignment="false" applyProtection="false">
      <alignment horizontal="general" vertical="bottom" textRotation="0" wrapText="false" indent="0" shrinkToFit="false"/>
      <protection locked="true" hidden="false"/>
    </xf>
    <xf numFmtId="164" fontId="60" fillId="0" borderId="0" xfId="39" applyFont="true" applyBorder="false" applyAlignment="true" applyProtection="false">
      <alignment horizontal="general" vertical="bottom" textRotation="0" wrapText="true" indent="0" shrinkToFit="false"/>
      <protection locked="true" hidden="false"/>
    </xf>
    <xf numFmtId="172" fontId="60" fillId="0" borderId="0" xfId="19" applyFont="true" applyBorder="true" applyAlignment="true" applyProtection="true">
      <alignment horizontal="general" vertical="bottom" textRotation="0" wrapText="true" indent="0" shrinkToFit="false"/>
      <protection locked="true" hidden="false"/>
    </xf>
    <xf numFmtId="164" fontId="4" fillId="7" borderId="34" xfId="39" applyFont="true" applyBorder="true" applyAlignment="true" applyProtection="false">
      <alignment horizontal="justify" vertical="center" textRotation="0" wrapText="true" indent="0" shrinkToFit="false"/>
      <protection locked="true" hidden="false"/>
    </xf>
    <xf numFmtId="164" fontId="52" fillId="7" borderId="63" xfId="39" applyFont="true" applyBorder="true" applyAlignment="true" applyProtection="false">
      <alignment horizontal="left" vertical="bottom" textRotation="0" wrapText="false" indent="0" shrinkToFit="false"/>
      <protection locked="true" hidden="false"/>
    </xf>
    <xf numFmtId="164" fontId="4" fillId="33" borderId="34" xfId="39" applyFont="false" applyBorder="true" applyAlignment="true" applyProtection="false">
      <alignment horizontal="left" vertical="bottom" textRotation="0" wrapText="false" indent="0" shrinkToFit="false"/>
      <protection locked="true" hidden="false"/>
    </xf>
    <xf numFmtId="164" fontId="4" fillId="33" borderId="3" xfId="39" applyFont="false" applyBorder="true" applyAlignment="true" applyProtection="false">
      <alignment horizontal="left" vertical="bottom" textRotation="0" wrapText="false" indent="0" shrinkToFit="false"/>
      <protection locked="true" hidden="false"/>
    </xf>
    <xf numFmtId="164" fontId="61" fillId="33" borderId="3" xfId="39" applyFont="true" applyBorder="true" applyAlignment="true" applyProtection="false">
      <alignment horizontal="justify" vertical="center" textRotation="0" wrapText="false" indent="0" shrinkToFit="false"/>
      <protection locked="true" hidden="false"/>
    </xf>
    <xf numFmtId="186" fontId="62" fillId="32" borderId="24" xfId="15" applyFont="true" applyBorder="true" applyAlignment="true" applyProtection="true">
      <alignment horizontal="justify" vertical="bottom" textRotation="0" wrapText="true" indent="0" shrinkToFit="false"/>
      <protection locked="true" hidden="false"/>
    </xf>
    <xf numFmtId="164" fontId="34" fillId="0" borderId="0" xfId="39" applyFont="true" applyBorder="false" applyAlignment="true" applyProtection="false">
      <alignment horizontal="general" vertical="bottom" textRotation="0" wrapText="true" indent="0" shrinkToFit="false"/>
      <protection locked="true" hidden="false"/>
    </xf>
    <xf numFmtId="181" fontId="45" fillId="0" borderId="33" xfId="39" applyFont="true" applyBorder="true" applyAlignment="false" applyProtection="true">
      <alignment horizontal="general" vertical="bottom" textRotation="0" wrapText="false" indent="0" shrinkToFit="false"/>
      <protection locked="true" hidden="false"/>
    </xf>
    <xf numFmtId="164" fontId="4" fillId="7" borderId="22" xfId="39" applyFont="false" applyBorder="true" applyAlignment="false" applyProtection="false">
      <alignment horizontal="general" vertical="bottom" textRotation="0" wrapText="false" indent="0" shrinkToFit="false"/>
      <protection locked="true" hidden="false"/>
    </xf>
    <xf numFmtId="164" fontId="4" fillId="33" borderId="33" xfId="39" applyFont="false" applyBorder="true" applyAlignment="false" applyProtection="false">
      <alignment horizontal="general" vertical="bottom" textRotation="0" wrapText="false" indent="0" shrinkToFit="false"/>
      <protection locked="true" hidden="false"/>
    </xf>
    <xf numFmtId="164" fontId="4" fillId="33" borderId="0" xfId="39" applyFont="false" applyBorder="false" applyAlignment="false" applyProtection="false">
      <alignment horizontal="general" vertical="bottom" textRotation="0" wrapText="false" indent="0" shrinkToFit="false"/>
      <protection locked="true" hidden="false"/>
    </xf>
    <xf numFmtId="164" fontId="61" fillId="0" borderId="0" xfId="39" applyFont="true" applyBorder="false" applyAlignment="false" applyProtection="false">
      <alignment horizontal="general" vertical="bottom" textRotation="0" wrapText="false" indent="0" shrinkToFit="false"/>
      <protection locked="true" hidden="false"/>
    </xf>
    <xf numFmtId="186" fontId="62" fillId="34" borderId="24" xfId="49" applyFont="true" applyBorder="true" applyAlignment="true" applyProtection="true">
      <alignment horizontal="justify" vertical="bottom" textRotation="0" wrapText="true" indent="0" shrinkToFit="false"/>
      <protection locked="true" hidden="false"/>
    </xf>
    <xf numFmtId="164" fontId="4" fillId="7" borderId="22" xfId="39" applyFont="true" applyBorder="true" applyAlignment="false" applyProtection="false">
      <alignment horizontal="general" vertical="bottom" textRotation="0" wrapText="false" indent="0" shrinkToFit="false"/>
      <protection locked="true" hidden="false"/>
    </xf>
    <xf numFmtId="185"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9" applyFont="false" applyBorder="true" applyAlignment="false" applyProtection="false">
      <alignment horizontal="general" vertical="bottom" textRotation="0" wrapText="false" indent="0" shrinkToFit="false"/>
      <protection locked="true" hidden="false"/>
    </xf>
    <xf numFmtId="164" fontId="4" fillId="33" borderId="22" xfId="39" applyFont="false" applyBorder="true" applyAlignment="false" applyProtection="false">
      <alignment horizontal="general" vertical="bottom" textRotation="0" wrapText="false" indent="0" shrinkToFit="false"/>
      <protection locked="true" hidden="false"/>
    </xf>
    <xf numFmtId="187" fontId="37" fillId="0" borderId="34" xfId="47" applyFont="true" applyBorder="true" applyAlignment="true" applyProtection="false">
      <alignment horizontal="justify" vertical="center" textRotation="0" wrapText="false" indent="0" shrinkToFit="false"/>
      <protection locked="true" hidden="false"/>
    </xf>
    <xf numFmtId="164" fontId="52"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justify" vertical="center" textRotation="0" wrapText="false" indent="0" shrinkToFit="false"/>
      <protection locked="true" hidden="false"/>
    </xf>
    <xf numFmtId="164" fontId="4"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center" textRotation="0" wrapText="false" indent="0" shrinkToFit="false"/>
      <protection locked="true" hidden="false"/>
    </xf>
    <xf numFmtId="164" fontId="20"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bottom" textRotation="0" wrapText="true" indent="0" shrinkToFit="false"/>
      <protection locked="true" hidden="false"/>
    </xf>
    <xf numFmtId="187" fontId="37" fillId="7" borderId="34" xfId="47" applyFont="true" applyBorder="true" applyAlignment="true" applyProtection="false">
      <alignment horizontal="justify" vertical="center" textRotation="0" wrapText="false" indent="0" shrinkToFit="false"/>
      <protection locked="true" hidden="false"/>
    </xf>
    <xf numFmtId="164" fontId="52" fillId="25" borderId="32" xfId="39" applyFont="true" applyBorder="true" applyAlignment="true" applyProtection="false">
      <alignment horizontal="justify" vertical="center" textRotation="0" wrapText="false" indent="0" shrinkToFit="false"/>
      <protection locked="true" hidden="false"/>
    </xf>
    <xf numFmtId="164" fontId="6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center" vertical="center" textRotation="0" wrapText="false" indent="0" shrinkToFit="false"/>
      <protection locked="true" hidden="false"/>
    </xf>
    <xf numFmtId="164" fontId="20" fillId="25" borderId="32" xfId="39" applyFont="true" applyBorder="true" applyAlignment="true" applyProtection="false">
      <alignment horizontal="justify" vertical="center" textRotation="0" wrapText="false" indent="0" shrinkToFit="false"/>
      <protection locked="true" hidden="false"/>
    </xf>
    <xf numFmtId="164" fontId="20" fillId="25" borderId="32" xfId="39" applyFont="true" applyBorder="true" applyAlignment="true" applyProtection="false">
      <alignment horizontal="center" vertical="center" textRotation="0" wrapText="false" indent="0" shrinkToFit="false"/>
      <protection locked="true" hidden="false"/>
    </xf>
    <xf numFmtId="164" fontId="52" fillId="25" borderId="32" xfId="39" applyFont="true" applyBorder="true" applyAlignment="true" applyProtection="false">
      <alignment horizontal="center" vertical="bottom" textRotation="0" wrapText="true" indent="0" shrinkToFit="false"/>
      <protection locked="true" hidden="false"/>
    </xf>
    <xf numFmtId="164" fontId="4" fillId="25" borderId="32" xfId="39" applyFont="true" applyBorder="true" applyAlignment="true" applyProtection="false">
      <alignment horizontal="center" vertical="bottom" textRotation="0" wrapText="true" indent="0" shrinkToFit="false"/>
      <protection locked="true" hidden="false"/>
    </xf>
    <xf numFmtId="164" fontId="4" fillId="33" borderId="33" xfId="39" applyFont="true" applyBorder="true" applyAlignment="false" applyProtection="false">
      <alignment horizontal="general" vertical="bottom" textRotation="0" wrapText="false" indent="0" shrinkToFit="false"/>
      <protection locked="true" hidden="false"/>
    </xf>
    <xf numFmtId="164" fontId="4" fillId="33" borderId="0" xfId="39" applyFont="true" applyBorder="false" applyAlignment="false" applyProtection="false">
      <alignment horizontal="general" vertical="bottom" textRotation="0" wrapText="false" indent="0" shrinkToFit="false"/>
      <protection locked="true" hidden="false"/>
    </xf>
    <xf numFmtId="164" fontId="4" fillId="33" borderId="22" xfId="39" applyFont="true" applyBorder="true" applyAlignment="false" applyProtection="false">
      <alignment horizontal="general" vertical="bottom" textRotation="0" wrapText="false" indent="0" shrinkToFit="false"/>
      <protection locked="true" hidden="false"/>
    </xf>
    <xf numFmtId="164" fontId="4" fillId="7" borderId="33"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center" vertical="center" textRotation="0" wrapText="false" indent="0" shrinkToFit="false"/>
      <protection locked="true" hidden="false"/>
    </xf>
    <xf numFmtId="170" fontId="4" fillId="2" borderId="0" xfId="39" applyFont="false" applyBorder="false" applyAlignment="false" applyProtection="false">
      <alignment horizontal="general" vertical="bottom" textRotation="0" wrapText="false" indent="0" shrinkToFit="false"/>
      <protection locked="true" hidden="false"/>
    </xf>
    <xf numFmtId="170" fontId="20" fillId="2" borderId="22" xfId="39" applyFont="true" applyBorder="true" applyAlignment="false" applyProtection="false">
      <alignment horizontal="general" vertical="bottom" textRotation="0" wrapText="false" indent="0" shrinkToFit="false"/>
      <protection locked="true" hidden="false"/>
    </xf>
    <xf numFmtId="170" fontId="4" fillId="2" borderId="33" xfId="39" applyFont="false" applyBorder="true" applyAlignment="false" applyProtection="false">
      <alignment horizontal="general" vertical="bottom" textRotation="0" wrapText="false" indent="0" shrinkToFit="false"/>
      <protection locked="true" hidden="false"/>
    </xf>
    <xf numFmtId="170" fontId="4" fillId="2" borderId="22" xfId="39" applyFont="false" applyBorder="true" applyAlignment="false" applyProtection="false">
      <alignment horizontal="general" vertical="bottom" textRotation="0" wrapText="false" indent="0" shrinkToFit="false"/>
      <protection locked="true" hidden="false"/>
    </xf>
    <xf numFmtId="187" fontId="15" fillId="35" borderId="33" xfId="47" applyFont="true" applyBorder="true" applyAlignment="true" applyProtection="false">
      <alignment horizontal="right" vertical="bottom" textRotation="0" wrapText="false" indent="0" shrinkToFit="false"/>
      <protection locked="true" hidden="false"/>
    </xf>
    <xf numFmtId="170" fontId="38" fillId="23" borderId="21" xfId="39" applyFont="true" applyBorder="true" applyAlignment="false" applyProtection="false">
      <alignment horizontal="general" vertical="bottom" textRotation="0" wrapText="false" indent="0" shrinkToFit="false"/>
      <protection locked="true" hidden="false"/>
    </xf>
    <xf numFmtId="170" fontId="65" fillId="23" borderId="21" xfId="39" applyFont="true" applyBorder="true" applyAlignment="false" applyProtection="false">
      <alignment horizontal="general" vertical="bottom" textRotation="0" wrapText="false" indent="0" shrinkToFit="false"/>
      <protection locked="true" hidden="false"/>
    </xf>
    <xf numFmtId="170" fontId="66" fillId="23" borderId="21" xfId="39" applyFont="true" applyBorder="true" applyAlignment="false" applyProtection="false">
      <alignment horizontal="general" vertical="bottom" textRotation="0" wrapText="false" indent="0" shrinkToFit="false"/>
      <protection locked="true" hidden="false"/>
    </xf>
    <xf numFmtId="170" fontId="67" fillId="23" borderId="21" xfId="39" applyFont="true" applyBorder="true" applyAlignment="false" applyProtection="false">
      <alignment horizontal="general" vertical="bottom" textRotation="0" wrapText="false" indent="0" shrinkToFit="false"/>
      <protection locked="true" hidden="false"/>
    </xf>
    <xf numFmtId="170" fontId="68" fillId="23" borderId="21" xfId="39" applyFont="true" applyBorder="true" applyAlignment="false" applyProtection="false">
      <alignment horizontal="general" vertical="bottom" textRotation="0" wrapText="false" indent="0" shrinkToFit="false"/>
      <protection locked="true" hidden="false"/>
    </xf>
    <xf numFmtId="164" fontId="66" fillId="0" borderId="0" xfId="39" applyFont="true" applyBorder="false" applyAlignment="false" applyProtection="false">
      <alignment horizontal="general" vertical="bottom" textRotation="0" wrapText="false" indent="0" shrinkToFit="false"/>
      <protection locked="true" hidden="false"/>
    </xf>
    <xf numFmtId="164" fontId="38" fillId="25" borderId="32" xfId="39" applyFont="true" applyBorder="true" applyAlignment="true" applyProtection="false">
      <alignment horizontal="justify" vertical="center" textRotation="0" wrapText="false" indent="0" shrinkToFit="false"/>
      <protection locked="true" hidden="false"/>
    </xf>
    <xf numFmtId="170" fontId="38" fillId="36" borderId="21" xfId="39" applyFont="true" applyBorder="true" applyAlignment="false" applyProtection="false">
      <alignment horizontal="general" vertical="bottom" textRotation="0" wrapText="false" indent="0" shrinkToFit="false"/>
      <protection locked="true" hidden="false"/>
    </xf>
    <xf numFmtId="170" fontId="66" fillId="36" borderId="21" xfId="39" applyFont="true" applyBorder="true" applyAlignment="false" applyProtection="false">
      <alignment horizontal="general" vertical="bottom" textRotation="0" wrapText="false" indent="0" shrinkToFit="false"/>
      <protection locked="true" hidden="false"/>
    </xf>
    <xf numFmtId="170" fontId="67" fillId="36" borderId="21" xfId="39" applyFont="true" applyBorder="true" applyAlignment="false" applyProtection="false">
      <alignment horizontal="general" vertical="bottom" textRotation="0" wrapText="false" indent="0" shrinkToFit="false"/>
      <protection locked="true" hidden="false"/>
    </xf>
    <xf numFmtId="170" fontId="13" fillId="36" borderId="21" xfId="39" applyFont="true" applyBorder="true" applyAlignment="false" applyProtection="false">
      <alignment horizontal="general" vertical="bottom" textRotation="0" wrapText="false" indent="0" shrinkToFit="false"/>
      <protection locked="true" hidden="false"/>
    </xf>
    <xf numFmtId="170" fontId="69" fillId="36" borderId="21" xfId="39" applyFont="true" applyBorder="true" applyAlignment="false" applyProtection="false">
      <alignment horizontal="general" vertical="bottom" textRotation="0" wrapText="false" indent="0" shrinkToFit="false"/>
      <protection locked="true" hidden="false"/>
    </xf>
    <xf numFmtId="170" fontId="20" fillId="7" borderId="22" xfId="39" applyFont="true" applyBorder="true" applyAlignment="false" applyProtection="false">
      <alignment horizontal="general" vertical="bottom" textRotation="0" wrapText="false" indent="0" shrinkToFit="false"/>
      <protection locked="true" hidden="false"/>
    </xf>
    <xf numFmtId="170" fontId="4" fillId="7" borderId="33" xfId="39" applyFont="false" applyBorder="true" applyAlignment="false" applyProtection="false">
      <alignment horizontal="general" vertical="bottom" textRotation="0" wrapText="false" indent="0" shrinkToFit="false"/>
      <protection locked="true" hidden="false"/>
    </xf>
    <xf numFmtId="170" fontId="4" fillId="7" borderId="22" xfId="39" applyFont="false" applyBorder="true" applyAlignment="false" applyProtection="false">
      <alignment horizontal="general" vertical="bottom" textRotation="0" wrapText="false" indent="0" shrinkToFit="false"/>
      <protection locked="true" hidden="false"/>
    </xf>
    <xf numFmtId="170" fontId="38" fillId="7" borderId="21" xfId="39" applyFont="true" applyBorder="true" applyAlignment="false" applyProtection="false">
      <alignment horizontal="general" vertical="bottom" textRotation="0" wrapText="false" indent="0" shrinkToFit="false"/>
      <protection locked="true" hidden="false"/>
    </xf>
    <xf numFmtId="170" fontId="65" fillId="7" borderId="21" xfId="39" applyFont="true" applyBorder="true" applyAlignment="false" applyProtection="false">
      <alignment horizontal="general" vertical="bottom" textRotation="0" wrapText="false" indent="0" shrinkToFit="false"/>
      <protection locked="true" hidden="false"/>
    </xf>
    <xf numFmtId="170" fontId="66" fillId="7" borderId="21" xfId="39" applyFont="true" applyBorder="true" applyAlignment="false" applyProtection="false">
      <alignment horizontal="general" vertical="bottom" textRotation="0" wrapText="false" indent="0" shrinkToFit="false"/>
      <protection locked="true" hidden="false"/>
    </xf>
    <xf numFmtId="170" fontId="67" fillId="7" borderId="21" xfId="39" applyFont="true" applyBorder="true" applyAlignment="false" applyProtection="false">
      <alignment horizontal="general" vertical="bottom" textRotation="0" wrapText="false" indent="0" shrinkToFit="false"/>
      <protection locked="true" hidden="false"/>
    </xf>
    <xf numFmtId="170" fontId="14" fillId="0" borderId="0" xfId="39" applyFont="true" applyBorder="false" applyAlignment="true" applyProtection="false">
      <alignment horizontal="general" vertical="bottom" textRotation="0" wrapText="true" indent="0" shrinkToFit="false"/>
      <protection locked="true" hidden="false"/>
    </xf>
    <xf numFmtId="164" fontId="66" fillId="7" borderId="21" xfId="39" applyFont="true" applyBorder="true" applyAlignment="false" applyProtection="false">
      <alignment horizontal="general" vertical="bottom" textRotation="0" wrapText="false" indent="0" shrinkToFit="false"/>
      <protection locked="true" hidden="false"/>
    </xf>
    <xf numFmtId="164" fontId="38" fillId="25" borderId="21" xfId="39" applyFont="true" applyBorder="true" applyAlignment="true" applyProtection="false">
      <alignment horizontal="justify" vertical="center" textRotation="0" wrapText="false" indent="0" shrinkToFit="false"/>
      <protection locked="true" hidden="false"/>
    </xf>
    <xf numFmtId="170" fontId="13" fillId="0" borderId="0" xfId="39" applyFont="true" applyBorder="false" applyAlignment="true" applyProtection="false">
      <alignment horizontal="general" vertical="bottom" textRotation="0" wrapText="true" indent="0" shrinkToFit="false"/>
      <protection locked="true" hidden="false"/>
    </xf>
    <xf numFmtId="170" fontId="70" fillId="0" borderId="0" xfId="39" applyFont="true" applyBorder="false" applyAlignment="true" applyProtection="false">
      <alignment horizontal="general" vertical="bottom" textRotation="0" wrapText="true" indent="0" shrinkToFit="false"/>
      <protection locked="true" hidden="false"/>
    </xf>
    <xf numFmtId="164" fontId="69" fillId="7" borderId="21" xfId="39" applyFont="true" applyBorder="true" applyAlignment="false" applyProtection="false">
      <alignment horizontal="general" vertical="bottom" textRotation="0" wrapText="false" indent="0" shrinkToFit="false"/>
      <protection locked="true" hidden="false"/>
    </xf>
    <xf numFmtId="164" fontId="66" fillId="23" borderId="21" xfId="39" applyFont="true" applyBorder="true" applyAlignment="false" applyProtection="false">
      <alignment horizontal="general" vertical="bottom" textRotation="0" wrapText="false" indent="0" shrinkToFit="false"/>
      <protection locked="true" hidden="false"/>
    </xf>
    <xf numFmtId="164" fontId="66" fillId="36" borderId="21" xfId="39" applyFont="true" applyBorder="true" applyAlignment="false" applyProtection="false">
      <alignment horizontal="general" vertical="bottom" textRotation="0" wrapText="false" indent="0" shrinkToFit="false"/>
      <protection locked="true" hidden="false"/>
    </xf>
    <xf numFmtId="164" fontId="69" fillId="36" borderId="21" xfId="39" applyFont="true" applyBorder="true" applyAlignment="false" applyProtection="false">
      <alignment horizontal="general" vertical="bottom" textRotation="0" wrapText="false" indent="0" shrinkToFit="false"/>
      <protection locked="true" hidden="false"/>
    </xf>
    <xf numFmtId="170" fontId="71" fillId="0" borderId="0" xfId="39" applyFont="true" applyBorder="false" applyAlignment="true" applyProtection="false">
      <alignment horizontal="general" vertical="bottom" textRotation="0" wrapText="true" indent="0" shrinkToFit="false"/>
      <protection locked="true" hidden="false"/>
    </xf>
    <xf numFmtId="170" fontId="13" fillId="0" borderId="0" xfId="39" applyFont="true" applyBorder="false" applyAlignment="false" applyProtection="false">
      <alignment horizontal="general" vertical="bottom" textRotation="0" wrapText="false" indent="0" shrinkToFit="false"/>
      <protection locked="true" hidden="false"/>
    </xf>
    <xf numFmtId="170" fontId="70" fillId="7" borderId="21" xfId="39" applyFont="true" applyBorder="true" applyAlignment="false" applyProtection="false">
      <alignment horizontal="general" vertical="bottom" textRotation="0" wrapText="false" indent="0" shrinkToFit="false"/>
      <protection locked="true" hidden="false"/>
    </xf>
    <xf numFmtId="170" fontId="13" fillId="7" borderId="21" xfId="39" applyFont="true" applyBorder="true" applyAlignment="false" applyProtection="false">
      <alignment horizontal="general" vertical="bottom" textRotation="0" wrapText="false" indent="0" shrinkToFit="false"/>
      <protection locked="true" hidden="false"/>
    </xf>
    <xf numFmtId="170" fontId="17" fillId="0" borderId="0" xfId="39" applyFont="true" applyBorder="false" applyAlignment="true" applyProtection="false">
      <alignment horizontal="right" vertical="bottom" textRotation="0" wrapText="false" indent="0" shrinkToFit="false"/>
      <protection locked="true" hidden="false"/>
    </xf>
    <xf numFmtId="172" fontId="66" fillId="0" borderId="0" xfId="39" applyFont="true" applyBorder="false" applyAlignment="false" applyProtection="false">
      <alignment horizontal="general" vertical="bottom" textRotation="0" wrapText="false" indent="0" shrinkToFit="false"/>
      <protection locked="true" hidden="false"/>
    </xf>
    <xf numFmtId="170" fontId="72" fillId="0" borderId="0" xfId="39" applyFont="true" applyBorder="false" applyAlignment="false" applyProtection="false">
      <alignment horizontal="general" vertical="bottom" textRotation="0" wrapText="false" indent="0" shrinkToFit="false"/>
      <protection locked="true" hidden="false"/>
    </xf>
    <xf numFmtId="170" fontId="14" fillId="7" borderId="21" xfId="39" applyFont="true" applyBorder="true" applyAlignment="false" applyProtection="false">
      <alignment horizontal="general" vertical="bottom" textRotation="0" wrapText="false" indent="0" shrinkToFit="false"/>
      <protection locked="true" hidden="false"/>
    </xf>
    <xf numFmtId="172" fontId="7" fillId="0" borderId="0" xfId="48" applyFont="false" applyBorder="true" applyAlignment="true" applyProtection="true">
      <alignment horizontal="general" vertical="bottom" textRotation="0" wrapText="false" indent="0" shrinkToFit="false"/>
      <protection locked="true" hidden="false"/>
    </xf>
    <xf numFmtId="170" fontId="70" fillId="23" borderId="21" xfId="39" applyFont="true" applyBorder="true" applyAlignment="false" applyProtection="false">
      <alignment horizontal="general" vertical="bottom" textRotation="0" wrapText="false" indent="0" shrinkToFit="false"/>
      <protection locked="true" hidden="false"/>
    </xf>
    <xf numFmtId="164" fontId="73" fillId="0" borderId="0" xfId="39" applyFont="true" applyBorder="false" applyAlignment="false" applyProtection="false">
      <alignment horizontal="general" vertical="bottom" textRotation="0" wrapText="false" indent="0" shrinkToFit="false"/>
      <protection locked="true" hidden="false"/>
    </xf>
    <xf numFmtId="170" fontId="74" fillId="36" borderId="21" xfId="39" applyFont="true" applyBorder="true" applyAlignment="false" applyProtection="false">
      <alignment horizontal="general" vertical="bottom" textRotation="0" wrapText="false" indent="0" shrinkToFit="false"/>
      <protection locked="true" hidden="false"/>
    </xf>
    <xf numFmtId="164" fontId="4" fillId="33" borderId="44" xfId="39" applyFont="false" applyBorder="true" applyAlignment="false" applyProtection="false">
      <alignment horizontal="general" vertical="bottom" textRotation="0" wrapText="false" indent="0" shrinkToFit="false"/>
      <protection locked="true" hidden="false"/>
    </xf>
    <xf numFmtId="170" fontId="4" fillId="7" borderId="26" xfId="39" applyFont="false" applyBorder="true" applyAlignment="false" applyProtection="false">
      <alignment horizontal="general" vertical="bottom" textRotation="0" wrapText="false" indent="0" shrinkToFit="false"/>
      <protection locked="true" hidden="false"/>
    </xf>
    <xf numFmtId="170" fontId="4" fillId="7" borderId="27" xfId="39" applyFont="false" applyBorder="true" applyAlignment="false" applyProtection="false">
      <alignment horizontal="general" vertical="bottom" textRotation="0" wrapText="false" indent="0" shrinkToFit="false"/>
      <protection locked="true" hidden="false"/>
    </xf>
    <xf numFmtId="170" fontId="13" fillId="23" borderId="21" xfId="39" applyFont="true" applyBorder="true" applyAlignment="false" applyProtection="false">
      <alignment horizontal="general" vertical="bottom" textRotation="0" wrapText="false" indent="0" shrinkToFit="false"/>
      <protection locked="true" hidden="false"/>
    </xf>
    <xf numFmtId="170" fontId="74" fillId="23" borderId="21" xfId="39" applyFont="true" applyBorder="true" applyAlignment="false" applyProtection="false">
      <alignment horizontal="general" vertical="bottom" textRotation="0" wrapText="false" indent="0" shrinkToFit="false"/>
      <protection locked="true" hidden="false"/>
    </xf>
    <xf numFmtId="164" fontId="67" fillId="23" borderId="21" xfId="39" applyFont="true" applyBorder="true" applyAlignment="false" applyProtection="false">
      <alignment horizontal="general" vertical="bottom" textRotation="0" wrapText="false" indent="0" shrinkToFit="false"/>
      <protection locked="true" hidden="false"/>
    </xf>
    <xf numFmtId="164" fontId="67" fillId="0" borderId="0" xfId="39" applyFont="true" applyBorder="false" applyAlignment="false" applyProtection="false">
      <alignment horizontal="general" vertical="bottom" textRotation="0" wrapText="false" indent="0" shrinkToFit="false"/>
      <protection locked="true" hidden="false"/>
    </xf>
    <xf numFmtId="170" fontId="14" fillId="36" borderId="21" xfId="39" applyFont="true" applyBorder="true" applyAlignment="false" applyProtection="false">
      <alignment horizontal="general" vertical="bottom" textRotation="0" wrapText="false" indent="0" shrinkToFit="false"/>
      <protection locked="true" hidden="false"/>
    </xf>
    <xf numFmtId="164" fontId="75" fillId="36" borderId="21" xfId="39" applyFont="true" applyBorder="true" applyAlignment="false" applyProtection="false">
      <alignment horizontal="general" vertical="bottom" textRotation="0" wrapText="false" indent="0" shrinkToFit="false"/>
      <protection locked="true" hidden="false"/>
    </xf>
    <xf numFmtId="173" fontId="76" fillId="0" borderId="0" xfId="36" applyFont="true" applyBorder="true" applyAlignment="true" applyProtection="true">
      <alignment horizontal="general" vertical="bottom" textRotation="0" wrapText="true" indent="0" shrinkToFit="false"/>
      <protection locked="true" hidden="false"/>
    </xf>
    <xf numFmtId="188" fontId="14" fillId="0" borderId="0" xfId="39" applyFont="true" applyBorder="false" applyAlignment="true" applyProtection="false">
      <alignment horizontal="general" vertical="bottom" textRotation="0" wrapText="true" indent="0" shrinkToFit="false"/>
      <protection locked="true" hidden="false"/>
    </xf>
    <xf numFmtId="164" fontId="67" fillId="7" borderId="21" xfId="39" applyFont="true" applyBorder="true" applyAlignment="false" applyProtection="false">
      <alignment horizontal="general" vertical="bottom" textRotation="0" wrapText="false" indent="0" shrinkToFit="false"/>
      <protection locked="true" hidden="false"/>
    </xf>
    <xf numFmtId="172" fontId="77" fillId="0" borderId="0" xfId="39" applyFont="true" applyBorder="false" applyAlignment="false" applyProtection="false">
      <alignment horizontal="general" vertical="bottom" textRotation="0" wrapText="false" indent="0" shrinkToFit="false"/>
      <protection locked="true" hidden="false"/>
    </xf>
    <xf numFmtId="189" fontId="4" fillId="0" borderId="0" xfId="15" applyFont="true" applyBorder="true" applyAlignment="true" applyProtection="true">
      <alignment horizontal="general" vertical="bottom" textRotation="0" wrapText="false" indent="0" shrinkToFit="false"/>
      <protection locked="true" hidden="false"/>
    </xf>
    <xf numFmtId="181" fontId="78" fillId="0" borderId="33" xfId="0" applyFont="true" applyBorder="true" applyAlignment="false" applyProtection="true">
      <alignment horizontal="general" vertical="bottom" textRotation="0" wrapText="false" indent="0" shrinkToFit="false"/>
      <protection locked="true" hidden="false"/>
    </xf>
    <xf numFmtId="186" fontId="4" fillId="0" borderId="0" xfId="39" applyFont="false" applyBorder="false" applyAlignment="false" applyProtection="false">
      <alignment horizontal="general" vertical="bottom" textRotation="0" wrapText="false" indent="0" shrinkToFit="false"/>
      <protection locked="true" hidden="false"/>
    </xf>
    <xf numFmtId="184" fontId="4" fillId="7" borderId="0" xfId="42" applyFont="true" applyBorder="true" applyAlignment="false" applyProtection="true">
      <alignment horizontal="general" vertical="bottom" textRotation="0" wrapText="false" indent="0" shrinkToFit="false"/>
      <protection locked="true" hidden="false"/>
    </xf>
    <xf numFmtId="173" fontId="7" fillId="0" borderId="0" xfId="36" applyFont="false" applyBorder="true" applyAlignment="true" applyProtection="true">
      <alignment horizontal="general" vertical="bottom" textRotation="0" wrapText="false" indent="0" shrinkToFit="false"/>
      <protection locked="true" hidden="false"/>
    </xf>
    <xf numFmtId="165" fontId="7" fillId="0" borderId="0" xfId="36" applyFont="false" applyBorder="true" applyAlignment="true" applyProtection="true">
      <alignment horizontal="general" vertical="bottom" textRotation="0" wrapText="false" indent="0" shrinkToFit="false"/>
      <protection locked="true" hidden="false"/>
    </xf>
    <xf numFmtId="185" fontId="0" fillId="0" borderId="0" xfId="15" applyFont="false" applyBorder="true" applyAlignment="false" applyProtection="true">
      <alignment horizontal="general" vertical="bottom" textRotation="0" wrapText="false" indent="0" shrinkToFit="false"/>
      <protection locked="true" hidden="false"/>
    </xf>
    <xf numFmtId="181" fontId="79" fillId="0" borderId="33" xfId="40" applyFont="true" applyBorder="true" applyAlignment="false" applyProtection="true">
      <alignment horizontal="general" vertical="bottom" textRotation="0" wrapText="false" indent="0" shrinkToFit="false"/>
      <protection locked="true" hidden="false"/>
    </xf>
    <xf numFmtId="170" fontId="80" fillId="0" borderId="21" xfId="0" applyFont="true" applyBorder="true" applyAlignment="true" applyProtection="true">
      <alignment horizontal="right" vertical="center" textRotation="0" wrapText="true" indent="0" shrinkToFit="false"/>
      <protection locked="true" hidden="false"/>
    </xf>
    <xf numFmtId="164" fontId="81" fillId="0" borderId="0" xfId="39" applyFont="true" applyBorder="false" applyAlignment="true" applyProtection="false">
      <alignment horizontal="justify" vertical="center" textRotation="0" wrapText="false" indent="0" shrinkToFit="false"/>
      <protection locked="true" hidden="false"/>
    </xf>
    <xf numFmtId="181" fontId="83" fillId="0" borderId="0" xfId="39" applyFont="true" applyBorder="false" applyAlignment="false" applyProtection="false">
      <alignment horizontal="general" vertical="bottom" textRotation="0" wrapText="false" indent="0" shrinkToFit="false"/>
      <protection locked="true" hidden="false"/>
    </xf>
    <xf numFmtId="190" fontId="4" fillId="7" borderId="0" xfId="39" applyFont="true" applyBorder="false" applyAlignment="false" applyProtection="false">
      <alignment horizontal="general" vertical="bottom" textRotation="0" wrapText="false" indent="0" shrinkToFit="false"/>
      <protection locked="true" hidden="false"/>
    </xf>
    <xf numFmtId="184" fontId="4" fillId="0" borderId="0" xfId="39" applyFont="false" applyBorder="false" applyAlignment="false" applyProtection="false">
      <alignment horizontal="general" vertical="bottom" textRotation="0" wrapText="false" indent="0" shrinkToFit="false"/>
      <protection locked="true" hidden="false"/>
    </xf>
    <xf numFmtId="185" fontId="4" fillId="0" borderId="0" xfId="39" applyFont="false" applyBorder="false" applyAlignment="false" applyProtection="false">
      <alignment horizontal="general" vertical="bottom" textRotation="0" wrapText="false" indent="0" shrinkToFit="false"/>
      <protection locked="true" hidden="false"/>
    </xf>
    <xf numFmtId="184" fontId="84" fillId="0" borderId="1" xfId="0" applyFont="true" applyBorder="true" applyAlignment="true" applyProtection="false">
      <alignment horizontal="right" vertical="bottom" textRotation="0" wrapText="false" indent="0" shrinkToFit="false"/>
      <protection locked="true" hidden="false"/>
    </xf>
    <xf numFmtId="173" fontId="7" fillId="0" borderId="0" xfId="36" applyFont="true" applyBorder="true" applyAlignment="true" applyProtection="true">
      <alignment horizontal="general" vertical="bottom" textRotation="0" wrapText="false" indent="0" shrinkToFit="false"/>
      <protection locked="true" hidden="false"/>
    </xf>
    <xf numFmtId="170" fontId="77" fillId="36" borderId="21" xfId="39" applyFont="true" applyBorder="true" applyAlignment="false" applyProtection="false">
      <alignment horizontal="general" vertical="bottom" textRotation="0" wrapText="false" indent="0" shrinkToFit="false"/>
      <protection locked="true" hidden="false"/>
    </xf>
    <xf numFmtId="170" fontId="64" fillId="36" borderId="21" xfId="39" applyFont="true" applyBorder="true" applyAlignment="false" applyProtection="false">
      <alignment horizontal="general" vertical="bottom" textRotation="0" wrapText="false" indent="0" shrinkToFit="false"/>
      <protection locked="true" hidden="false"/>
    </xf>
    <xf numFmtId="189" fontId="0" fillId="0" borderId="0" xfId="15" applyFont="false" applyBorder="true" applyAlignment="false" applyProtection="true">
      <alignment horizontal="general" vertical="bottom" textRotation="0" wrapText="false" indent="0" shrinkToFit="false"/>
      <protection locked="true" hidden="false"/>
    </xf>
    <xf numFmtId="170" fontId="85" fillId="0" borderId="0" xfId="39" applyFont="true" applyBorder="false" applyAlignment="false" applyProtection="false">
      <alignment horizontal="general" vertical="bottom" textRotation="0" wrapText="false" indent="0" shrinkToFit="false"/>
      <protection locked="true" hidden="false"/>
    </xf>
    <xf numFmtId="191" fontId="4" fillId="0" borderId="0" xfId="39" applyFont="false" applyBorder="false" applyAlignment="false" applyProtection="false">
      <alignment horizontal="general" vertical="bottom" textRotation="0" wrapText="false" indent="0" shrinkToFit="false"/>
      <protection locked="true" hidden="false"/>
    </xf>
    <xf numFmtId="181" fontId="79" fillId="0" borderId="33" xfId="39" applyFont="true" applyBorder="true" applyAlignment="false" applyProtection="true">
      <alignment horizontal="general" vertical="bottom" textRotation="0" wrapText="false" indent="0" shrinkToFit="false"/>
      <protection locked="true" hidden="false"/>
    </xf>
    <xf numFmtId="172" fontId="4" fillId="37" borderId="0" xfId="39" applyFont="false" applyBorder="true" applyAlignment="true" applyProtection="false">
      <alignment horizontal="center" vertical="center" textRotation="0" wrapText="false" indent="0" shrinkToFit="false"/>
      <protection locked="true" hidden="false"/>
    </xf>
    <xf numFmtId="172" fontId="4" fillId="38" borderId="0" xfId="39" applyFont="true" applyBorder="true" applyAlignment="true" applyProtection="false">
      <alignment horizontal="justify" vertical="center" textRotation="0" wrapText="false" indent="0" shrinkToFit="false"/>
      <protection locked="true" hidden="false"/>
    </xf>
    <xf numFmtId="172" fontId="86" fillId="0" borderId="0" xfId="39" applyFont="true" applyBorder="false" applyAlignment="false" applyProtection="false">
      <alignment horizontal="general" vertical="bottom" textRotation="0" wrapText="false" indent="0" shrinkToFit="false"/>
      <protection locked="true" hidden="false"/>
    </xf>
    <xf numFmtId="184" fontId="84" fillId="0" borderId="1" xfId="39" applyFont="true" applyBorder="true" applyAlignment="true" applyProtection="false">
      <alignment horizontal="right" vertical="bottom" textRotation="0" wrapText="false" indent="0" shrinkToFit="false"/>
      <protection locked="true" hidden="false"/>
    </xf>
    <xf numFmtId="164" fontId="34" fillId="0" borderId="0" xfId="39" applyFont="true" applyBorder="false" applyAlignment="false" applyProtection="false">
      <alignment horizontal="general" vertical="bottom" textRotation="0" wrapText="false" indent="0" shrinkToFit="false"/>
      <protection locked="true" hidden="false"/>
    </xf>
    <xf numFmtId="164" fontId="45" fillId="7" borderId="0" xfId="39" applyFont="true" applyBorder="false" applyAlignment="true" applyProtection="false">
      <alignment horizontal="right" vertical="bottom" textRotation="0" wrapText="false" indent="0" shrinkToFit="false"/>
      <protection locked="true" hidden="false"/>
    </xf>
    <xf numFmtId="172" fontId="45" fillId="7" borderId="0" xfId="39" applyFont="true" applyBorder="false" applyAlignment="true" applyProtection="false">
      <alignment horizontal="right" vertical="bottom" textRotation="0" wrapText="false" indent="0" shrinkToFit="false"/>
      <protection locked="true" hidden="false"/>
    </xf>
    <xf numFmtId="190" fontId="4" fillId="0"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true" applyBorder="true" applyAlignment="false" applyProtection="false">
      <alignment horizontal="general" vertical="bottom" textRotation="0" wrapText="false" indent="0" shrinkToFit="false"/>
      <protection locked="true" hidden="false"/>
    </xf>
    <xf numFmtId="170" fontId="41" fillId="0" borderId="0" xfId="39" applyFont="true" applyBorder="true" applyAlignment="true" applyProtection="true">
      <alignment horizontal="right" vertical="center" textRotation="0" wrapText="true" indent="0" shrinkToFit="false"/>
      <protection locked="true" hidden="false"/>
    </xf>
    <xf numFmtId="187" fontId="37" fillId="39" borderId="34" xfId="47" applyFont="true" applyBorder="true" applyAlignment="true" applyProtection="false">
      <alignment horizontal="justify" vertical="center" textRotation="0" wrapText="false" indent="0" shrinkToFit="false"/>
      <protection locked="true" hidden="false"/>
    </xf>
    <xf numFmtId="164" fontId="20" fillId="40" borderId="32" xfId="39" applyFont="true" applyBorder="true" applyAlignment="true" applyProtection="false">
      <alignment horizontal="justify" vertical="center" textRotation="0" wrapText="false" indent="0" shrinkToFit="false"/>
      <protection locked="true" hidden="false"/>
    </xf>
    <xf numFmtId="164" fontId="52" fillId="40" borderId="32" xfId="39" applyFont="true" applyBorder="true" applyAlignment="true" applyProtection="false">
      <alignment horizontal="justify" vertical="center" textRotation="0" wrapText="false" indent="0" shrinkToFit="false"/>
      <protection locked="true" hidden="false"/>
    </xf>
    <xf numFmtId="164" fontId="20" fillId="8" borderId="32" xfId="39" applyFont="true" applyBorder="true" applyAlignment="true" applyProtection="false">
      <alignment horizontal="justify" vertical="center" textRotation="0" wrapText="false" indent="0" shrinkToFit="false"/>
      <protection locked="true" hidden="false"/>
    </xf>
    <xf numFmtId="170" fontId="34" fillId="32" borderId="24" xfId="36" applyFont="true" applyBorder="true" applyAlignment="true" applyProtection="true">
      <alignment horizontal="justify" vertical="bottom" textRotation="0" wrapText="true" indent="0" shrinkToFit="false"/>
      <protection locked="true" hidden="false"/>
    </xf>
    <xf numFmtId="164" fontId="45" fillId="0" borderId="0" xfId="39" applyFont="true" applyBorder="false" applyAlignment="false" applyProtection="false">
      <alignment horizontal="general" vertical="bottom" textRotation="0" wrapText="false" indent="0" shrinkToFit="false"/>
      <protection locked="true" hidden="false"/>
    </xf>
    <xf numFmtId="164" fontId="22" fillId="0" borderId="0" xfId="39" applyFont="true" applyBorder="false" applyAlignment="false" applyProtection="false">
      <alignment horizontal="general" vertical="bottom" textRotation="0" wrapText="false" indent="0" shrinkToFit="false"/>
      <protection locked="true" hidden="false"/>
    </xf>
    <xf numFmtId="164" fontId="69" fillId="0" borderId="0" xfId="39" applyFont="true" applyBorder="false" applyAlignment="false" applyProtection="false">
      <alignment horizontal="general" vertical="bottom" textRotation="0" wrapText="false" indent="0" shrinkToFit="false"/>
      <protection locked="true" hidden="false"/>
    </xf>
    <xf numFmtId="172" fontId="87" fillId="0" borderId="0" xfId="48" applyFont="true" applyBorder="true" applyAlignment="true" applyProtection="true">
      <alignment horizontal="general" vertical="bottom" textRotation="0" wrapText="false" indent="0" shrinkToFit="false"/>
      <protection locked="true" hidden="false"/>
    </xf>
    <xf numFmtId="187" fontId="12" fillId="40" borderId="33" xfId="47" applyFont="true" applyBorder="true" applyAlignment="true" applyProtection="false">
      <alignment horizontal="right" vertical="bottom" textRotation="0" wrapText="false" indent="0" shrinkToFit="false"/>
      <protection locked="true" hidden="false"/>
    </xf>
    <xf numFmtId="172" fontId="73" fillId="23" borderId="21" xfId="39" applyFont="true" applyBorder="true" applyAlignment="false" applyProtection="false">
      <alignment horizontal="general" vertical="bottom" textRotation="0" wrapText="false" indent="0" shrinkToFit="false"/>
      <protection locked="true" hidden="false"/>
    </xf>
    <xf numFmtId="164" fontId="73" fillId="25" borderId="32" xfId="39" applyFont="true" applyBorder="true" applyAlignment="true" applyProtection="false">
      <alignment horizontal="justify" vertical="center" textRotation="0" wrapText="false" indent="0" shrinkToFit="false"/>
      <protection locked="true" hidden="false"/>
    </xf>
    <xf numFmtId="172" fontId="73" fillId="36" borderId="21" xfId="39" applyFont="tru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justify" vertical="center" textRotation="0" wrapText="false" indent="0" shrinkToFit="false"/>
      <protection locked="true" hidden="false"/>
    </xf>
    <xf numFmtId="172" fontId="73" fillId="2" borderId="21" xfId="39" applyFont="true" applyBorder="true" applyAlignment="false" applyProtection="false">
      <alignment horizontal="general" vertical="bottom" textRotation="0" wrapText="false" indent="0" shrinkToFit="false"/>
      <protection locked="true" hidden="false"/>
    </xf>
    <xf numFmtId="180" fontId="73" fillId="38" borderId="21" xfId="39" applyFont="true" applyBorder="true" applyAlignment="true" applyProtection="false">
      <alignment horizontal="justify" vertical="center" textRotation="0" wrapText="false" indent="0" shrinkToFit="false"/>
      <protection locked="true" hidden="false"/>
    </xf>
    <xf numFmtId="168" fontId="87" fillId="0" borderId="0" xfId="48" applyFont="true" applyBorder="true" applyAlignment="true" applyProtection="true">
      <alignment horizontal="general" vertical="bottom" textRotation="0" wrapText="false" indent="0" shrinkToFit="false"/>
      <protection locked="true" hidden="false"/>
    </xf>
    <xf numFmtId="172" fontId="73" fillId="7" borderId="21" xfId="39" applyFont="true" applyBorder="true" applyAlignment="false" applyProtection="false">
      <alignment horizontal="general" vertical="bottom" textRotation="0" wrapText="false" indent="0" shrinkToFit="false"/>
      <protection locked="true" hidden="false"/>
    </xf>
    <xf numFmtId="164" fontId="73" fillId="25" borderId="21" xfId="39" applyFont="true" applyBorder="true" applyAlignment="true" applyProtection="false">
      <alignment horizontal="justify" vertical="center" textRotation="0" wrapText="false" indent="0" shrinkToFit="false"/>
      <protection locked="true" hidden="false"/>
    </xf>
    <xf numFmtId="164" fontId="73" fillId="8" borderId="21" xfId="39" applyFont="true" applyBorder="true" applyAlignment="true" applyProtection="false">
      <alignment horizontal="justify" vertical="center" textRotation="0" wrapText="false" indent="0" shrinkToFit="false"/>
      <protection locked="true" hidden="false"/>
    </xf>
    <xf numFmtId="192" fontId="78" fillId="0" borderId="21" xfId="39" applyFont="true" applyBorder="true" applyAlignment="true" applyProtection="true">
      <alignment horizontal="general" vertical="bottom" textRotation="0" wrapText="false" indent="0" shrinkToFit="false"/>
      <protection locked="true" hidden="false"/>
    </xf>
    <xf numFmtId="164" fontId="88" fillId="0" borderId="0" xfId="39" applyFont="true" applyBorder="false" applyAlignment="false" applyProtection="false">
      <alignment horizontal="general" vertical="bottom" textRotation="0" wrapText="false" indent="0" shrinkToFit="false"/>
      <protection locked="true" hidden="false"/>
    </xf>
    <xf numFmtId="172" fontId="56" fillId="0" borderId="0" xfId="39" applyFont="true" applyBorder="false" applyAlignment="true" applyProtection="false">
      <alignment horizontal="general" vertical="bottom" textRotation="0" wrapText="true" indent="0" shrinkToFit="false"/>
      <protection locked="true" hidden="false"/>
    </xf>
    <xf numFmtId="172" fontId="73" fillId="0" borderId="0" xfId="39" applyFont="true" applyBorder="false" applyAlignment="false" applyProtection="false">
      <alignment horizontal="general" vertical="bottom" textRotation="0" wrapText="false" indent="0" shrinkToFit="false"/>
      <protection locked="true" hidden="false"/>
    </xf>
    <xf numFmtId="164" fontId="41" fillId="32" borderId="60" xfId="39" applyFont="true" applyBorder="true" applyAlignment="true" applyProtection="false">
      <alignment horizontal="right" vertical="bottom" textRotation="0" wrapText="false" indent="0" shrinkToFit="false"/>
      <protection locked="true" hidden="false"/>
    </xf>
    <xf numFmtId="164" fontId="60" fillId="0" borderId="0" xfId="39" applyFont="true" applyBorder="false" applyAlignment="false" applyProtection="false">
      <alignment horizontal="general" vertical="bottom" textRotation="0" wrapText="false" indent="0" shrinkToFit="false"/>
      <protection locked="true" hidden="false"/>
    </xf>
    <xf numFmtId="172" fontId="56" fillId="36" borderId="21" xfId="39" applyFont="true" applyBorder="true" applyAlignment="false" applyProtection="false">
      <alignment horizontal="general" vertical="bottom" textRotation="0" wrapText="false" indent="0" shrinkToFit="false"/>
      <protection locked="true" hidden="false"/>
    </xf>
    <xf numFmtId="170" fontId="64" fillId="7" borderId="21" xfId="39" applyFont="true" applyBorder="true" applyAlignment="false" applyProtection="false">
      <alignment horizontal="general" vertical="bottom" textRotation="0" wrapText="false" indent="0" shrinkToFit="false"/>
      <protection locked="true" hidden="false"/>
    </xf>
    <xf numFmtId="170" fontId="20" fillId="0" borderId="0" xfId="39" applyFont="true" applyBorder="false" applyAlignment="false" applyProtection="false">
      <alignment horizontal="general" vertical="bottom" textRotation="0" wrapText="false" indent="0" shrinkToFit="false"/>
      <protection locked="true" hidden="false"/>
    </xf>
    <xf numFmtId="187" fontId="12" fillId="40" borderId="44" xfId="47" applyFont="true" applyBorder="true" applyAlignment="true" applyProtection="false">
      <alignment horizontal="right" vertical="bottom" textRotation="0" wrapText="false" indent="0" shrinkToFit="false"/>
      <protection locked="true" hidden="false"/>
    </xf>
    <xf numFmtId="172" fontId="56" fillId="7" borderId="21" xfId="39" applyFont="true" applyBorder="true" applyAlignment="false" applyProtection="false">
      <alignment horizontal="general" vertical="bottom" textRotation="0" wrapText="false" indent="0" shrinkToFit="false"/>
      <protection locked="true" hidden="false"/>
    </xf>
    <xf numFmtId="164" fontId="89" fillId="8" borderId="21" xfId="39" applyFont="true" applyBorder="true" applyAlignment="true" applyProtection="false">
      <alignment horizontal="justify" vertical="center" textRotation="0" wrapText="false" indent="0" shrinkToFit="false"/>
      <protection locked="true" hidden="false"/>
    </xf>
    <xf numFmtId="172" fontId="89" fillId="7" borderId="21" xfId="39" applyFont="true" applyBorder="true" applyAlignment="false" applyProtection="false">
      <alignment horizontal="general" vertical="bottom" textRotation="0" wrapText="false" indent="0" shrinkToFit="false"/>
      <protection locked="true" hidden="false"/>
    </xf>
    <xf numFmtId="164" fontId="89" fillId="38" borderId="21" xfId="39" applyFont="true" applyBorder="true" applyAlignment="true" applyProtection="false">
      <alignment horizontal="justify" vertical="center" textRotation="0" wrapText="false" indent="0" shrinkToFit="false"/>
      <protection locked="true" hidden="false"/>
    </xf>
    <xf numFmtId="170" fontId="64" fillId="23" borderId="21" xfId="39" applyFont="true" applyBorder="true" applyAlignment="false" applyProtection="false">
      <alignment horizontal="general" vertical="bottom" textRotation="0" wrapText="false" indent="0" shrinkToFit="false"/>
      <protection locked="true" hidden="false"/>
    </xf>
    <xf numFmtId="172" fontId="20" fillId="0" borderId="0" xfId="39" applyFont="true" applyBorder="false" applyAlignment="false" applyProtection="false">
      <alignment horizontal="general" vertical="bottom" textRotation="0" wrapText="false" indent="0" shrinkToFit="false"/>
      <protection locked="true" hidden="false"/>
    </xf>
    <xf numFmtId="189" fontId="0" fillId="7" borderId="6" xfId="15" applyFont="true" applyBorder="true" applyAlignment="true" applyProtection="true">
      <alignment horizontal="general" vertical="bottom" textRotation="0" wrapText="false" indent="0" shrinkToFit="false"/>
      <protection locked="true" hidden="false"/>
    </xf>
    <xf numFmtId="189" fontId="4" fillId="7" borderId="0" xfId="39" applyFont="false" applyBorder="true" applyAlignment="false" applyProtection="false">
      <alignment horizontal="general" vertical="bottom" textRotation="0" wrapText="false" indent="0" shrinkToFit="false"/>
      <protection locked="true" hidden="false"/>
    </xf>
    <xf numFmtId="189" fontId="0" fillId="7" borderId="0" xfId="15" applyFont="true" applyBorder="true" applyAlignment="true" applyProtection="true">
      <alignment horizontal="general" vertical="bottom" textRotation="0" wrapText="false" indent="0" shrinkToFit="false"/>
      <protection locked="true" hidden="false"/>
    </xf>
    <xf numFmtId="189" fontId="0" fillId="7" borderId="0" xfId="15" applyFont="false" applyBorder="true" applyAlignment="false" applyProtection="true">
      <alignment horizontal="general" vertical="bottom" textRotation="0" wrapText="false" indent="0" shrinkToFit="false"/>
      <protection locked="true" hidden="false"/>
    </xf>
    <xf numFmtId="164" fontId="4" fillId="7" borderId="46" xfId="39" applyFont="false" applyBorder="true" applyAlignment="false" applyProtection="false">
      <alignment horizontal="general" vertical="bottom" textRotation="0" wrapText="false" indent="0" shrinkToFit="false"/>
      <protection locked="true" hidden="false"/>
    </xf>
    <xf numFmtId="164" fontId="4" fillId="7" borderId="11" xfId="39" applyFont="false" applyBorder="true" applyAlignment="false" applyProtection="false">
      <alignment horizontal="general" vertical="bottom" textRotation="0" wrapText="false" indent="0" shrinkToFit="false"/>
      <protection locked="true" hidden="false"/>
    </xf>
    <xf numFmtId="164" fontId="4" fillId="7" borderId="49" xfId="39" applyFont="fals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general" vertical="center" textRotation="0" wrapText="false" indent="0" shrinkToFit="false"/>
      <protection locked="true" hidden="false"/>
    </xf>
    <xf numFmtId="164" fontId="73" fillId="8" borderId="63" xfId="39" applyFont="true" applyBorder="true" applyAlignment="true" applyProtection="false">
      <alignment horizontal="general" vertical="center" textRotation="0" wrapText="false" indent="0" shrinkToFit="false"/>
      <protection locked="true" hidden="false"/>
    </xf>
    <xf numFmtId="164" fontId="20" fillId="41" borderId="32" xfId="39" applyFont="true" applyBorder="true" applyAlignment="true" applyProtection="false">
      <alignment horizontal="justify" vertical="center" textRotation="0" wrapText="false" indent="0" shrinkToFit="false"/>
      <protection locked="true" hidden="false"/>
    </xf>
    <xf numFmtId="187" fontId="15" fillId="41" borderId="33" xfId="47" applyFont="true" applyBorder="true" applyAlignment="true" applyProtection="false">
      <alignment horizontal="right" vertical="bottom" textRotation="0" wrapText="false" indent="0" shrinkToFit="false"/>
      <protection locked="true" hidden="false"/>
    </xf>
    <xf numFmtId="172" fontId="20" fillId="23" borderId="21" xfId="39" applyFont="true" applyBorder="true" applyAlignment="false" applyProtection="false">
      <alignment horizontal="general" vertical="bottom" textRotation="0" wrapText="false" indent="0" shrinkToFit="false"/>
      <protection locked="true" hidden="false"/>
    </xf>
    <xf numFmtId="172" fontId="20" fillId="36" borderId="21" xfId="39" applyFont="true" applyBorder="true" applyAlignment="false" applyProtection="false">
      <alignment horizontal="general" vertical="bottom" textRotation="0" wrapText="false" indent="0" shrinkToFit="false"/>
      <protection locked="true" hidden="false"/>
    </xf>
    <xf numFmtId="172" fontId="20" fillId="2" borderId="21" xfId="39" applyFont="true" applyBorder="true" applyAlignment="false" applyProtection="false">
      <alignment horizontal="general" vertical="bottom" textRotation="0" wrapText="false" indent="0" shrinkToFit="false"/>
      <protection locked="true" hidden="false"/>
    </xf>
    <xf numFmtId="172" fontId="20" fillId="7" borderId="21" xfId="39" applyFont="true" applyBorder="true" applyAlignment="false" applyProtection="false">
      <alignment horizontal="general" vertical="bottom" textRotation="0" wrapText="false" indent="0" shrinkToFit="false"/>
      <protection locked="true" hidden="false"/>
    </xf>
    <xf numFmtId="172" fontId="17" fillId="0" borderId="0" xfId="39" applyFont="true" applyBorder="false" applyAlignment="true" applyProtection="false">
      <alignment horizontal="general" vertical="bottom" textRotation="0" wrapText="true" indent="0" shrinkToFit="false"/>
      <protection locked="true" hidden="false"/>
    </xf>
    <xf numFmtId="172" fontId="17" fillId="36" borderId="21" xfId="39" applyFont="true" applyBorder="true" applyAlignment="false" applyProtection="false">
      <alignment horizontal="general" vertical="bottom" textRotation="0" wrapText="false" indent="0" shrinkToFit="false"/>
      <protection locked="true" hidden="false"/>
    </xf>
    <xf numFmtId="164" fontId="90" fillId="0" borderId="0" xfId="39" applyFont="true" applyBorder="false" applyAlignment="true" applyProtection="false">
      <alignment horizontal="right" vertical="bottom" textRotation="0" wrapText="false" indent="0" shrinkToFit="false"/>
      <protection locked="true" hidden="false"/>
    </xf>
    <xf numFmtId="172" fontId="89" fillId="2" borderId="21" xfId="39" applyFont="true" applyBorder="true" applyAlignment="false" applyProtection="false">
      <alignment horizontal="general" vertical="bottom" textRotation="0" wrapText="false" indent="0" shrinkToFit="false"/>
      <protection locked="true" hidden="false"/>
    </xf>
    <xf numFmtId="164" fontId="91" fillId="0" borderId="0" xfId="39" applyFont="true" applyBorder="false" applyAlignment="false" applyProtection="false">
      <alignment horizontal="general" vertical="bottom" textRotation="0" wrapText="false" indent="0" shrinkToFit="false"/>
      <protection locked="true" hidden="false"/>
    </xf>
    <xf numFmtId="187" fontId="92" fillId="41" borderId="44" xfId="47" applyFont="true" applyBorder="true" applyAlignment="true" applyProtection="false">
      <alignment horizontal="right" vertical="bottom" textRotation="0" wrapText="false" indent="0" shrinkToFit="false"/>
      <protection locked="true" hidden="false"/>
    </xf>
    <xf numFmtId="172" fontId="93" fillId="23" borderId="21" xfId="39" applyFont="true" applyBorder="true" applyAlignment="false" applyProtection="false">
      <alignment horizontal="general" vertical="bottom" textRotation="0" wrapText="false" indent="0" shrinkToFit="false"/>
      <protection locked="true" hidden="false"/>
    </xf>
    <xf numFmtId="172" fontId="72" fillId="36" borderId="21" xfId="39"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 fillId="42" borderId="0" xfId="39" applyFont="true" applyBorder="true" applyAlignment="true" applyProtection="false">
      <alignment horizontal="center" vertical="center" textRotation="0" wrapText="false" indent="0" shrinkToFit="false"/>
      <protection locked="true" hidden="false"/>
    </xf>
    <xf numFmtId="164" fontId="4" fillId="15" borderId="0" xfId="39" applyFont="true" applyBorder="true" applyAlignment="true" applyProtection="false">
      <alignment horizontal="center" vertical="center" textRotation="0" wrapText="false" indent="0" shrinkToFit="false"/>
      <protection locked="true" hidden="false"/>
    </xf>
    <xf numFmtId="164" fontId="4" fillId="33" borderId="0" xfId="39" applyFont="true" applyBorder="true" applyAlignment="true" applyProtection="false">
      <alignment horizontal="center" vertical="center" textRotation="0" wrapText="false" indent="0" shrinkToFit="false"/>
      <protection locked="true" hidden="false"/>
    </xf>
    <xf numFmtId="164" fontId="4" fillId="42" borderId="0" xfId="39" applyFont="true" applyBorder="false" applyAlignment="false" applyProtection="false">
      <alignment horizontal="general" vertical="bottom" textRotation="0" wrapText="false" indent="0" shrinkToFit="false"/>
      <protection locked="true" hidden="false"/>
    </xf>
    <xf numFmtId="164" fontId="4" fillId="15" borderId="0" xfId="39" applyFont="true" applyBorder="false" applyAlignment="false" applyProtection="false">
      <alignment horizontal="general" vertical="bottom" textRotation="0" wrapText="false" indent="0" shrinkToFit="false"/>
      <protection locked="true" hidden="false"/>
    </xf>
    <xf numFmtId="164" fontId="4" fillId="7" borderId="0" xfId="39" applyFont="true" applyBorder="false" applyAlignment="true" applyProtection="false">
      <alignment horizontal="general" vertical="bottom" textRotation="0" wrapText="false" indent="0" shrinkToFit="false"/>
      <protection locked="true" hidden="false"/>
    </xf>
    <xf numFmtId="170" fontId="4" fillId="43" borderId="0" xfId="39" applyFont="false" applyBorder="false" applyAlignment="false" applyProtection="false">
      <alignment horizontal="general" vertical="bottom" textRotation="0" wrapText="false" indent="0" shrinkToFit="false"/>
      <protection locked="true" hidden="false"/>
    </xf>
    <xf numFmtId="170" fontId="4" fillId="38" borderId="0" xfId="39" applyFont="false" applyBorder="false" applyAlignment="false" applyProtection="false">
      <alignment horizontal="general" vertical="bottom" textRotation="0" wrapText="false" indent="0" shrinkToFit="false"/>
      <protection locked="true" hidden="false"/>
    </xf>
    <xf numFmtId="164" fontId="4" fillId="2" borderId="0" xfId="39" applyFont="false" applyBorder="false" applyAlignment="false" applyProtection="false">
      <alignment horizontal="general" vertical="bottom" textRotation="0" wrapText="false" indent="0" shrinkToFit="false"/>
      <protection locked="true" hidden="false"/>
    </xf>
    <xf numFmtId="164" fontId="37" fillId="0" borderId="0" xfId="39" applyFont="true" applyBorder="false" applyAlignment="false" applyProtection="false">
      <alignment horizontal="general" vertical="bottom" textRotation="0" wrapText="false" indent="0" shrinkToFit="false"/>
      <protection locked="true" hidden="false"/>
    </xf>
    <xf numFmtId="184" fontId="83" fillId="7" borderId="0" xfId="37" applyFont="true" applyBorder="true" applyAlignment="true" applyProtection="true">
      <alignment horizontal="right" vertical="bottom" textRotation="0" wrapText="false" indent="0" shrinkToFit="false"/>
      <protection locked="true" hidden="false"/>
    </xf>
    <xf numFmtId="164" fontId="72" fillId="0" borderId="0" xfId="39" applyFont="true" applyBorder="false" applyAlignment="false" applyProtection="false">
      <alignment horizontal="general" vertical="bottom" textRotation="0" wrapText="false" indent="0" shrinkToFit="false"/>
      <protection locked="true" hidden="false"/>
    </xf>
    <xf numFmtId="180" fontId="4" fillId="0" borderId="58" xfId="39" applyFont="false" applyBorder="true" applyAlignment="false" applyProtection="false">
      <alignment horizontal="general" vertical="bottom" textRotation="0" wrapText="false" indent="0" shrinkToFit="false"/>
      <protection locked="true" hidden="false"/>
    </xf>
    <xf numFmtId="170" fontId="4" fillId="7" borderId="58" xfId="39" applyFont="false" applyBorder="true" applyAlignment="false" applyProtection="false">
      <alignment horizontal="general" vertical="bottom" textRotation="0" wrapText="false" indent="0" shrinkToFit="false"/>
      <protection locked="true" hidden="false"/>
    </xf>
    <xf numFmtId="172" fontId="70" fillId="0" borderId="0" xfId="39" applyFont="true" applyBorder="false" applyAlignment="true" applyProtection="false">
      <alignment horizontal="general" vertical="bottom" textRotation="0" wrapText="true" indent="0" shrinkToFit="false"/>
      <protection locked="true" hidden="false"/>
    </xf>
    <xf numFmtId="172" fontId="4" fillId="7" borderId="58" xfId="39" applyFont="false" applyBorder="true" applyAlignment="false" applyProtection="false">
      <alignment horizontal="general" vertical="bottom" textRotation="0" wrapText="false" indent="0" shrinkToFit="false"/>
      <protection locked="true" hidden="false"/>
    </xf>
    <xf numFmtId="172" fontId="4" fillId="43" borderId="0" xfId="39" applyFont="false" applyBorder="fals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justify" vertical="center" textRotation="0" wrapText="false" indent="0" shrinkToFit="false"/>
      <protection locked="true" hidden="false"/>
    </xf>
    <xf numFmtId="172" fontId="4" fillId="38"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false" applyBorder="false" applyAlignment="false" applyProtection="false">
      <alignment horizontal="general" vertical="bottom" textRotation="0" wrapText="false" indent="0" shrinkToFit="false"/>
      <protection locked="true" hidden="false"/>
    </xf>
    <xf numFmtId="172" fontId="4" fillId="2" borderId="0" xfId="39" applyFont="false" applyBorder="false" applyAlignment="false" applyProtection="false">
      <alignment horizontal="general" vertical="bottom" textRotation="0" wrapText="false" indent="0" shrinkToFit="false"/>
      <protection locked="true" hidden="false"/>
    </xf>
    <xf numFmtId="176" fontId="11" fillId="0" borderId="0" xfId="47"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true" applyProtection="false">
      <alignment horizontal="justify" vertical="bottom" textRotation="0" wrapText="false" indent="0" shrinkToFit="false"/>
      <protection locked="true" hidden="false"/>
    </xf>
    <xf numFmtId="172" fontId="83" fillId="7" borderId="0" xfId="37" applyFont="true" applyBorder="true" applyAlignment="true" applyProtection="true">
      <alignment horizontal="right" vertical="bottom" textRotation="0" wrapText="false" indent="0" shrinkToFit="false"/>
      <protection locked="true" hidden="false"/>
    </xf>
    <xf numFmtId="172" fontId="4" fillId="0" borderId="0" xfId="39" applyFont="false" applyBorder="false" applyAlignment="true" applyProtection="false">
      <alignment horizontal="center" vertical="bottom" textRotation="0" wrapText="false" indent="0" shrinkToFit="false"/>
      <protection locked="true" hidden="false"/>
    </xf>
    <xf numFmtId="172" fontId="4" fillId="7" borderId="0" xfId="39" applyFont="true" applyBorder="false" applyAlignment="false" applyProtection="false">
      <alignment horizontal="general" vertical="bottom" textRotation="0" wrapText="false" indent="0" shrinkToFit="false"/>
      <protection locked="true" hidden="false"/>
    </xf>
    <xf numFmtId="164" fontId="4" fillId="38" borderId="0" xfId="39" applyFont="false" applyBorder="false" applyAlignment="false" applyProtection="false">
      <alignment horizontal="general" vertical="bottom" textRotation="0" wrapText="false" indent="0" shrinkToFit="false"/>
      <protection locked="true" hidden="false"/>
    </xf>
    <xf numFmtId="172" fontId="85" fillId="10" borderId="0" xfId="0" applyFont="true" applyBorder="false" applyAlignment="true" applyProtection="false">
      <alignment horizontal="right" vertical="bottom" textRotation="0" wrapText="true" indent="0" shrinkToFit="false"/>
      <protection locked="true" hidden="false"/>
    </xf>
    <xf numFmtId="164" fontId="85" fillId="10" borderId="0" xfId="0" applyFont="true" applyBorder="false" applyAlignment="true" applyProtection="false">
      <alignment horizontal="left" vertical="bottom" textRotation="0" wrapText="true" indent="0" shrinkToFit="false"/>
      <protection locked="true" hidden="false"/>
    </xf>
    <xf numFmtId="172" fontId="4" fillId="0" borderId="0" xfId="39" applyFont="true" applyBorder="false" applyAlignment="false" applyProtection="false">
      <alignment horizontal="general" vertical="bottom" textRotation="0" wrapText="false" indent="0" shrinkToFit="false"/>
      <protection locked="true" hidden="false"/>
    </xf>
    <xf numFmtId="172" fontId="62" fillId="0" borderId="0" xfId="0" applyFont="true" applyBorder="false" applyAlignment="true" applyProtection="false">
      <alignment horizontal="right" vertical="bottom" textRotation="0" wrapText="true" indent="0" shrinkToFit="false"/>
      <protection locked="true" hidden="false"/>
    </xf>
    <xf numFmtId="172" fontId="4" fillId="2" borderId="0" xfId="39" applyFont="true" applyBorder="false" applyAlignment="false" applyProtection="false">
      <alignment horizontal="general" vertical="bottom" textRotation="0" wrapText="false" indent="0" shrinkToFit="false"/>
      <protection locked="true" hidden="false"/>
    </xf>
    <xf numFmtId="172" fontId="85" fillId="0" borderId="0" xfId="0" applyFont="true" applyBorder="false" applyAlignment="true" applyProtection="false">
      <alignment horizontal="right" vertical="bottom" textRotation="0" wrapText="true" indent="0" shrinkToFit="false"/>
      <protection locked="true" hidden="false"/>
    </xf>
    <xf numFmtId="172" fontId="85" fillId="44" borderId="0" xfId="0" applyFont="true" applyBorder="false" applyAlignment="true" applyProtection="false">
      <alignment horizontal="right" vertical="bottom" textRotation="0" wrapText="true" indent="0" shrinkToFit="false"/>
      <protection locked="true" hidden="false"/>
    </xf>
    <xf numFmtId="172" fontId="85" fillId="7" borderId="0" xfId="0" applyFont="true" applyBorder="false" applyAlignment="true" applyProtection="false">
      <alignment horizontal="right" vertical="bottom" textRotation="0" wrapText="true" indent="0" shrinkToFit="false"/>
      <protection locked="true" hidden="false"/>
    </xf>
    <xf numFmtId="172" fontId="85" fillId="45" borderId="0" xfId="39" applyFont="true" applyBorder="false" applyAlignment="true" applyProtection="false">
      <alignment horizontal="right" vertical="bottom" textRotation="0" wrapText="false" indent="0" shrinkToFit="false"/>
      <protection locked="true" hidden="false"/>
    </xf>
    <xf numFmtId="164" fontId="85" fillId="45" borderId="0" xfId="39" applyFont="true" applyBorder="false" applyAlignment="false" applyProtection="false">
      <alignment horizontal="general" vertical="bottom" textRotation="0" wrapText="false" indent="0" shrinkToFit="false"/>
      <protection locked="true" hidden="false"/>
    </xf>
    <xf numFmtId="172" fontId="62" fillId="0" borderId="0" xfId="39" applyFont="true" applyBorder="false" applyAlignment="true" applyProtection="false">
      <alignment horizontal="right" vertical="bottom" textRotation="0" wrapText="false" indent="0" shrinkToFit="false"/>
      <protection locked="true" hidden="false"/>
    </xf>
    <xf numFmtId="172" fontId="85" fillId="0" borderId="0" xfId="39" applyFont="true" applyBorder="false" applyAlignment="true" applyProtection="false">
      <alignment horizontal="right" vertical="bottom" textRotation="0" wrapText="false" indent="0" shrinkToFit="false"/>
      <protection locked="true" hidden="false"/>
    </xf>
    <xf numFmtId="172" fontId="85" fillId="32" borderId="0" xfId="39" applyFont="true" applyBorder="false" applyAlignment="true" applyProtection="false">
      <alignment horizontal="right" vertical="bottom" textRotation="0" wrapText="false" indent="0" shrinkToFit="false"/>
      <protection locked="true" hidden="false"/>
    </xf>
    <xf numFmtId="172" fontId="85" fillId="7" borderId="0" xfId="39" applyFont="true" applyBorder="false" applyAlignment="true" applyProtection="false">
      <alignment horizontal="right" vertical="bottom" textRotation="0" wrapText="false" indent="0" shrinkToFit="false"/>
      <protection locked="true" hidden="false"/>
    </xf>
    <xf numFmtId="164" fontId="4" fillId="30" borderId="0" xfId="39" applyFont="false" applyBorder="false" applyAlignment="false" applyProtection="false">
      <alignment horizontal="general" vertical="bottom" textRotation="0" wrapText="false" indent="0" shrinkToFit="false"/>
      <protection locked="true" hidden="false"/>
    </xf>
    <xf numFmtId="172" fontId="85" fillId="10" borderId="0" xfId="39" applyFont="true" applyBorder="false" applyAlignment="true" applyProtection="false">
      <alignment horizontal="right" vertical="bottom" textRotation="0" wrapText="false" indent="0" shrinkToFit="false"/>
      <protection locked="true" hidden="false"/>
    </xf>
    <xf numFmtId="172" fontId="85" fillId="29" borderId="0" xfId="39" applyFont="true" applyBorder="false" applyAlignment="true" applyProtection="false">
      <alignment horizontal="right" vertical="bottom" textRotation="0" wrapText="false" indent="0" shrinkToFit="false"/>
      <protection locked="true" hidden="false"/>
    </xf>
    <xf numFmtId="164" fontId="0" fillId="46" borderId="0" xfId="0" applyFont="false" applyBorder="false" applyAlignment="false" applyProtection="false">
      <alignment horizontal="general" vertical="bottom" textRotation="0" wrapText="false" indent="0" shrinkToFit="false"/>
      <protection locked="true" hidden="false"/>
    </xf>
    <xf numFmtId="164" fontId="0" fillId="46" borderId="0" xfId="0" applyFont="true" applyBorder="false" applyAlignment="true" applyProtection="false">
      <alignment horizontal="general" vertical="bottom" textRotation="0" wrapText="true" indent="0" shrinkToFit="false"/>
      <protection locked="true" hidden="false"/>
    </xf>
    <xf numFmtId="164" fontId="0" fillId="44" borderId="0" xfId="0" applyFont="false" applyBorder="false" applyAlignment="true" applyProtection="false">
      <alignment horizontal="general" vertical="bottom" textRotation="0" wrapText="true" indent="0" shrinkToFit="false"/>
      <protection locked="true" hidden="false"/>
    </xf>
    <xf numFmtId="164" fontId="0" fillId="34" borderId="0" xfId="0" applyFont="false" applyBorder="false" applyAlignment="false" applyProtection="false">
      <alignment horizontal="general" vertical="bottom" textRotation="0" wrapText="false" indent="0" shrinkToFit="false"/>
      <protection locked="true" hidden="false"/>
    </xf>
    <xf numFmtId="168" fontId="0" fillId="34" borderId="0" xfId="19" applyFont="true" applyBorder="true" applyAlignment="true" applyProtection="true">
      <alignment horizontal="general" vertical="bottom" textRotation="0" wrapText="false" indent="0" shrinkToFit="false"/>
      <protection locked="true" hidden="false"/>
    </xf>
    <xf numFmtId="186" fontId="0" fillId="34" borderId="0" xfId="0" applyFont="false" applyBorder="false" applyAlignment="false" applyProtection="false">
      <alignment horizontal="general" vertical="bottom" textRotation="0" wrapText="false" indent="0" shrinkToFit="false"/>
      <protection locked="true" hidden="false"/>
    </xf>
    <xf numFmtId="164" fontId="0" fillId="47" borderId="0" xfId="0" applyFont="false" applyBorder="false" applyAlignment="false" applyProtection="false">
      <alignment horizontal="general" vertical="bottom" textRotation="0" wrapText="false" indent="0" shrinkToFit="false"/>
      <protection locked="true" hidden="false"/>
    </xf>
    <xf numFmtId="193" fontId="0" fillId="47" borderId="0" xfId="19" applyFont="true" applyBorder="true" applyAlignment="true" applyProtection="true">
      <alignment horizontal="general" vertical="bottom" textRotation="0" wrapText="false" indent="0" shrinkToFit="false"/>
      <protection locked="true" hidden="false"/>
    </xf>
    <xf numFmtId="180" fontId="0" fillId="7" borderId="0" xfId="0" applyFont="false" applyBorder="false" applyAlignment="false" applyProtection="fals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86" fontId="0" fillId="7" borderId="0" xfId="0" applyFont="false" applyBorder="false" applyAlignment="false" applyProtection="false">
      <alignment horizontal="general" vertical="bottom" textRotation="0" wrapText="false" indent="0" shrinkToFit="false"/>
      <protection locked="true" hidden="false"/>
    </xf>
    <xf numFmtId="193" fontId="0" fillId="7"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70" fontId="0" fillId="48" borderId="0" xfId="0" applyFont="false" applyBorder="false" applyAlignment="true" applyProtection="false">
      <alignment horizontal="general" vertical="bottom" textRotation="0" wrapText="true" indent="0" shrinkToFit="false"/>
      <protection locked="true" hidden="false"/>
    </xf>
    <xf numFmtId="180" fontId="0" fillId="48" borderId="0" xfId="0" applyFont="false" applyBorder="false" applyAlignment="true" applyProtection="false">
      <alignment horizontal="general" vertical="bottom" textRotation="0" wrapText="tru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70" fontId="0" fillId="49"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87" fontId="109" fillId="35" borderId="32" xfId="39" applyFont="true" applyBorder="true" applyAlignment="true" applyProtection="false">
      <alignment horizontal="justify" vertical="center" textRotation="0" wrapText="false" indent="0" shrinkToFit="false"/>
      <protection locked="true" hidden="false"/>
    </xf>
    <xf numFmtId="164" fontId="109" fillId="35" borderId="32" xfId="39" applyFont="true" applyBorder="true" applyAlignment="true" applyProtection="false">
      <alignment horizontal="justify" vertical="center" textRotation="0" wrapText="false" indent="0" shrinkToFit="false"/>
      <protection locked="true" hidden="false"/>
    </xf>
    <xf numFmtId="164" fontId="109" fillId="35" borderId="32" xfId="39" applyFont="true" applyBorder="true" applyAlignment="true" applyProtection="false">
      <alignment horizontal="center" vertical="bottom" textRotation="0" wrapText="true" indent="0" shrinkToFit="false"/>
      <protection locked="true" hidden="false"/>
    </xf>
    <xf numFmtId="180" fontId="52" fillId="48" borderId="32" xfId="39" applyFont="true" applyBorder="true" applyAlignment="true" applyProtection="false">
      <alignment horizontal="justify" vertical="center" textRotation="0" wrapText="false" indent="0" shrinkToFit="false"/>
      <protection locked="true" hidden="false"/>
    </xf>
    <xf numFmtId="164" fontId="4" fillId="8" borderId="0" xfId="39" applyFont="true" applyBorder="false" applyAlignment="true" applyProtection="false">
      <alignment horizontal="general" vertical="bottom" textRotation="0" wrapText="true" indent="0" shrinkToFit="false"/>
      <protection locked="true" hidden="false"/>
    </xf>
    <xf numFmtId="164" fontId="15" fillId="35" borderId="33" xfId="47" applyFont="true" applyBorder="true" applyAlignment="true" applyProtection="false">
      <alignment horizontal="right" vertical="bottom" textRotation="0" wrapText="false" indent="0" shrinkToFit="false"/>
      <protection locked="true" hidden="false"/>
    </xf>
    <xf numFmtId="172" fontId="7" fillId="32" borderId="21" xfId="48" applyFont="false" applyBorder="true" applyAlignment="true" applyProtection="true">
      <alignment horizontal="general" vertical="bottom" textRotation="0" wrapText="false" indent="0" shrinkToFit="false"/>
      <protection locked="true" hidden="false"/>
    </xf>
    <xf numFmtId="164" fontId="38" fillId="48" borderId="32" xfId="39" applyFont="true" applyBorder="true" applyAlignment="true" applyProtection="false">
      <alignment horizontal="justify" vertical="center" textRotation="0" wrapText="false" indent="0" shrinkToFit="false"/>
      <protection locked="true" hidden="false"/>
    </xf>
    <xf numFmtId="172" fontId="7" fillId="50" borderId="21" xfId="48" applyFont="false" applyBorder="true" applyAlignment="true" applyProtection="true">
      <alignment horizontal="general" vertical="bottom" textRotation="0" wrapText="false" indent="0" shrinkToFit="false"/>
      <protection locked="true" hidden="false"/>
    </xf>
    <xf numFmtId="193" fontId="4" fillId="0" borderId="0" xfId="19" applyFont="true" applyBorder="true" applyAlignment="true" applyProtection="true">
      <alignment horizontal="general" vertical="bottom" textRotation="0" wrapText="false" indent="0" shrinkToFit="false"/>
      <protection locked="true" hidden="false"/>
    </xf>
    <xf numFmtId="193" fontId="4" fillId="0" borderId="0" xfId="39" applyFont="false" applyBorder="false" applyAlignment="false" applyProtection="false">
      <alignment horizontal="general" vertical="bottom" textRotation="0" wrapText="false" indent="0" shrinkToFit="false"/>
      <protection locked="true" hidden="false"/>
    </xf>
    <xf numFmtId="172" fontId="7" fillId="7" borderId="21" xfId="48" applyFont="false" applyBorder="true" applyAlignment="true" applyProtection="true">
      <alignment horizontal="general" vertical="bottom" textRotation="0" wrapText="false" indent="0" shrinkToFit="false"/>
      <protection locked="true" hidden="false"/>
    </xf>
    <xf numFmtId="164" fontId="38" fillId="48" borderId="21" xfId="39" applyFont="true" applyBorder="true" applyAlignment="true" applyProtection="false">
      <alignment horizontal="justify" vertical="center" textRotation="0" wrapText="false" indent="0" shrinkToFit="false"/>
      <protection locked="true" hidden="false"/>
    </xf>
    <xf numFmtId="172" fontId="4" fillId="0" borderId="0" xfId="19" applyFont="true" applyBorder="true" applyAlignment="true" applyProtection="true">
      <alignment horizontal="general" vertical="bottom" textRotation="0" wrapText="false" indent="0" shrinkToFit="false"/>
      <protection locked="true" hidden="false"/>
    </xf>
    <xf numFmtId="164" fontId="4" fillId="51" borderId="0" xfId="39" applyFont="false" applyBorder="false" applyAlignment="false" applyProtection="false">
      <alignment horizontal="general" vertical="bottom" textRotation="0" wrapText="false" indent="0" shrinkToFit="false"/>
      <protection locked="true" hidden="false"/>
    </xf>
    <xf numFmtId="193" fontId="4" fillId="51" borderId="0" xfId="19" applyFont="true" applyBorder="true" applyAlignment="true" applyProtection="true">
      <alignment horizontal="general" vertical="bottom" textRotation="0" wrapText="false" indent="0" shrinkToFit="false"/>
      <protection locked="true" hidden="false"/>
    </xf>
    <xf numFmtId="193" fontId="4" fillId="51" borderId="0" xfId="39" applyFont="false" applyBorder="false" applyAlignment="false" applyProtection="false">
      <alignment horizontal="general" vertical="bottom" textRotation="0" wrapText="false" indent="0" shrinkToFit="false"/>
      <protection locked="true" hidden="false"/>
    </xf>
    <xf numFmtId="193" fontId="110" fillId="51" borderId="0" xfId="39" applyFont="true" applyBorder="false" applyAlignment="false" applyProtection="false">
      <alignment horizontal="general" vertical="bottom" textRotation="0" wrapText="false" indent="0" shrinkToFit="false"/>
      <protection locked="true" hidden="false"/>
    </xf>
    <xf numFmtId="164" fontId="52" fillId="48" borderId="32" xfId="39" applyFont="true" applyBorder="true" applyAlignment="true" applyProtection="false">
      <alignment horizontal="general" vertical="center" textRotation="0" wrapText="false" indent="0" shrinkToFit="false"/>
      <protection locked="true" hidden="false"/>
    </xf>
    <xf numFmtId="187" fontId="109" fillId="35" borderId="32" xfId="39" applyFont="true" applyBorder="true" applyAlignment="true" applyProtection="false">
      <alignment horizontal="general" vertical="center" textRotation="0" wrapText="false" indent="0" shrinkToFit="false"/>
      <protection locked="true" hidden="false"/>
    </xf>
    <xf numFmtId="187" fontId="37" fillId="0" borderId="61" xfId="47" applyFont="true" applyBorder="true" applyAlignment="true" applyProtection="false">
      <alignment horizontal="justify" vertical="center" textRotation="0" wrapText="false" indent="0" shrinkToFit="false"/>
      <protection locked="true" hidden="false"/>
    </xf>
    <xf numFmtId="187" fontId="37" fillId="0" borderId="32" xfId="47" applyFont="true" applyBorder="true" applyAlignment="true" applyProtection="false">
      <alignment horizontal="justify" vertical="center" textRotation="0" wrapText="false" indent="0" shrinkToFit="false"/>
      <protection locked="true" hidden="false"/>
    </xf>
    <xf numFmtId="193" fontId="7" fillId="50" borderId="21" xfId="48" applyFont="false" applyBorder="true" applyAlignment="true" applyProtection="true">
      <alignment horizontal="general" vertical="bottom" textRotation="0" wrapText="false" indent="0" shrinkToFit="false"/>
      <protection locked="true" hidden="false"/>
    </xf>
    <xf numFmtId="193" fontId="115" fillId="50" borderId="21" xfId="48" applyFont="true" applyBorder="true" applyAlignment="true" applyProtection="true">
      <alignment horizontal="general" vertical="bottom" textRotation="0" wrapText="false" indent="0" shrinkToFit="false"/>
      <protection locked="true" hidden="false"/>
    </xf>
    <xf numFmtId="193" fontId="7" fillId="7" borderId="21" xfId="48" applyFont="false" applyBorder="true" applyAlignment="true" applyProtection="true">
      <alignment horizontal="general" vertical="bottom" textRotation="0" wrapText="false" indent="0" shrinkToFit="false"/>
      <protection locked="true" hidden="false"/>
    </xf>
    <xf numFmtId="193" fontId="115" fillId="7" borderId="21" xfId="48"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09" fillId="35" borderId="32" xfId="39" applyFont="true" applyBorder="true" applyAlignment="true" applyProtection="false">
      <alignment horizontal="left" vertical="bottom" textRotation="0" wrapText="tru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 [0]_aifes" xfId="37"/>
    <cellStyle name="Millares_Apctasnacionles" xfId="38"/>
    <cellStyle name="Normal 2" xfId="39"/>
    <cellStyle name="Normal 2 2" xfId="40"/>
    <cellStyle name="Normal 2 3" xfId="41"/>
    <cellStyle name="Normal 3" xfId="42"/>
    <cellStyle name="Normal 4" xfId="43"/>
    <cellStyle name="Normal 5" xfId="44"/>
    <cellStyle name="Normal 6" xfId="45"/>
    <cellStyle name="Normal 7" xfId="46"/>
    <cellStyle name="Normal_resu-2-com.ext" xfId="47"/>
    <cellStyle name="Porcentaje 2" xfId="48"/>
    <cellStyle name="*unknown*" xfId="20" builtinId="8"/>
    <cellStyle name="Excel Built-in Explanatory Text" xfId="49"/>
  </cellStyles>
  <colors>
    <indexedColors>
      <rgbColor rgb="FF000000"/>
      <rgbColor rgb="FFFFFFFF"/>
      <rgbColor rgb="FFFF0000"/>
      <rgbColor rgb="FF00FF00"/>
      <rgbColor rgb="FF0000FF"/>
      <rgbColor rgb="FFFFFF00"/>
      <rgbColor rgb="FFFF00FF"/>
      <rgbColor rgb="FF00FFFF"/>
      <rgbColor rgb="FF800000"/>
      <rgbColor rgb="FFB4C7E7"/>
      <rgbColor rgb="FFE2F0D9"/>
      <rgbColor rgb="FF808000"/>
      <rgbColor rgb="FF800080"/>
      <rgbColor rgb="FF008080"/>
      <rgbColor rgb="FFC5CAC1"/>
      <rgbColor rgb="FF808080"/>
      <rgbColor rgb="FF9999FF"/>
      <rgbColor rgb="FF993366"/>
      <rgbColor rgb="FFFFFFCC"/>
      <rgbColor rgb="FFCCFFFF"/>
      <rgbColor rgb="FF660066"/>
      <rgbColor rgb="FFFF8080"/>
      <rgbColor rgb="FF035ADA"/>
      <rgbColor rgb="FFCCCCFF"/>
      <rgbColor rgb="FFFFF2CC"/>
      <rgbColor rgb="FFD9D9D9"/>
      <rgbColor rgb="FFFFC000"/>
      <rgbColor rgb="FF66CCFF"/>
      <rgbColor rgb="FFBDD7EE"/>
      <rgbColor rgb="FFFFE699"/>
      <rgbColor rgb="FF92D050"/>
      <rgbColor rgb="FF0000C2"/>
      <rgbColor rgb="FF00CCFF"/>
      <rgbColor rgb="FFE6F0EA"/>
      <rgbColor rgb="FFCCFFCC"/>
      <rgbColor rgb="FFFFFF97"/>
      <rgbColor rgb="FF99CCFF"/>
      <rgbColor rgb="FFFF99CC"/>
      <rgbColor rgb="FFFF99FF"/>
      <rgbColor rgb="FFFFCA9E"/>
      <rgbColor rgb="FF487EE7"/>
      <rgbColor rgb="FF33CCCC"/>
      <rgbColor rgb="FF99CC00"/>
      <rgbColor rgb="FFFFCC00"/>
      <rgbColor rgb="FFF07E29"/>
      <rgbColor rgb="FFFF6400"/>
      <rgbColor rgb="FF666699"/>
      <rgbColor rgb="FFA6A6A6"/>
      <rgbColor rgb="FF003366"/>
      <rgbColor rgb="FF70A43D"/>
      <rgbColor rgb="FF003300"/>
      <rgbColor rgb="FF363607"/>
      <rgbColor rgb="FF993300"/>
      <rgbColor rgb="FF595959"/>
      <rgbColor rgb="FF353FD5"/>
      <rgbColor rgb="FF34527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770240371995"/>
          <c:y val="0.138360923768649"/>
        </c:manualLayout>
      </c:layout>
      <c:overlay val="0"/>
      <c:spPr>
        <a:noFill/>
        <a:ln w="25560">
          <a:noFill/>
        </a:ln>
      </c:spPr>
    </c:title>
    <c:autoTitleDeleted val="0"/>
    <c:plotArea>
      <c:layout>
        <c:manualLayout>
          <c:layoutTarget val="inner"/>
          <c:xMode val="edge"/>
          <c:yMode val="edge"/>
          <c:x val="0.185735178310271"/>
          <c:y val="0.670072893248859"/>
          <c:w val="0.31878351520606"/>
          <c:h val="0.265481299816064"/>
        </c:manualLayout>
      </c:layout>
      <c:lineChart>
        <c:grouping val="standard"/>
        <c:varyColors val="0"/>
        <c:ser>
          <c:idx val="0"/>
          <c:order val="0"/>
          <c:tx>
            <c:strRef>
              <c:f>'Cuenta Ahorro-Inversión-Financi'!$AD$40:$AD$41</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Ahorro-Inversión-Financi'!$AD$42:$AD$64</c:f>
              <c:numCache>
                <c:formatCode>General</c:formatCode>
                <c:ptCount val="23"/>
                <c:pt idx="0">
                  <c:v>-0.000554452600679711</c:v>
                </c:pt>
                <c:pt idx="1">
                  <c:v>-0.00701923207058701</c:v>
                </c:pt>
                <c:pt idx="2">
                  <c:v>-0.00277686082771296</c:v>
                </c:pt>
                <c:pt idx="3">
                  <c:v>-0.00969995963704045</c:v>
                </c:pt>
                <c:pt idx="4">
                  <c:v>-0.00144873720454982</c:v>
                </c:pt>
                <c:pt idx="5">
                  <c:v>-0.00849283222489954</c:v>
                </c:pt>
                <c:pt idx="6">
                  <c:v>-0.0136392591954492</c:v>
                </c:pt>
                <c:pt idx="7">
                  <c:v>-0.0126860703571837</c:v>
                </c:pt>
                <c:pt idx="8">
                  <c:v>-0.0161939366295456</c:v>
                </c:pt>
                <c:pt idx="9">
                  <c:v>-0.0159789898191716</c:v>
                </c:pt>
                <c:pt idx="10">
                  <c:v>-0.00993357124530309</c:v>
                </c:pt>
                <c:pt idx="11">
                  <c:v>-0.00326072523666775</c:v>
                </c:pt>
                <c:pt idx="12">
                  <c:v>-0.000413025410312309</c:v>
                </c:pt>
                <c:pt idx="13">
                  <c:v>0.00132851902591188</c:v>
                </c:pt>
                <c:pt idx="14">
                  <c:v>0.00288396546107233</c:v>
                </c:pt>
                <c:pt idx="15">
                  <c:v>-0.000148969044911074</c:v>
                </c:pt>
                <c:pt idx="16">
                  <c:v>0.00697013530984235</c:v>
                </c:pt>
                <c:pt idx="17">
                  <c:v>0.00596264086444469</c:v>
                </c:pt>
                <c:pt idx="18">
                  <c:v>0.00657395296942401</c:v>
                </c:pt>
                <c:pt idx="19">
                  <c:v>0.00622385094743566</c:v>
                </c:pt>
                <c:pt idx="20">
                  <c:v>0.005034346431865</c:v>
                </c:pt>
                <c:pt idx="21">
                  <c:v>0.00553198190989185</c:v>
                </c:pt>
                <c:pt idx="22">
                  <c:v>-0.000125937015975991</c:v>
                </c:pt>
              </c:numCache>
            </c:numRef>
          </c:val>
          <c:smooth val="0"/>
        </c:ser>
        <c:ser>
          <c:idx val="1"/>
          <c:order val="1"/>
          <c:tx>
            <c:strRef>
              <c:f>'Cuenta Ahorro-Inversión-Financi'!$AE$40:$AE$41</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Ahorro-Inversión-Financi'!$AE$42:$AE$64</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-0.00604613737509297</c:v>
                </c:pt>
                <c:pt idx="17">
                  <c:v>-0.00268501366084307</c:v>
                </c:pt>
                <c:pt idx="18">
                  <c:v>-0.00436840339564363</c:v>
                </c:pt>
                <c:pt idx="19">
                  <c:v>-0.0081794091642628</c:v>
                </c:pt>
                <c:pt idx="20">
                  <c:v>-0.00892039172352486</c:v>
                </c:pt>
                <c:pt idx="21">
                  <c:v>-0.0103461159612132</c:v>
                </c:pt>
                <c:pt idx="22">
                  <c:v>-0.0163607603736264</c:v>
                </c:pt>
              </c:numCache>
            </c:numRef>
          </c:val>
          <c:smooth val="0"/>
        </c:ser>
        <c:ser>
          <c:idx val="2"/>
          <c:order val="2"/>
          <c:tx>
            <c:strRef>
              <c:f>'Cuenta Ahorro-Inversión-Financi'!$AF$40:$AF$41</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Ahorro-Inversión-Financi'!$AF$42:$AF$64</c:f>
              <c:numCache>
                <c:formatCode>General</c:formatCode>
                <c:ptCount val="23"/>
                <c:pt idx="0">
                  <c:v>-0.00899031527928557</c:v>
                </c:pt>
                <c:pt idx="1">
                  <c:v>-0.0167191456816909</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-0.00328381333366368</c:v>
                </c:pt>
                <c:pt idx="12">
                  <c:v>-0.000479501261027359</c:v>
                </c:pt>
                <c:pt idx="13">
                  <c:v>0.000927090226480379</c:v>
                </c:pt>
                <c:pt idx="14">
                  <c:v>0.00214603664388874</c:v>
                </c:pt>
                <c:pt idx="15">
                  <c:v>-0.00112094959527569</c:v>
                </c:pt>
                <c:pt idx="16">
                  <c:v>0.000169178306669476</c:v>
                </c:pt>
                <c:pt idx="17">
                  <c:v>0.000718241871746103</c:v>
                </c:pt>
                <c:pt idx="18">
                  <c:v>0.00150807089142546</c:v>
                </c:pt>
                <c:pt idx="19">
                  <c:v>-0.000353045713039486</c:v>
                </c:pt>
                <c:pt idx="20">
                  <c:v>-0.00179690031997486</c:v>
                </c:pt>
                <c:pt idx="21">
                  <c:v>-0.00285043336122248</c:v>
                </c:pt>
                <c:pt idx="22">
                  <c:v>-0.0090571463408632</c:v>
                </c:pt>
              </c:numCache>
            </c:numRef>
          </c:val>
          <c:smooth val="0"/>
        </c:ser>
        <c:ser>
          <c:idx val="3"/>
          <c:order val="3"/>
          <c:tx>
            <c:strRef>
              <c:f>'Cuenta Ahorro-Inversión-Financi'!$AG$40:$AG$41</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Ahorro-Inversión-Financi'!$AG$42:$AG$64</c:f>
              <c:numCache>
                <c:formatCode>General</c:formatCode>
                <c:ptCount val="23"/>
                <c:pt idx="0">
                  <c:v>-0.00763455641206984</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-0.00326072523666776</c:v>
                </c:pt>
                <c:pt idx="12">
                  <c:v>-0.000413025410312302</c:v>
                </c:pt>
                <c:pt idx="13">
                  <c:v>0.00132851902591188</c:v>
                </c:pt>
                <c:pt idx="14">
                  <c:v>0.00288396546107231</c:v>
                </c:pt>
                <c:pt idx="15">
                  <c:v>-0.000148969044911088</c:v>
                </c:pt>
                <c:pt idx="16">
                  <c:v>0.00697013530984234</c:v>
                </c:pt>
                <c:pt idx="17">
                  <c:v>0.00596264086444474</c:v>
                </c:pt>
                <c:pt idx="18">
                  <c:v>0.00657395296942401</c:v>
                </c:pt>
                <c:pt idx="19">
                  <c:v>0.00622385094743566</c:v>
                </c:pt>
                <c:pt idx="20">
                  <c:v>0.00503434643186503</c:v>
                </c:pt>
                <c:pt idx="21">
                  <c:v>0.00553198190989186</c:v>
                </c:pt>
                <c:pt idx="22">
                  <c:v>-0.000125937015975977</c:v>
                </c:pt>
              </c:numCache>
            </c:numRef>
          </c:val>
          <c:smooth val="0"/>
        </c:ser>
        <c:hiLowLines>
          <c:spPr>
            <a:ln>
              <a:noFill/>
            </a:ln>
          </c:spPr>
        </c:hiLowLines>
        <c:marker val="1"/>
        <c:axId val="36196599"/>
        <c:axId val="63806285"/>
      </c:lineChart>
      <c:catAx>
        <c:axId val="36196599"/>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3806285"/>
        <c:crosses val="autoZero"/>
        <c:auto val="1"/>
        <c:lblAlgn val="ctr"/>
        <c:lblOffset val="100"/>
      </c:catAx>
      <c:valAx>
        <c:axId val="63806285"/>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6196599"/>
        <c:crossesAt val="1"/>
        <c:crossBetween val="midCat"/>
      </c:valAx>
      <c:spPr>
        <a:noFill/>
        <a:ln w="3240">
          <a:solidFill>
            <a:srgbClr val="a7a7a7"/>
          </a:solidFill>
          <a:round/>
        </a:ln>
      </c:spPr>
    </c:plotArea>
    <c:legend>
      <c:layout>
        <c:manualLayout>
          <c:xMode val="edge"/>
          <c:yMode val="edge"/>
          <c:x val="0.149923125960926"/>
          <c:y val="0.360515021459227"/>
          <c:w val="0.713605340133503"/>
          <c:h val="0.0689467229867829"/>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
          <c:y val="0.22748031496063"/>
          <c:w val="0.49849765258216"/>
          <c:h val="0.654488188976378"/>
        </c:manualLayout>
      </c:layout>
      <c:lineChart>
        <c:grouping val="standard"/>
        <c:varyColors val="0"/>
        <c:ser>
          <c:idx val="0"/>
          <c:order val="0"/>
          <c:tx>
            <c:strRef>
              <c:f>'Cuenta Ahorro-Inversión-Financi'!$R$40:$R$41</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Ahorro-Inversión-Financi'!$R$42:$R$64</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Ahorro-Inversión-Financi'!$T$40:$T$41</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Ahorro-Inversión-Financi'!$T$42:$T$64</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Ahorro-Inversión-Financi'!$U$40:$U$41</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Ahorro-Inversión-Financi'!$U$42:$U$64</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0.0584126184319631</c:v>
                </c:pt>
                <c:pt idx="16">
                  <c:v>0.0709937465458173</c:v>
                </c:pt>
                <c:pt idx="17">
                  <c:v>0.070410350926472</c:v>
                </c:pt>
                <c:pt idx="18">
                  <c:v>0.0711714016656091</c:v>
                </c:pt>
                <c:pt idx="19">
                  <c:v>0.0785714228908752</c:v>
                </c:pt>
                <c:pt idx="20">
                  <c:v>0.0818006561264896</c:v>
                </c:pt>
                <c:pt idx="21">
                  <c:v>0.0796396153072454</c:v>
                </c:pt>
                <c:pt idx="22">
                  <c:v>0.0891294674359281</c:v>
                </c:pt>
              </c:numCache>
            </c:numRef>
          </c:val>
          <c:smooth val="0"/>
        </c:ser>
        <c:hiLowLines>
          <c:spPr>
            <a:ln>
              <a:noFill/>
            </a:ln>
          </c:spPr>
        </c:hiLowLines>
        <c:marker val="1"/>
        <c:axId val="46230811"/>
        <c:axId val="90675226"/>
      </c:lineChart>
      <c:catAx>
        <c:axId val="46230811"/>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0675226"/>
        <c:crosses val="autoZero"/>
        <c:auto val="1"/>
        <c:lblAlgn val="ctr"/>
        <c:lblOffset val="100"/>
      </c:catAx>
      <c:valAx>
        <c:axId val="9067522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6230811"/>
        <c:crossesAt val="1"/>
        <c:crossBetween val="midCat"/>
      </c:valAx>
      <c:spPr>
        <a:noFill/>
        <a:ln w="3240">
          <a:solidFill>
            <a:srgbClr val="a7a7a7"/>
          </a:solidFill>
          <a:round/>
        </a:ln>
      </c:spPr>
    </c:plotArea>
    <c:legend>
      <c:layout>
        <c:manualLayout>
          <c:xMode val="edge"/>
          <c:yMode val="edge"/>
          <c:x val="0.194647887323944"/>
          <c:y val="0.149133858267717"/>
          <c:w val="0.726372130146955"/>
          <c:h val="0.0796913142767147"/>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40037277004"/>
          <c:y val="0.26211369706219"/>
          <c:w val="0.510872459394693"/>
          <c:h val="0.604158718046547"/>
        </c:manualLayout>
      </c:layout>
      <c:lineChart>
        <c:grouping val="standard"/>
        <c:varyColors val="0"/>
        <c:ser>
          <c:idx val="0"/>
          <c:order val="0"/>
          <c:tx>
            <c:strRef>
              <c:f>'Cuenta Ahorro-Inversión-Financi'!$F$40:$F$41</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Ahorro-Inversión-Financi'!$G$40:$G$41</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Ahorro-Inversión-Financi'!$H$40:$H$41</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General</c:formatCode>
                <c:ptCount val="23"/>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Ahorro-Inversión-Financi'!$I$40:$I$41</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0.0434387490018353</c:v>
                </c:pt>
                <c:pt idx="13">
                  <c:v>0.0468788196581217</c:v>
                </c:pt>
                <c:pt idx="14">
                  <c:v>0.0601980468713142</c:v>
                </c:pt>
                <c:pt idx="15">
                  <c:v>0.0582636493870521</c:v>
                </c:pt>
                <c:pt idx="16">
                  <c:v>0.0779638818556597</c:v>
                </c:pt>
                <c:pt idx="17">
                  <c:v>0.0763729917909168</c:v>
                </c:pt>
                <c:pt idx="18">
                  <c:v>0.0777453546350332</c:v>
                </c:pt>
                <c:pt idx="19">
                  <c:v>0.0847952738383109</c:v>
                </c:pt>
                <c:pt idx="20">
                  <c:v>0.0868350025583547</c:v>
                </c:pt>
                <c:pt idx="21">
                  <c:v>0.0851715972171373</c:v>
                </c:pt>
                <c:pt idx="22">
                  <c:v>0.0890035304199522</c:v>
                </c:pt>
              </c:numCache>
            </c:numRef>
          </c:val>
          <c:smooth val="0"/>
        </c:ser>
        <c:hiLowLines>
          <c:spPr>
            <a:ln>
              <a:noFill/>
            </a:ln>
          </c:spPr>
        </c:hiLowLines>
        <c:marker val="1"/>
        <c:axId val="93424930"/>
        <c:axId val="66566123"/>
      </c:lineChart>
      <c:catAx>
        <c:axId val="93424930"/>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6566123"/>
        <c:crosses val="autoZero"/>
        <c:auto val="1"/>
        <c:lblAlgn val="ctr"/>
        <c:lblOffset val="100"/>
      </c:catAx>
      <c:valAx>
        <c:axId val="66566123"/>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3424930"/>
        <c:crossesAt val="1"/>
        <c:crossBetween val="midCat"/>
      </c:valAx>
      <c:spPr>
        <a:noFill/>
        <a:ln w="3240">
          <a:solidFill>
            <a:srgbClr val="a7a7a7"/>
          </a:solidFill>
          <a:round/>
        </a:ln>
      </c:spPr>
    </c:plotArea>
    <c:legend>
      <c:legendPos val="r"/>
      <c:layout>
        <c:manualLayout>
          <c:xMode val="edge"/>
          <c:yMode val="edge"/>
          <c:x val="0.191524295540271"/>
          <c:y val="0.178350023843586"/>
          <c:w val="0.761737818407739"/>
          <c:h val="0.0966234261732163"/>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56891114821"/>
          <c:y val="0.247255969836615"/>
          <c:w val="0.524540901502504"/>
          <c:h val="0.676162547130289"/>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Ahorro-Inversión-Financi'!$L$94:$L$95</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0.000923024086262859</c:v>
                </c:pt>
                <c:pt idx="14">
                  <c:v>0.00213635773880085</c:v>
                </c:pt>
                <c:pt idx="15">
                  <c:v>-0.00111607433474384</c:v>
                </c:pt>
                <c:pt idx="16">
                  <c:v>0.000168412615923846</c:v>
                </c:pt>
                <c:pt idx="17">
                  <c:v>0.000714382580316697</c:v>
                </c:pt>
                <c:pt idx="18">
                  <c:v>0.00149948086973943</c:v>
                </c:pt>
                <c:pt idx="19">
                  <c:v>-0.000351145478501055</c:v>
                </c:pt>
                <c:pt idx="20">
                  <c:v>-0.00178998773781631</c:v>
                </c:pt>
                <c:pt idx="21">
                  <c:v>-0.00356029321928418</c:v>
                </c:pt>
              </c:numCache>
            </c:numRef>
          </c:val>
          <c:smooth val="0"/>
        </c:ser>
        <c:ser>
          <c:idx val="7"/>
          <c:order val="7"/>
          <c:tx>
            <c:strRef>
              <c:f>'Cuenta Ahorro-Inversión-Financi'!$M$94:$M$95</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numCache>
            </c:numRef>
          </c:val>
          <c:smooth val="0"/>
        </c:ser>
        <c:hiLowLines>
          <c:spPr>
            <a:ln>
              <a:noFill/>
            </a:ln>
          </c:spPr>
        </c:hiLowLines>
        <c:marker val="1"/>
        <c:axId val="49572515"/>
        <c:axId val="73150811"/>
      </c:lineChart>
      <c:catAx>
        <c:axId val="49572515"/>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73150811"/>
        <c:crosses val="autoZero"/>
        <c:auto val="1"/>
        <c:lblAlgn val="ctr"/>
        <c:lblOffset val="100"/>
      </c:catAx>
      <c:valAx>
        <c:axId val="73150811"/>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9572515"/>
        <c:crossesAt val="1"/>
        <c:crossBetween val="midCat"/>
      </c:valAx>
      <c:spPr>
        <a:noFill/>
        <a:ln w="3240">
          <a:solidFill>
            <a:srgbClr val="a7a7a7"/>
          </a:solidFill>
          <a:round/>
        </a:ln>
      </c:spPr>
    </c:plotArea>
    <c:legend>
      <c:legendPos val="r"/>
      <c:layout>
        <c:manualLayout>
          <c:xMode val="edge"/>
          <c:yMode val="edge"/>
          <c:x val="0.154239928778099"/>
          <c:y val="0.161611930294906"/>
          <c:w val="0.747968987646993"/>
          <c:h val="0.161625471302891"/>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701482144633"/>
          <c:y val="0.246758678377248"/>
          <c:w val="0.485924599622003"/>
          <c:h val="0.64081974069427"/>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38970985"/>
        <c:axId val="20796252"/>
      </c:lineChart>
      <c:catAx>
        <c:axId val="38970985"/>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0796252"/>
        <c:crosses val="autoZero"/>
        <c:auto val="1"/>
        <c:lblAlgn val="ctr"/>
        <c:lblOffset val="100"/>
      </c:catAx>
      <c:valAx>
        <c:axId val="20796252"/>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8970985"/>
        <c:crossesAt val="1"/>
        <c:crossBetween val="midCat"/>
      </c:valAx>
      <c:spPr>
        <a:noFill/>
        <a:ln w="3240">
          <a:solidFill>
            <a:srgbClr val="a7a7a7"/>
          </a:solidFill>
          <a:round/>
        </a:ln>
      </c:spPr>
    </c:plotArea>
    <c:legend>
      <c:legendPos val="r"/>
      <c:layout>
        <c:manualLayout>
          <c:xMode val="edge"/>
          <c:yMode val="edge"/>
          <c:x val="0.133200696344193"/>
          <c:y val="0.172382067581131"/>
          <c:w val="0.861221647433347"/>
          <c:h val="0.12538686741949"/>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59982687194707"/>
          <c:y val="0.29216631177855"/>
        </c:manualLayout>
      </c:layout>
      <c:overlay val="0"/>
      <c:spPr>
        <a:noFill/>
        <a:ln w="25560">
          <a:noFill/>
        </a:ln>
      </c:spPr>
    </c:title>
    <c:autoTitleDeleted val="0"/>
    <c:plotArea>
      <c:layout>
        <c:manualLayout>
          <c:layoutTarget val="inner"/>
          <c:xMode val="edge"/>
          <c:yMode val="edge"/>
          <c:x val="0.250170036480554"/>
          <c:y val="0.56998767230752"/>
          <c:w val="0.689235144994744"/>
          <c:h val="0.308640591729239"/>
        </c:manualLayout>
      </c:layout>
      <c:lineChart>
        <c:grouping val="standard"/>
        <c:varyColors val="0"/>
        <c:ser>
          <c:idx val="0"/>
          <c:order val="0"/>
          <c:tx>
            <c:strRef>
              <c:f>'Cuenta Ahorro-Inversión-Financi'!$AA$94:$AA$95</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General</c:formatCode>
                <c:ptCount val="23"/>
                <c:pt idx="15">
                  <c:v>-0.00111607433474384</c:v>
                </c:pt>
                <c:pt idx="16">
                  <c:v>0.000168412615923846</c:v>
                </c:pt>
                <c:pt idx="17">
                  <c:v>0.000714382580316697</c:v>
                </c:pt>
                <c:pt idx="18">
                  <c:v>0.00149948086973943</c:v>
                </c:pt>
                <c:pt idx="19">
                  <c:v>-0.000351145478501055</c:v>
                </c:pt>
                <c:pt idx="20">
                  <c:v>-0.00178998773781631</c:v>
                </c:pt>
                <c:pt idx="21">
                  <c:v>-0.00356029321928418</c:v>
                </c:pt>
                <c:pt idx="22">
                  <c:v>-0.00905711423083884</c:v>
                </c:pt>
              </c:numCache>
            </c:numRef>
          </c:val>
          <c:smooth val="0"/>
        </c:ser>
        <c:ser>
          <c:idx val="1"/>
          <c:order val="1"/>
          <c:tx>
            <c:strRef>
              <c:f>'Cuenta Ahorro-Inversión-Financi'!$AB$94:$AB$95</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pt idx="22">
                  <c:v>-0.000125904905951621</c:v>
                </c:pt>
              </c:numCache>
            </c:numRef>
          </c:val>
          <c:smooth val="0"/>
        </c:ser>
        <c:hiLowLines>
          <c:spPr>
            <a:ln>
              <a:noFill/>
            </a:ln>
          </c:spPr>
        </c:hiLowLines>
        <c:marker val="1"/>
        <c:axId val="57312768"/>
        <c:axId val="70703621"/>
      </c:lineChart>
      <c:catAx>
        <c:axId val="57312768"/>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70703621"/>
        <c:crosses val="autoZero"/>
        <c:auto val="1"/>
        <c:lblAlgn val="ctr"/>
        <c:lblOffset val="100"/>
      </c:catAx>
      <c:valAx>
        <c:axId val="70703621"/>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57312768"/>
        <c:crossesAt val="1"/>
        <c:crossBetween val="midCat"/>
      </c:valAx>
      <c:spPr>
        <a:noFill/>
        <a:ln w="3240">
          <a:solidFill>
            <a:srgbClr val="a7a7a7"/>
          </a:solidFill>
          <a:round/>
        </a:ln>
      </c:spPr>
    </c:plotArea>
    <c:legend>
      <c:legendPos val="r"/>
      <c:layout>
        <c:manualLayout>
          <c:xMode val="edge"/>
          <c:yMode val="edge"/>
          <c:x val="0.198825347758887"/>
          <c:y val="0.378193635141192"/>
          <c:w val="0.585012983801162"/>
          <c:h val="0.0627591617169114"/>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0.00935675490863295</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0.0041123559159343</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39497928"/>
        <c:axId val="42057636"/>
      </c:lineChart>
      <c:catAx>
        <c:axId val="394979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42057636"/>
        <c:crosses val="autoZero"/>
        <c:auto val="1"/>
        <c:lblAlgn val="ctr"/>
        <c:lblOffset val="100"/>
      </c:catAx>
      <c:valAx>
        <c:axId val="4205763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39497928"/>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0.00935675490863295</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0.0041123559159343</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6680575"/>
        <c:axId val="20564674"/>
      </c:lineChart>
      <c:catAx>
        <c:axId val="668057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20564674"/>
        <c:crosses val="autoZero"/>
        <c:auto val="1"/>
        <c:lblAlgn val="ctr"/>
        <c:lblOffset val="100"/>
      </c:catAx>
      <c:valAx>
        <c:axId val="2056467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6680575"/>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1">
                  <c:v>0.510323801227695</c:v>
                </c:pt>
                <c:pt idx="2">
                  <c:v>0.514072237398752</c:v>
                </c:pt>
                <c:pt idx="3">
                  <c:v>0.474510072059151</c:v>
                </c:pt>
                <c:pt idx="4">
                  <c:v>0.491595366851715</c:v>
                </c:pt>
                <c:pt idx="5">
                  <c:v>0.471091741418777</c:v>
                </c:pt>
                <c:pt idx="6">
                  <c:v>0.450472001858193</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0.786610589184852</c:v>
                </c:pt>
                <c:pt idx="17">
                  <c:v>0.80138193135938</c:v>
                </c:pt>
                <c:pt idx="18">
                  <c:v>0.799365838051898</c:v>
                </c:pt>
                <c:pt idx="19">
                  <c:v>0.787979673083566</c:v>
                </c:pt>
                <c:pt idx="20">
                  <c:v>0.777724938534277</c:v>
                </c:pt>
                <c:pt idx="21">
                  <c:v>0.768773320409193</c:v>
                </c:pt>
                <c:pt idx="22">
                  <c:v>0.833199646077662</c:v>
                </c:pt>
                <c:pt idx="23">
                  <c:v>0.863103308314818</c:v>
                </c:pt>
                <c:pt idx="24">
                  <c:v>0.870017671871194</c:v>
                </c:pt>
                <c:pt idx="25">
                  <c:v>0.868073462837484</c:v>
                </c:pt>
              </c:numCache>
            </c:numRef>
          </c:val>
          <c:smooth val="0"/>
        </c:ser>
        <c:ser>
          <c:idx val="1"/>
          <c:order val="1"/>
          <c:tx>
            <c:strRef>
              <c:f>'Cobertura y contribuyentes'!$E$3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0.366468763007239</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0.400671972234934</c:v>
                </c:pt>
                <c:pt idx="25">
                  <c:v>0.391165444601637</c:v>
                </c:pt>
              </c:numCache>
            </c:numRef>
          </c:val>
          <c:smooth val="0"/>
        </c:ser>
        <c:hiLowLines>
          <c:spPr>
            <a:ln>
              <a:noFill/>
            </a:ln>
          </c:spPr>
        </c:hiLowLines>
        <c:marker val="1"/>
        <c:axId val="2123794"/>
        <c:axId val="50228819"/>
      </c:lineChart>
      <c:lineChart>
        <c:grouping val="standard"/>
        <c:varyColors val="0"/>
        <c:ser>
          <c:idx val="2"/>
          <c:order val="2"/>
          <c:tx>
            <c:strRef>
              <c:f>'Cobertura y contribuyentes'!$F$3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0.96887848326063</c:v>
                </c:pt>
                <c:pt idx="15">
                  <c:v>2.37190742537071</c:v>
                </c:pt>
              </c:numCache>
            </c:numRef>
          </c:val>
          <c:smooth val="0"/>
        </c:ser>
        <c:ser>
          <c:idx val="3"/>
          <c:order val="3"/>
          <c:tx>
            <c:strRef>
              <c:f>'Cobertura y contribuyentes'!$G$3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1.71940339717116</c:v>
                </c:pt>
                <c:pt idx="22">
                  <c:v>1.57719696805286</c:v>
                </c:pt>
                <c:pt idx="23">
                  <c:v>1.48536581595343</c:v>
                </c:pt>
                <c:pt idx="24">
                  <c:v>1.45867999776781</c:v>
                </c:pt>
                <c:pt idx="25">
                  <c:v>1.44673032098148</c:v>
                </c:pt>
              </c:numCache>
            </c:numRef>
          </c:val>
          <c:smooth val="0"/>
        </c:ser>
        <c:hiLowLines>
          <c:spPr>
            <a:ln>
              <a:noFill/>
            </a:ln>
          </c:spPr>
        </c:hiLowLines>
        <c:marker val="1"/>
        <c:axId val="59722773"/>
        <c:axId val="77574133"/>
      </c:lineChart>
      <c:catAx>
        <c:axId val="21237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50228819"/>
        <c:crosses val="autoZero"/>
        <c:auto val="1"/>
        <c:lblAlgn val="ctr"/>
        <c:lblOffset val="100"/>
      </c:catAx>
      <c:valAx>
        <c:axId val="50228819"/>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123794"/>
        <c:crosses val="autoZero"/>
        <c:crossBetween val="midCat"/>
      </c:valAx>
      <c:catAx>
        <c:axId val="59722773"/>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77574133"/>
        <c:auto val="1"/>
        <c:lblAlgn val="ctr"/>
        <c:lblOffset val="100"/>
      </c:catAx>
      <c:valAx>
        <c:axId val="77574133"/>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59722773"/>
        <c:crosses val="max"/>
        <c:crossBetween val="midCat"/>
      </c:valAx>
      <c:spPr>
        <a:noFill/>
        <a:ln>
          <a:noFill/>
        </a:ln>
      </c:spPr>
    </c:plotArea>
    <c:legend>
      <c:layout>
        <c:manualLayout>
          <c:xMode val="edge"/>
          <c:yMode val="edge"/>
          <c:x val="0.059155973502571"/>
          <c:y val="0.755536494073612"/>
          <c:w val="0.884786435652738"/>
          <c:h val="0.227637838259378"/>
        </c:manualLayout>
      </c:layout>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0.301193002122483</c:v>
                </c:pt>
              </c:numCache>
            </c:numRef>
          </c:val>
        </c:ser>
        <c:gapWidth val="150"/>
        <c:overlap val="100"/>
        <c:axId val="117550"/>
        <c:axId val="29348560"/>
      </c:barChart>
      <c:catAx>
        <c:axId val="11755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9348560"/>
        <c:crosses val="autoZero"/>
        <c:auto val="1"/>
        <c:lblAlgn val="ctr"/>
        <c:lblOffset val="100"/>
      </c:catAx>
      <c:valAx>
        <c:axId val="29348560"/>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117550"/>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94" strike="noStrike">
                <a:solidFill>
                  <a:srgbClr val="595959"/>
                </a:solidFill>
                <a:latin typeface="Calibri"/>
              </a:defRPr>
            </a:pPr>
            <a:r>
              <a:rPr b="1" lang="es-AR" sz="1600" spc="94"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05982905983"/>
          <c:y val="0.142567371776297"/>
          <c:w val="0.87650522317189"/>
          <c:h val="0.692842654303101"/>
        </c:manualLayout>
      </c:layout>
      <c:lineChart>
        <c:grouping val="standard"/>
        <c:varyColors val="0"/>
        <c:ser>
          <c:idx val="0"/>
          <c:order val="0"/>
          <c:tx>
            <c:strRef>
              <c:f>'Cobertura y contribuyentes'!$K$31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General" sourceLinked="1"/>
            <c:dLbl>
              <c:idx val="14"/>
              <c:numFmt formatCode="General"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69982613"/>
        <c:axId val="4368247"/>
      </c:lineChart>
      <c:catAx>
        <c:axId val="69982613"/>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94" strike="noStrike">
                <a:solidFill>
                  <a:srgbClr val="595959"/>
                </a:solidFill>
                <a:latin typeface="Calibri"/>
              </a:defRPr>
            </a:pPr>
          </a:p>
        </c:txPr>
        <c:crossAx val="4368247"/>
        <c:crosses val="autoZero"/>
        <c:auto val="1"/>
        <c:lblAlgn val="ctr"/>
        <c:lblOffset val="100"/>
      </c:catAx>
      <c:valAx>
        <c:axId val="4368247"/>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9982613"/>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0.000309302566600715</c:v>
                </c:pt>
                <c:pt idx="16">
                  <c:v>0.000374296304471138</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0.00420963634008006</c:v>
                </c:pt>
              </c:numCache>
            </c:numRef>
          </c:val>
        </c:ser>
        <c:gapWidth val="150"/>
        <c:overlap val="100"/>
        <c:axId val="53574460"/>
        <c:axId val="90917585"/>
      </c:barChart>
      <c:catAx>
        <c:axId val="535744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90917585"/>
        <c:crosses val="autoZero"/>
        <c:auto val="1"/>
        <c:lblAlgn val="ctr"/>
        <c:lblOffset val="100"/>
      </c:catAx>
      <c:valAx>
        <c:axId val="90917585"/>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53574460"/>
        <c:crosses val="autoZero"/>
      </c:valAx>
      <c:spPr>
        <a:noFill/>
        <a:ln>
          <a:noFill/>
        </a:ln>
      </c:spPr>
    </c:plotArea>
    <c:legend>
      <c:layout>
        <c:manualLayout>
          <c:xMode val="edge"/>
          <c:yMode val="edge"/>
          <c:x val="0.0687750852521351"/>
          <c:y val="0.797899391929243"/>
          <c:w val="0.903699903428296"/>
          <c:h val="0.17054563546907"/>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0.0763864240518465</c:v>
                </c:pt>
                <c:pt idx="25">
                  <c:v>0.0719771065625742</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 sin sentencias PNRH</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0.00371888754837215</c:v>
                </c:pt>
                <c:pt idx="25">
                  <c:v>0.00509130111541257</c:v>
                </c:pt>
              </c:numCache>
            </c:numRef>
          </c:val>
        </c:ser>
        <c:gapWidth val="150"/>
        <c:overlap val="100"/>
        <c:axId val="60766382"/>
        <c:axId val="44676642"/>
      </c:barChart>
      <c:catAx>
        <c:axId val="60766382"/>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4676642"/>
        <c:crosses val="autoZero"/>
        <c:auto val="1"/>
        <c:lblAlgn val="ctr"/>
        <c:lblOffset val="100"/>
      </c:catAx>
      <c:valAx>
        <c:axId val="4467664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60766382"/>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etapas'!$X$5:$X$31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0.00570081531112138</c:v>
                </c:pt>
                <c:pt idx="16">
                  <c:v>0.0102791340350402</c:v>
                </c:pt>
                <c:pt idx="17">
                  <c:v>0.00935623679492539</c:v>
                </c:pt>
                <c:pt idx="18">
                  <c:v>0.00960546774335111</c:v>
                </c:pt>
                <c:pt idx="19">
                  <c:v>0.0081030092954474</c:v>
                </c:pt>
                <c:pt idx="20">
                  <c:v>0.00587957819367872</c:v>
                </c:pt>
                <c:pt idx="21">
                  <c:v>0.00708955151514587</c:v>
                </c:pt>
                <c:pt idx="22">
                  <c:v>0.00142387626311399</c:v>
                </c:pt>
                <c:pt idx="23">
                  <c:v>-0.00773292798318478</c:v>
                </c:pt>
                <c:pt idx="24">
                  <c:v>-0.00614048285829008</c:v>
                </c:pt>
                <c:pt idx="25">
                  <c:v>0.00644074962286809</c:v>
                </c:pt>
                <c:pt idx="26">
                  <c:v>0.00646141848100539</c:v>
                </c:pt>
              </c:numCache>
            </c:numRef>
          </c:val>
          <c:smooth val="0"/>
        </c:ser>
        <c:ser>
          <c:idx val="1"/>
          <c:order val="1"/>
          <c:tx>
            <c:strRef>
              <c:f>'Resultado ANSES por etapas'!$Y$4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etapas'!$Y$5:$Y$31</c:f>
              <c:numCache>
                <c:formatCode>General</c:formatCode>
                <c:ptCount val="27"/>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-0.016540512952781</c:v>
                </c:pt>
                <c:pt idx="24">
                  <c:v>-0.0165001703989284</c:v>
                </c:pt>
                <c:pt idx="25">
                  <c:v>-0.00613813731184667</c:v>
                </c:pt>
                <c:pt idx="26">
                  <c:v>-0.00764874109317795</c:v>
                </c:pt>
              </c:numCache>
            </c:numRef>
          </c:val>
          <c:smooth val="0"/>
        </c:ser>
        <c:ser>
          <c:idx val="2"/>
          <c:order val="2"/>
          <c:tx>
            <c:strRef>
              <c:f>'Resultado ANSES por etapas'!$Z$4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etapas'!$Z$5:$Z$31</c:f>
              <c:numCache>
                <c:formatCode>General</c:formatCode>
                <c:ptCount val="27"/>
                <c:pt idx="23">
                  <c:v>-0.0203467996958489</c:v>
                </c:pt>
                <c:pt idx="24">
                  <c:v>-0.0241047020081896</c:v>
                </c:pt>
                <c:pt idx="25">
                  <c:v>-0.0182717978002125</c:v>
                </c:pt>
                <c:pt idx="26">
                  <c:v>-0.0226292983197961</c:v>
                </c:pt>
              </c:numCache>
            </c:numRef>
          </c:val>
          <c:smooth val="0"/>
        </c:ser>
        <c:hiLowLines>
          <c:spPr>
            <a:ln>
              <a:noFill/>
            </a:ln>
          </c:spPr>
        </c:hiLowLines>
        <c:marker val="1"/>
        <c:axId val="58160411"/>
        <c:axId val="84558686"/>
      </c:lineChart>
      <c:catAx>
        <c:axId val="5816041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84558686"/>
        <c:crosses val="autoZero"/>
        <c:auto val="1"/>
        <c:lblAlgn val="ctr"/>
        <c:lblOffset val="100"/>
      </c:catAx>
      <c:valAx>
        <c:axId val="8455868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8160411"/>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(1993-2019)</a:t>
            </a:r>
          </a:p>
        </c:rich>
      </c:tx>
      <c:overlay val="0"/>
      <c:spPr>
        <a:noFill/>
        <a:ln>
          <a:noFill/>
        </a:ln>
      </c:spPr>
    </c:title>
    <c:autoTitleDeleted val="0"/>
    <c:plotArea>
      <c:layout>
        <c:manualLayout>
          <c:layoutTarget val="inner"/>
          <c:xMode val="edge"/>
          <c:yMode val="edge"/>
          <c:x val="0.0605464480874317"/>
          <c:y val="0.0614642964748418"/>
          <c:w val="0.92144262295082"/>
          <c:h val="0.701536607411871"/>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etapas'!$B$69:$B$95</c:f>
              <c:numCache>
                <c:formatCode>General</c:formatCode>
                <c:ptCount val="27"/>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pt idx="26">
                  <c:v>0.045482634112618</c:v>
                </c:pt>
              </c:numCache>
            </c:numRef>
          </c:val>
        </c:ser>
        <c:ser>
          <c:idx val="1"/>
          <c:order val="1"/>
          <c:tx>
            <c:strRef>
              <c:f>'Resultado ANSES por etapas'!$C$68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etapas'!$C$69:$C$95</c:f>
              <c:numCache>
                <c:formatCode>General</c:formatCode>
                <c:ptCount val="27"/>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pt idx="26">
                  <c:v>0.025992153910621</c:v>
                </c:pt>
              </c:numCache>
            </c:numRef>
          </c:val>
        </c:ser>
        <c:ser>
          <c:idx val="2"/>
          <c:order val="2"/>
          <c:tx>
            <c:strRef>
              <c:f>'Resultado ANSES por etapas'!$D$68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etapas'!$D$69:$D$95</c:f>
              <c:numCache>
                <c:formatCode>General</c:formatCode>
                <c:ptCount val="27"/>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pt idx="26">
                  <c:v>0.00305405926972561</c:v>
                </c:pt>
              </c:numCache>
            </c:numRef>
          </c:val>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etapas'!$E$69:$E$95</c:f>
              <c:numCache>
                <c:formatCode>General</c:formatCode>
                <c:ptCount val="27"/>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pt idx="26">
                  <c:v>0.000222538509524099</c:v>
                </c:pt>
              </c:numCache>
            </c:numRef>
          </c:val>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Pt>
            <c:idx val="0"/>
            <c:invertIfNegative val="0"/>
            <c:spPr>
              <a:solidFill>
                <a:srgbClr val="ffc000"/>
              </a:solidFill>
              <a:ln>
                <a:noFill/>
              </a:ln>
            </c:spPr>
          </c:dPt>
          <c:dPt>
            <c:idx val="1"/>
            <c:invertIfNegative val="0"/>
            <c:spPr>
              <a:solidFill>
                <a:srgbClr val="ffc000"/>
              </a:solidFill>
              <a:ln>
                <a:noFill/>
              </a:ln>
            </c:spPr>
          </c:dPt>
          <c:dPt>
            <c:idx val="2"/>
            <c:invertIfNegative val="0"/>
            <c:spPr>
              <a:solidFill>
                <a:srgbClr val="ffc000"/>
              </a:solidFill>
              <a:ln>
                <a:noFill/>
              </a:ln>
            </c:spPr>
          </c:dPt>
          <c:dPt>
            <c:idx val="3"/>
            <c:invertIfNegative val="0"/>
            <c:spPr>
              <a:solidFill>
                <a:srgbClr val="ffc000"/>
              </a:solidFill>
              <a:ln>
                <a:noFill/>
              </a:ln>
            </c:spPr>
          </c:dPt>
          <c:dPt>
            <c:idx val="4"/>
            <c:invertIfNegative val="0"/>
            <c:spPr>
              <a:solidFill>
                <a:srgbClr val="ffc000"/>
              </a:solidFill>
              <a:ln>
                <a:noFill/>
              </a:ln>
            </c:spPr>
          </c:dPt>
          <c:dPt>
            <c:idx val="5"/>
            <c:invertIfNegative val="0"/>
            <c:spPr>
              <a:solidFill>
                <a:srgbClr val="ffc000"/>
              </a:solidFill>
              <a:ln>
                <a:noFill/>
              </a:ln>
            </c:spPr>
          </c:dPt>
          <c:dPt>
            <c:idx val="6"/>
            <c:invertIfNegative val="0"/>
            <c:spPr>
              <a:solidFill>
                <a:srgbClr val="ffc000"/>
              </a:solidFill>
              <a:ln>
                <a:noFill/>
              </a:ln>
            </c:spPr>
          </c:dPt>
          <c:dPt>
            <c:idx val="7"/>
            <c:invertIfNegative val="0"/>
            <c:spPr>
              <a:solidFill>
                <a:srgbClr val="ffc000"/>
              </a:solidFill>
              <a:ln>
                <a:noFill/>
              </a:ln>
            </c:spPr>
          </c:dPt>
          <c:dPt>
            <c:idx val="8"/>
            <c:invertIfNegative val="0"/>
            <c:spPr>
              <a:solidFill>
                <a:srgbClr val="ffc000"/>
              </a:solidFill>
              <a:ln>
                <a:noFill/>
              </a:ln>
            </c:spPr>
          </c:dPt>
          <c:dPt>
            <c:idx val="9"/>
            <c:invertIfNegative val="0"/>
            <c:spPr>
              <a:solidFill>
                <a:srgbClr val="ffc000"/>
              </a:solidFill>
              <a:ln>
                <a:noFill/>
              </a:ln>
            </c:spPr>
          </c:dPt>
          <c:dPt>
            <c:idx val="10"/>
            <c:invertIfNegative val="0"/>
            <c:spPr>
              <a:solidFill>
                <a:srgbClr val="ffc000"/>
              </a:solidFill>
              <a:ln>
                <a:noFill/>
              </a:ln>
            </c:spPr>
          </c:dPt>
          <c:dPt>
            <c:idx val="11"/>
            <c:invertIfNegative val="0"/>
            <c:spPr>
              <a:solidFill>
                <a:srgbClr val="ffc000"/>
              </a:solidFill>
              <a:ln>
                <a:noFill/>
              </a:ln>
            </c:spPr>
          </c:dPt>
          <c:dPt>
            <c:idx val="12"/>
            <c:invertIfNegative val="0"/>
            <c:spPr>
              <a:solidFill>
                <a:srgbClr val="ffc000"/>
              </a:solidFill>
              <a:ln>
                <a:noFill/>
              </a:ln>
            </c:spPr>
          </c:dPt>
          <c:dPt>
            <c:idx val="13"/>
            <c:invertIfNegative val="0"/>
            <c:spPr>
              <a:solidFill>
                <a:srgbClr val="ffc000"/>
              </a:solidFill>
              <a:ln>
                <a:noFill/>
              </a:ln>
            </c:spPr>
          </c:dPt>
          <c:dPt>
            <c:idx val="14"/>
            <c:invertIfNegative val="0"/>
            <c:spPr>
              <a:solidFill>
                <a:srgbClr val="ffc000"/>
              </a:solidFill>
              <a:ln>
                <a:noFill/>
              </a:ln>
            </c:spPr>
          </c:dPt>
          <c:dPt>
            <c:idx val="15"/>
            <c:invertIfNegative val="0"/>
            <c:spPr>
              <a:solidFill>
                <a:srgbClr val="ffc000"/>
              </a:solidFill>
              <a:ln>
                <a:noFill/>
              </a:ln>
            </c:spPr>
          </c:dPt>
          <c:dLbls>
            <c:numFmt formatCode="0.0%" sourceLinked="1"/>
            <c:dLbl>
              <c:idx val="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6"/>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7"/>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8"/>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9"/>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etapas'!$G$69:$G$95</c:f>
              <c:numCache>
                <c:formatCode>General</c:formatCode>
                <c:ptCount val="27"/>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pt idx="26">
                  <c:v>0.0141101595741833</c:v>
                </c:pt>
              </c:numCache>
            </c:numRef>
          </c:val>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etapas'!$H$69:$H$95</c:f>
              <c:numCache>
                <c:formatCode>General</c:formatCode>
                <c:ptCount val="27"/>
                <c:pt idx="23">
                  <c:v>0.00380628674306788</c:v>
                </c:pt>
                <c:pt idx="24">
                  <c:v>0.0076045316092612</c:v>
                </c:pt>
                <c:pt idx="25">
                  <c:v>0.0121336604883658</c:v>
                </c:pt>
                <c:pt idx="26">
                  <c:v>0.0149805572266182</c:v>
                </c:pt>
              </c:numCache>
            </c:numRef>
          </c:val>
        </c:ser>
        <c:ser>
          <c:idx val="6"/>
          <c:order val="6"/>
          <c:tx>
            <c:strRef>
              <c:f>'Resultado ANSES por etapas'!$I$68</c:f>
              <c:strCache>
                <c:ptCount val="1"/>
                <c:pt idx="0">
                  <c:v>Blanqueo de capitales</c:v>
                </c:pt>
              </c:strCache>
            </c:strRef>
          </c:tx>
          <c:spPr>
            <a:solidFill>
              <a:srgbClr val="d9d9d9"/>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etapas'!$I$69:$I$95</c:f>
              <c:numCache>
                <c:formatCode>General</c:formatCode>
                <c:ptCount val="27"/>
                <c:pt idx="23">
                  <c:v>0.0125824966432202</c:v>
                </c:pt>
                <c:pt idx="24">
                  <c:v>0.00420963634008006</c:v>
                </c:pt>
              </c:numCache>
            </c:numRef>
          </c:val>
        </c:ser>
        <c:gapWidth val="150"/>
        <c:overlap val="100"/>
        <c:axId val="17748868"/>
        <c:axId val="73653263"/>
      </c:barChart>
      <c:lineChart>
        <c:grouping val="stacked"/>
        <c:varyColors val="0"/>
        <c:ser>
          <c:idx val="7"/>
          <c:order val="7"/>
          <c:tx>
            <c:strRef>
              <c:f>'Resultado ANSES por etapas'!$F$68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etapas'!$F$69:$F$95</c:f>
              <c:numCache>
                <c:formatCode>General</c:formatCode>
                <c:ptCount val="27"/>
                <c:pt idx="0">
                  <c:v>0.0692561072749909</c:v>
                </c:pt>
                <c:pt idx="1">
                  <c:v>0.0636413652305368</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0.0718630672229557</c:v>
                </c:pt>
                <c:pt idx="16">
                  <c:v>0.0857796151146221</c:v>
                </c:pt>
                <c:pt idx="17">
                  <c:v>0.0859201385470978</c:v>
                </c:pt>
                <c:pt idx="18">
                  <c:v>0.0888415857082379</c:v>
                </c:pt>
                <c:pt idx="19">
                  <c:v>0.094251177299117</c:v>
                </c:pt>
                <c:pt idx="20">
                  <c:v>0.0971404864890869</c:v>
                </c:pt>
                <c:pt idx="21">
                  <c:v>0.0942931907423325</c:v>
                </c:pt>
                <c:pt idx="22">
                  <c:v>0.097875512780157</c:v>
                </c:pt>
                <c:pt idx="23">
                  <c:v>0.0891608808821682</c:v>
                </c:pt>
                <c:pt idx="24">
                  <c:v>0.0863730502939919</c:v>
                </c:pt>
                <c:pt idx="25">
                  <c:v>0.0840833978230097</c:v>
                </c:pt>
                <c:pt idx="26">
                  <c:v>0.0747513858024887</c:v>
                </c:pt>
              </c:numCache>
            </c:numRef>
          </c:val>
          <c:smooth val="0"/>
        </c:ser>
        <c:hiLowLines>
          <c:spPr>
            <a:ln>
              <a:noFill/>
            </a:ln>
          </c:spPr>
        </c:hiLowLines>
        <c:marker val="0"/>
        <c:axId val="17748868"/>
        <c:axId val="73653263"/>
      </c:lineChart>
      <c:catAx>
        <c:axId val="177488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73653263"/>
        <c:crosses val="autoZero"/>
        <c:auto val="1"/>
        <c:lblAlgn val="ctr"/>
        <c:lblOffset val="100"/>
      </c:catAx>
      <c:valAx>
        <c:axId val="73653263"/>
        <c:scaling>
          <c:orientation val="minMax"/>
          <c:max val="0.12"/>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17748868"/>
        <c:crosses val="autoZero"/>
      </c:valAx>
      <c:spPr>
        <a:noFill/>
        <a:ln>
          <a:noFill/>
        </a:ln>
      </c:spPr>
    </c:plotArea>
    <c:legend>
      <c:layout>
        <c:manualLayout>
          <c:xMode val="edge"/>
          <c:yMode val="edge"/>
          <c:x val="0.00957377049180328"/>
          <c:y val="0.781982524856885"/>
          <c:w val="0.971976917023695"/>
          <c:h val="0.217789562492467"/>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c:f>
              <c:strCache>
                <c:ptCount val="1"/>
                <c:pt idx="0">
                  <c:v>Jubilaciones y pensiones brutas, PUAM y PNC (desde oct. 2017)</c:v>
                </c:pt>
              </c:strCache>
            </c:strRef>
          </c:tx>
          <c:spPr>
            <a:solidFill>
              <a:srgbClr val="bdd7e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etapas'!$M$35:$M$61</c:f>
              <c:numCache>
                <c:formatCode>General</c:formatCode>
                <c:ptCount val="27"/>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0.0579992749226626</c:v>
                </c:pt>
                <c:pt idx="19">
                  <c:v>0.0662494576002582</c:v>
                </c:pt>
                <c:pt idx="20">
                  <c:v>0.0689779144626467</c:v>
                </c:pt>
                <c:pt idx="21">
                  <c:v>0.0668831360986687</c:v>
                </c:pt>
                <c:pt idx="22">
                  <c:v>0.0753973632561754</c:v>
                </c:pt>
                <c:pt idx="23">
                  <c:v>0.07567738322788</c:v>
                </c:pt>
                <c:pt idx="24">
                  <c:v>0.0793572213835881</c:v>
                </c:pt>
                <c:pt idx="25">
                  <c:v>0.0747946376147494</c:v>
                </c:pt>
                <c:pt idx="26">
                  <c:v>0.0732314555492533</c:v>
                </c:pt>
              </c:numCache>
            </c:numRef>
          </c:val>
        </c:ser>
        <c:ser>
          <c:idx val="1"/>
          <c:order val="1"/>
          <c:tx>
            <c:strRef>
              <c:f>'Resultado ANSES por etapas'!$N$34</c:f>
              <c:strCache>
                <c:ptCount val="1"/>
                <c:pt idx="0">
                  <c:v>Asignaciones familiares</c:v>
                </c:pt>
              </c:strCache>
            </c:strRef>
          </c:tx>
          <c:spPr>
            <a:solidFill>
              <a:srgbClr val="f8cbad"/>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etapas'!$N$35:$N$61</c:f>
              <c:numCache>
                <c:formatCode>General</c:formatCode>
                <c:ptCount val="27"/>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pt idx="26">
                  <c:v>0.0147840604707147</c:v>
                </c:pt>
              </c:numCache>
            </c:numRef>
          </c:val>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etapas'!$O$35:$O$61</c:f>
              <c:numCache>
                <c:formatCode>General</c:formatCode>
                <c:ptCount val="27"/>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pt idx="26">
                  <c:v>0.00678412545890775</c:v>
                </c:pt>
              </c:numCache>
            </c:numRef>
          </c:val>
        </c:ser>
        <c:ser>
          <c:idx val="3"/>
          <c:order val="3"/>
          <c:tx>
            <c:strRef>
              <c:f>'Resultado ANSES por etapas'!$P$34</c:f>
              <c:strCache>
                <c:ptCount val="1"/>
                <c:pt idx="0">
                  <c:v>Gastos de consumo </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etapas'!$P$35:$P$61</c:f>
              <c:numCache>
                <c:formatCode>General</c:formatCode>
                <c:ptCount val="27"/>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pt idx="26">
                  <c:v>0.00125780693193743</c:v>
                </c:pt>
              </c:numCache>
            </c:numRef>
          </c:val>
        </c:ser>
        <c:ser>
          <c:idx val="4"/>
          <c:order val="4"/>
          <c:tx>
            <c:strRef>
              <c:f>'Resultado ANSES por etapas'!$Q$34</c:f>
              <c:strCache>
                <c:ptCount val="1"/>
                <c:pt idx="0">
                  <c:v>Pago de sentencias sin RH</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etapas'!$Q$35:$Q$61</c:f>
              <c:numCache>
                <c:formatCode>General</c:formatCode>
                <c:ptCount val="27"/>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pt idx="26">
                  <c:v>0.00132323571147159</c:v>
                </c:pt>
              </c:numCache>
            </c:numRef>
          </c:val>
        </c:ser>
        <c:ser>
          <c:idx val="5"/>
          <c:order val="5"/>
          <c:tx>
            <c:strRef>
              <c:f>'Resultado ANSES por etapas'!$S$34</c:f>
              <c:strCache>
                <c:ptCount val="1"/>
                <c:pt idx="0">
                  <c:v>Gastos PNRH</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etapas'!$S$35:$S$61</c:f>
              <c:numCache>
                <c:formatCode>General</c:formatCode>
                <c:ptCount val="27"/>
                <c:pt idx="23">
                  <c:v>0.000771083734631746</c:v>
                </c:pt>
                <c:pt idx="24">
                  <c:v>0.00390792092402232</c:v>
                </c:pt>
                <c:pt idx="25">
                  <c:v>0.00546669821870517</c:v>
                </c:pt>
                <c:pt idx="26">
                  <c:v>0.00448800286441286</c:v>
                </c:pt>
              </c:numCache>
            </c:numRef>
          </c:val>
        </c:ser>
        <c:gapWidth val="150"/>
        <c:overlap val="100"/>
        <c:axId val="44827359"/>
        <c:axId val="63524442"/>
      </c:barChart>
      <c:lineChart>
        <c:grouping val="stacked"/>
        <c:varyColors val="0"/>
        <c:ser>
          <c:idx val="6"/>
          <c:order val="6"/>
          <c:tx>
            <c:strRef>
              <c:f>'Resultado ANSES por etapas'!$R$34</c:f>
              <c:strCache>
                <c:ptCount val="1"/>
                <c:pt idx="0">
                  <c:v>Gastos corrientes de ANSES, sin RH</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etapas'!$R$35:$R$61</c:f>
              <c:numCache>
                <c:formatCode>General</c:formatCode>
                <c:ptCount val="27"/>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0.110477752302181</c:v>
                </c:pt>
                <c:pt idx="25">
                  <c:v>0.102355195623222</c:v>
                </c:pt>
                <c:pt idx="26">
                  <c:v>0.0973806841222848</c:v>
                </c:pt>
              </c:numCache>
            </c:numRef>
          </c:val>
          <c:smooth val="0"/>
        </c:ser>
        <c:hiLowLines>
          <c:spPr>
            <a:ln>
              <a:noFill/>
            </a:ln>
          </c:spPr>
        </c:hiLowLines>
        <c:marker val="0"/>
        <c:axId val="44827359"/>
        <c:axId val="63524442"/>
      </c:lineChart>
      <c:catAx>
        <c:axId val="4482735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3524442"/>
        <c:crosses val="autoZero"/>
        <c:auto val="1"/>
        <c:lblAlgn val="ctr"/>
        <c:lblOffset val="100"/>
      </c:catAx>
      <c:valAx>
        <c:axId val="63524442"/>
        <c:scaling>
          <c:orientation val="minMax"/>
          <c:max val="0.1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44827359"/>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-0.0226292983197961</c:v>
                </c:pt>
              </c:numCache>
            </c:numRef>
          </c:val>
          <c:smooth val="0"/>
        </c:ser>
        <c:ser>
          <c:idx val="1"/>
          <c:order val="1"/>
          <c:tx>
            <c:strRef>
              <c:f>'Resultado ANSES por etapas'!$AC$4</c:f>
              <c:strCache>
                <c:ptCount val="1"/>
                <c:pt idx="0">
                  <c:v>… con rentabilidad FGS</c:v>
                </c:pt>
              </c:strCache>
            </c:strRef>
          </c:tx>
          <c:spPr>
            <a:solidFill>
              <a:srgbClr val="1f4e79"/>
            </a:solidFill>
            <a:ln w="19080">
              <a:solidFill>
                <a:srgbClr val="1f4e79"/>
              </a:solidFill>
              <a:round/>
            </a:ln>
          </c:spPr>
          <c:marker>
            <c:symbol val="square"/>
            <c:size val="8"/>
            <c:spPr>
              <a:solidFill>
                <a:srgbClr val="1f4e79"/>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etapas'!$AC$5:$AC$31</c:f>
              <c:numCache>
                <c:formatCode>General</c:formatCode>
                <c:ptCount val="27"/>
                <c:pt idx="15">
                  <c:v>0.00570081531112138</c:v>
                </c:pt>
                <c:pt idx="16">
                  <c:v>0.0102791340350402</c:v>
                </c:pt>
                <c:pt idx="17">
                  <c:v>0.00935623679492539</c:v>
                </c:pt>
                <c:pt idx="18">
                  <c:v>0.00960546774335111</c:v>
                </c:pt>
                <c:pt idx="19">
                  <c:v>0.0081030092954474</c:v>
                </c:pt>
                <c:pt idx="20">
                  <c:v>0.00587957819367872</c:v>
                </c:pt>
                <c:pt idx="21">
                  <c:v>0.00708955151514587</c:v>
                </c:pt>
                <c:pt idx="22">
                  <c:v>0.00142387626311399</c:v>
                </c:pt>
                <c:pt idx="23">
                  <c:v>-0.0115392147262527</c:v>
                </c:pt>
                <c:pt idx="24">
                  <c:v>-0.0137450144675513</c:v>
                </c:pt>
                <c:pt idx="25">
                  <c:v>-0.0056929108654977</c:v>
                </c:pt>
                <c:pt idx="26">
                  <c:v>-0.00851913874561277</c:v>
                </c:pt>
              </c:numCache>
            </c:numRef>
          </c:val>
          <c:smooth val="0"/>
        </c:ser>
        <c:ser>
          <c:idx val="2"/>
          <c:order val="2"/>
          <c:tx>
            <c:strRef>
              <c:f>'Resultado ANSES por etapas'!$AD$4</c:f>
              <c:strCache>
                <c:ptCount val="1"/>
                <c:pt idx="0">
                  <c:v>... y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etapas'!$AD$5:$AD$31</c:f>
              <c:numCache>
                <c:formatCode>General</c:formatCode>
                <c:ptCount val="27"/>
                <c:pt idx="23">
                  <c:v>-0.00773292798318478</c:v>
                </c:pt>
                <c:pt idx="24">
                  <c:v>-0.00614048285829008</c:v>
                </c:pt>
                <c:pt idx="25">
                  <c:v>0.00644074962286809</c:v>
                </c:pt>
                <c:pt idx="26">
                  <c:v>0.00646141848100539</c:v>
                </c:pt>
              </c:numCache>
            </c:numRef>
          </c:val>
          <c:smooth val="0"/>
        </c:ser>
        <c:hiLowLines>
          <c:spPr>
            <a:ln>
              <a:noFill/>
            </a:ln>
          </c:spPr>
        </c:hiLowLines>
        <c:marker val="1"/>
        <c:axId val="44361926"/>
        <c:axId val="30174292"/>
      </c:lineChart>
      <c:catAx>
        <c:axId val="4436192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30174292"/>
        <c:crosses val="autoZero"/>
        <c:auto val="1"/>
        <c:lblAlgn val="ctr"/>
        <c:lblOffset val="100"/>
      </c:catAx>
      <c:valAx>
        <c:axId val="3017429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44361926"/>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-0.0226292983197961</c:v>
                </c:pt>
              </c:numCache>
            </c:numRef>
          </c:val>
          <c:smooth val="0"/>
        </c:ser>
        <c:hiLowLines>
          <c:spPr>
            <a:ln>
              <a:noFill/>
            </a:ln>
          </c:spPr>
        </c:hiLowLines>
        <c:marker val="1"/>
        <c:axId val="58347707"/>
        <c:axId val="54228307"/>
      </c:lineChart>
      <c:catAx>
        <c:axId val="583477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54228307"/>
        <c:crosses val="autoZero"/>
        <c:auto val="1"/>
        <c:lblAlgn val="ctr"/>
        <c:lblOffset val="100"/>
      </c:catAx>
      <c:valAx>
        <c:axId val="5422830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8347707"/>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layout>
        <c:manualLayout>
          <c:layoutTarget val="inner"/>
          <c:xMode val="edge"/>
          <c:yMode val="edge"/>
          <c:x val="0.0588067020841847"/>
          <c:y val="0.0672681376215408"/>
          <c:w val="0.585860237024929"/>
          <c:h val="0.864108077786088"/>
        </c:manualLayout>
      </c:layout>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0.0346565829269364</c:v>
                </c:pt>
                <c:pt idx="16">
                  <c:v>0.0404160517875556</c:v>
                </c:pt>
                <c:pt idx="17">
                  <c:v>0.0363482605378615</c:v>
                </c:pt>
                <c:pt idx="18">
                  <c:v>0.0374718954409214</c:v>
                </c:pt>
                <c:pt idx="19">
                  <c:v>0.0432445144444151</c:v>
                </c:pt>
                <c:pt idx="20">
                  <c:v>0.0456546005086217</c:v>
                </c:pt>
                <c:pt idx="21">
                  <c:v>0.0445449382450544</c:v>
                </c:pt>
                <c:pt idx="22">
                  <c:v>0.04713047217659</c:v>
                </c:pt>
                <c:pt idx="23">
                  <c:v>0.0466940236504672</c:v>
                </c:pt>
                <c:pt idx="24">
                  <c:v>0.0471760116800452</c:v>
                </c:pt>
                <c:pt idx="25">
                  <c:v>0.0430998928158228</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0.00594124336168245</c:v>
                </c:pt>
                <c:pt idx="17">
                  <c:v>0.00605896046173748</c:v>
                </c:pt>
                <c:pt idx="18">
                  <c:v>0.007448285756705</c:v>
                </c:pt>
                <c:pt idx="19">
                  <c:v>0.00657791095086671</c:v>
                </c:pt>
                <c:pt idx="20">
                  <c:v>0.00725303890134632</c:v>
                </c:pt>
                <c:pt idx="21">
                  <c:v>0.0065773848338127</c:v>
                </c:pt>
                <c:pt idx="22">
                  <c:v>0.00618151891977691</c:v>
                </c:pt>
                <c:pt idx="23">
                  <c:v>0.00579716049269089</c:v>
                </c:pt>
                <c:pt idx="24">
                  <c:v>0.00582600653667924</c:v>
                </c:pt>
                <c:pt idx="25">
                  <c:v>0.00502380178320648</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1621307"/>
        <c:axId val="87555087"/>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0.0471867313555775</c:v>
                </c:pt>
                <c:pt idx="15">
                  <c:v>0.0481979687133716</c:v>
                </c:pt>
                <c:pt idx="16">
                  <c:v>0.0587535426843693</c:v>
                </c:pt>
                <c:pt idx="17">
                  <c:v>0.0538972802520374</c:v>
                </c:pt>
                <c:pt idx="18">
                  <c:v>0.0537599863227531</c:v>
                </c:pt>
                <c:pt idx="19">
                  <c:v>0.0578354826825427</c:v>
                </c:pt>
                <c:pt idx="20">
                  <c:v>0.0612877002322927</c:v>
                </c:pt>
                <c:pt idx="21">
                  <c:v>0.0587801905239699</c:v>
                </c:pt>
                <c:pt idx="22">
                  <c:v>0.0606823527474555</c:v>
                </c:pt>
                <c:pt idx="23">
                  <c:v>0.0642398432204977</c:v>
                </c:pt>
                <c:pt idx="24">
                  <c:v>0.0644727383052624</c:v>
                </c:pt>
                <c:pt idx="25">
                  <c:v>0.059641776523994</c:v>
                </c:pt>
              </c:numCache>
            </c:numRef>
          </c:val>
          <c:smooth val="0"/>
        </c:ser>
        <c:hiLowLines>
          <c:spPr>
            <a:ln>
              <a:noFill/>
            </a:ln>
          </c:spPr>
        </c:hiLowLines>
        <c:marker val="0"/>
        <c:axId val="1621307"/>
        <c:axId val="87555087"/>
      </c:lineChart>
      <c:lineChart>
        <c:grouping val="stacked"/>
        <c:varyColors val="0"/>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6543356"/>
        <c:axId val="19827262"/>
      </c:lineChart>
      <c:catAx>
        <c:axId val="1621307"/>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87555087"/>
        <c:crosses val="autoZero"/>
        <c:auto val="1"/>
        <c:lblAlgn val="ctr"/>
        <c:lblOffset val="100"/>
      </c:catAx>
      <c:valAx>
        <c:axId val="87555087"/>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1621307"/>
        <c:crosses val="autoZero"/>
      </c:valAx>
      <c:catAx>
        <c:axId val="6543356"/>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19827262"/>
        <c:auto val="1"/>
        <c:lblAlgn val="ctr"/>
        <c:lblOffset val="100"/>
      </c:catAx>
      <c:valAx>
        <c:axId val="19827262"/>
        <c:scaling>
          <c:orientation val="minMax"/>
        </c:scaling>
        <c:delete val="0"/>
        <c:axPos val="r"/>
        <c:numFmt formatCode="0.0%" sourceLinked="0"/>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6543356"/>
        <c:crosses val="max"/>
      </c:valAx>
      <c:spPr>
        <a:noFill/>
        <a:ln>
          <a:noFill/>
        </a:ln>
      </c:spPr>
    </c:plotArea>
    <c:legend>
      <c:layout>
        <c:manualLayout>
          <c:xMode val="edge"/>
          <c:yMode val="edge"/>
          <c:x val="0.702370249284839"/>
          <c:y val="0.0636219147344802"/>
          <c:w val="0.293269034288283"/>
          <c:h val="0.823617409190781"/>
        </c:manualLayout>
      </c:layout>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000000"/>
                </a:solidFill>
                <a:latin typeface="Calibri"/>
              </a:defRPr>
            </a:pPr>
            <a:r>
              <a:rPr b="0" lang="es-AR" sz="1400" spc="-1"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-0.00868193471742861</c:v>
                </c:pt>
                <c:pt idx="15">
                  <c:v>-0.0113471670396734</c:v>
                </c:pt>
                <c:pt idx="16">
                  <c:v>-0.00798340550243044</c:v>
                </c:pt>
                <c:pt idx="17">
                  <c:v>-0.00340996867407745</c:v>
                </c:pt>
                <c:pt idx="18">
                  <c:v>-0.00213603931336718</c:v>
                </c:pt>
                <c:pt idx="19">
                  <c:v>-0.00205720441724472</c:v>
                </c:pt>
                <c:pt idx="20">
                  <c:v>-0.00361579745708259</c:v>
                </c:pt>
                <c:pt idx="21">
                  <c:v>-0.00457038365868048</c:v>
                </c:pt>
                <c:pt idx="22">
                  <c:v>-0.00425263691753908</c:v>
                </c:pt>
                <c:pt idx="23">
                  <c:v>-0.00955231572502284</c:v>
                </c:pt>
                <c:pt idx="24">
                  <c:v>-0.00888264224859735</c:v>
                </c:pt>
                <c:pt idx="25">
                  <c:v>-0.00893693003199979</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0.0217514147792339</c:v>
                </c:pt>
                <c:pt idx="3">
                  <c:v>0.0246928951617144</c:v>
                </c:pt>
                <c:pt idx="4">
                  <c:v>0.0306140334428085</c:v>
                </c:pt>
                <c:pt idx="5">
                  <c:v>0.0322308322533743</c:v>
                </c:pt>
                <c:pt idx="6">
                  <c:v>0.032590218656408</c:v>
                </c:pt>
                <c:pt idx="7">
                  <c:v>0.0344579177610974</c:v>
                </c:pt>
                <c:pt idx="8">
                  <c:v>0.0313675516797674</c:v>
                </c:pt>
                <c:pt idx="9">
                  <c:v>0.0247927984069318</c:v>
                </c:pt>
                <c:pt idx="10">
                  <c:v>0.0298336183050293</c:v>
                </c:pt>
                <c:pt idx="11">
                  <c:v>0.0327278835152509</c:v>
                </c:pt>
                <c:pt idx="12">
                  <c:v>0.0336902861291173</c:v>
                </c:pt>
                <c:pt idx="13">
                  <c:v>0.0329536975643019</c:v>
                </c:pt>
                <c:pt idx="14">
                  <c:v>0.0195285106667317</c:v>
                </c:pt>
                <c:pt idx="15">
                  <c:v>0.0160760018004302</c:v>
                </c:pt>
                <c:pt idx="16">
                  <c:v>0.0114615825342978</c:v>
                </c:pt>
                <c:pt idx="17">
                  <c:v>0.00752180647630411</c:v>
                </c:pt>
                <c:pt idx="18">
                  <c:v>0.00667562497871973</c:v>
                </c:pt>
                <c:pt idx="19">
                  <c:v>0.00358331705221695</c:v>
                </c:pt>
                <c:pt idx="20">
                  <c:v>0.00266412889892142</c:v>
                </c:pt>
                <c:pt idx="21">
                  <c:v>0.00327751990271201</c:v>
                </c:pt>
                <c:pt idx="22">
                  <c:v>-0.00325469614423415</c:v>
                </c:pt>
                <c:pt idx="23">
                  <c:v>-0.0107944839708261</c:v>
                </c:pt>
                <c:pt idx="24">
                  <c:v>-0.0152220597595923</c:v>
                </c:pt>
                <c:pt idx="25">
                  <c:v>-0.00933486776821268</c:v>
                </c:pt>
              </c:numCache>
            </c:numRef>
          </c:val>
        </c:ser>
        <c:gapWidth val="0"/>
        <c:overlap val="100"/>
        <c:axId val="60875476"/>
        <c:axId val="26907255"/>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-0.000446069275463892</c:v>
                </c:pt>
                <c:pt idx="1">
                  <c:v>-0.0130853294610615</c:v>
                </c:pt>
                <c:pt idx="2">
                  <c:v>-0.0063793495975882</c:v>
                </c:pt>
                <c:pt idx="3">
                  <c:v>-0.0052873047307914</c:v>
                </c:pt>
                <c:pt idx="4">
                  <c:v>-0.00315594528811224</c:v>
                </c:pt>
                <c:pt idx="5">
                  <c:v>-0.00266006212398561</c:v>
                </c:pt>
                <c:pt idx="6">
                  <c:v>-0.00775968801462749</c:v>
                </c:pt>
                <c:pt idx="7">
                  <c:v>-0.00673854445377407</c:v>
                </c:pt>
                <c:pt idx="8">
                  <c:v>-0.0101649287372602</c:v>
                </c:pt>
                <c:pt idx="9">
                  <c:v>-0.0114400630696734</c:v>
                </c:pt>
                <c:pt idx="10">
                  <c:v>-0.00492726978903478</c:v>
                </c:pt>
                <c:pt idx="11">
                  <c:v>0.00382117172625724</c:v>
                </c:pt>
                <c:pt idx="12">
                  <c:v>0.00757753622615441</c:v>
                </c:pt>
                <c:pt idx="13">
                  <c:v>0.0091777951462507</c:v>
                </c:pt>
                <c:pt idx="14">
                  <c:v>0.0108465759493031</c:v>
                </c:pt>
                <c:pt idx="15">
                  <c:v>0.00472883476075675</c:v>
                </c:pt>
                <c:pt idx="16">
                  <c:v>0.00347817703186733</c:v>
                </c:pt>
                <c:pt idx="17">
                  <c:v>0.00411183780222666</c:v>
                </c:pt>
                <c:pt idx="18">
                  <c:v>0.00453958566535255</c:v>
                </c:pt>
                <c:pt idx="19">
                  <c:v>0.00152611263497223</c:v>
                </c:pt>
                <c:pt idx="20">
                  <c:v>-0.000951668558161173</c:v>
                </c:pt>
                <c:pt idx="21">
                  <c:v>-0.00129286375596847</c:v>
                </c:pt>
                <c:pt idx="22">
                  <c:v>-0.00750733306177323</c:v>
                </c:pt>
                <c:pt idx="23">
                  <c:v>-0.0203467996958489</c:v>
                </c:pt>
                <c:pt idx="24">
                  <c:v>-0.0241047020081896</c:v>
                </c:pt>
                <c:pt idx="25">
                  <c:v>-0.0182717978002125</c:v>
                </c:pt>
              </c:numCache>
            </c:numRef>
          </c:val>
          <c:smooth val="0"/>
        </c:ser>
        <c:hiLowLines>
          <c:spPr>
            <a:ln>
              <a:noFill/>
            </a:ln>
          </c:spPr>
        </c:hiLowLines>
        <c:marker val="0"/>
        <c:axId val="60875476"/>
        <c:axId val="26907255"/>
      </c:lineChart>
      <c:catAx>
        <c:axId val="608754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26907255"/>
        <c:crosses val="autoZero"/>
        <c:auto val="1"/>
        <c:lblAlgn val="ctr"/>
        <c:lblOffset val="100"/>
      </c:catAx>
      <c:valAx>
        <c:axId val="2690725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60875476"/>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4.wmf"/>
</Relationships>
</file>

<file path=xl/drawings/_rels/drawing2.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
</Relationships>
</file>

<file path=xl/drawings/_rels/drawing4.xml.rels><?xml version="1.0" encoding="UTF-8"?>
<Relationships xmlns="http://schemas.openxmlformats.org/package/2006/relationships"><Relationship Id="rId1" Type="http://schemas.openxmlformats.org/officeDocument/2006/relationships/chart" Target="../charts/chart69.xml"/><Relationship Id="rId2" Type="http://schemas.openxmlformats.org/officeDocument/2006/relationships/chart" Target="../charts/chart70.xml"/><Relationship Id="rId3" Type="http://schemas.openxmlformats.org/officeDocument/2006/relationships/chart" Target="../charts/chart71.xml"/>
</Relationships>
</file>

<file path=xl/drawings/_rels/drawing5.xml.rels><?xml version="1.0" encoding="UTF-8"?>
<Relationships xmlns="http://schemas.openxmlformats.org/package/2006/relationships"><Relationship Id="rId1" Type="http://schemas.openxmlformats.org/officeDocument/2006/relationships/chart" Target="../charts/chart72.xml"/><Relationship Id="rId2" Type="http://schemas.openxmlformats.org/officeDocument/2006/relationships/chart" Target="../charts/chart73.xml"/><Relationship Id="rId3" Type="http://schemas.openxmlformats.org/officeDocument/2006/relationships/chart" Target="../charts/chart74.xml"/><Relationship Id="rId4" Type="http://schemas.openxmlformats.org/officeDocument/2006/relationships/chart" Target="../charts/chart75.xml"/><Relationship Id="rId5" Type="http://schemas.openxmlformats.org/officeDocument/2006/relationships/chart" Target="../charts/chart76.xml"/><Relationship Id="rId6" Type="http://schemas.openxmlformats.org/officeDocument/2006/relationships/chart" Target="../charts/chart77.xml"/><Relationship Id="rId7" Type="http://schemas.openxmlformats.org/officeDocument/2006/relationships/chart" Target="../charts/chart78.xml"/>
</Relationships>
</file>

<file path=xl/drawings/_rels/drawing6.xml.rels><?xml version="1.0" encoding="UTF-8"?>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893160</xdr:colOff>
      <xdr:row>227</xdr:row>
      <xdr:rowOff>158760</xdr:rowOff>
    </xdr:to>
    <xdr:pic>
      <xdr:nvPicPr>
        <xdr:cNvPr id="0" name="Picture 19" descr=""/>
        <xdr:cNvPicPr/>
      </xdr:nvPicPr>
      <xdr:blipFill>
        <a:blip r:embed="rId1"/>
        <a:stretch/>
      </xdr:blipFill>
      <xdr:spPr>
        <a:xfrm>
          <a:off x="78356160" y="28298520"/>
          <a:ext cx="6603120" cy="8616960"/>
        </a:xfrm>
        <a:prstGeom prst="rect">
          <a:avLst/>
        </a:prstGeom>
        <a:ln>
          <a:noFill/>
        </a:ln>
      </xdr:spPr>
    </xdr:pic>
    <xdr:clientData/>
  </xdr:twoCellAnchor>
  <xdr:twoCellAnchor editAs="twoCell">
    <xdr:from>
      <xdr:col>0</xdr:col>
      <xdr:colOff>0</xdr:colOff>
      <xdr:row>0</xdr:row>
      <xdr:rowOff>0</xdr:rowOff>
    </xdr:from>
    <xdr:to>
      <xdr:col>11</xdr:col>
      <xdr:colOff>199440</xdr:colOff>
      <xdr:row>58</xdr:row>
      <xdr:rowOff>132480</xdr:rowOff>
    </xdr:to>
    <xdr:sp>
      <xdr:nvSpPr>
        <xdr:cNvPr id="1"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5"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6"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6"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7"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8"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9"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0"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1"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2" name="CustomShape 1" hidden="1"/>
        <xdr:cNvSpPr/>
      </xdr:nvSpPr>
      <xdr:spPr>
        <a:xfrm>
          <a:off x="0" y="0"/>
          <a:ext cx="100760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2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3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4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45"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46"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47"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48"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49"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0"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1"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2"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3"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4"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5"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6"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7"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8"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59"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0"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1"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2"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3"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4"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5"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837360</xdr:colOff>
      <xdr:row>62</xdr:row>
      <xdr:rowOff>75600</xdr:rowOff>
    </xdr:to>
    <xdr:sp>
      <xdr:nvSpPr>
        <xdr:cNvPr id="66" name="CustomShape 1"/>
        <xdr:cNvSpPr/>
      </xdr:nvSpPr>
      <xdr:spPr>
        <a:xfrm>
          <a:off x="0" y="0"/>
          <a:ext cx="8918280" cy="10114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6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6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6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7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8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9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0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1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2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3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5"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6"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7"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8"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49"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0"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1"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2"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3"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199440</xdr:colOff>
      <xdr:row>58</xdr:row>
      <xdr:rowOff>132480</xdr:rowOff>
    </xdr:to>
    <xdr:sp>
      <xdr:nvSpPr>
        <xdr:cNvPr id="154" name="CustomShape 1"/>
        <xdr:cNvSpPr/>
      </xdr:nvSpPr>
      <xdr:spPr>
        <a:xfrm>
          <a:off x="0" y="0"/>
          <a:ext cx="100760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1287720</xdr:colOff>
      <xdr:row>70</xdr:row>
      <xdr:rowOff>28440</xdr:rowOff>
    </xdr:from>
    <xdr:to>
      <xdr:col>34</xdr:col>
      <xdr:colOff>1262880</xdr:colOff>
      <xdr:row>94</xdr:row>
      <xdr:rowOff>110880</xdr:rowOff>
    </xdr:to>
    <xdr:graphicFrame>
      <xdr:nvGraphicFramePr>
        <xdr:cNvPr id="155" name="Gráfico 4"/>
        <xdr:cNvGraphicFramePr/>
      </xdr:nvGraphicFramePr>
      <xdr:xfrm>
        <a:off x="34694280" y="14766120"/>
        <a:ext cx="9599760" cy="5284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1004040</xdr:colOff>
      <xdr:row>69</xdr:row>
      <xdr:rowOff>124560</xdr:rowOff>
    </xdr:from>
    <xdr:to>
      <xdr:col>14</xdr:col>
      <xdr:colOff>821160</xdr:colOff>
      <xdr:row>90</xdr:row>
      <xdr:rowOff>359280</xdr:rowOff>
    </xdr:to>
    <xdr:graphicFrame>
      <xdr:nvGraphicFramePr>
        <xdr:cNvPr id="156" name="Gráfico 5"/>
        <xdr:cNvGraphicFramePr/>
      </xdr:nvGraphicFramePr>
      <xdr:xfrm>
        <a:off x="9426960" y="14678640"/>
        <a:ext cx="7667640" cy="4571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57600</xdr:rowOff>
    </xdr:from>
    <xdr:to>
      <xdr:col>8</xdr:col>
      <xdr:colOff>580320</xdr:colOff>
      <xdr:row>89</xdr:row>
      <xdr:rowOff>45000</xdr:rowOff>
    </xdr:to>
    <xdr:graphicFrame>
      <xdr:nvGraphicFramePr>
        <xdr:cNvPr id="157" name="Gráfico 6"/>
        <xdr:cNvGraphicFramePr/>
      </xdr:nvGraphicFramePr>
      <xdr:xfrm>
        <a:off x="891360" y="14978520"/>
        <a:ext cx="8111880" cy="3773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134280</xdr:rowOff>
    </xdr:from>
    <xdr:to>
      <xdr:col>9</xdr:col>
      <xdr:colOff>954720</xdr:colOff>
      <xdr:row>145</xdr:row>
      <xdr:rowOff>26280</xdr:rowOff>
    </xdr:to>
    <xdr:graphicFrame>
      <xdr:nvGraphicFramePr>
        <xdr:cNvPr id="158" name="Gráfico 7"/>
        <xdr:cNvGraphicFramePr/>
      </xdr:nvGraphicFramePr>
      <xdr:xfrm>
        <a:off x="762120" y="25028640"/>
        <a:ext cx="9703440" cy="4296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76680</xdr:rowOff>
    </xdr:from>
    <xdr:to>
      <xdr:col>15</xdr:col>
      <xdr:colOff>906480</xdr:colOff>
      <xdr:row>134</xdr:row>
      <xdr:rowOff>159120</xdr:rowOff>
    </xdr:to>
    <xdr:graphicFrame>
      <xdr:nvGraphicFramePr>
        <xdr:cNvPr id="159" name="Gráfico 8"/>
        <xdr:cNvGraphicFramePr/>
      </xdr:nvGraphicFramePr>
      <xdr:xfrm>
        <a:off x="11202840" y="23135760"/>
        <a:ext cx="7237800" cy="4303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29520</xdr:rowOff>
    </xdr:from>
    <xdr:to>
      <xdr:col>25</xdr:col>
      <xdr:colOff>1037520</xdr:colOff>
      <xdr:row>112</xdr:row>
      <xdr:rowOff>121680</xdr:rowOff>
    </xdr:to>
    <xdr:graphicFrame>
      <xdr:nvGraphicFramePr>
        <xdr:cNvPr id="160" name="Gráfico 9"/>
        <xdr:cNvGraphicFramePr/>
      </xdr:nvGraphicFramePr>
      <xdr:xfrm>
        <a:off x="24843960" y="20152440"/>
        <a:ext cx="5821920" cy="3211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29520</xdr:rowOff>
    </xdr:from>
    <xdr:to>
      <xdr:col>63</xdr:col>
      <xdr:colOff>939960</xdr:colOff>
      <xdr:row>102</xdr:row>
      <xdr:rowOff>45360</xdr:rowOff>
    </xdr:to>
    <xdr:graphicFrame>
      <xdr:nvGraphicFramePr>
        <xdr:cNvPr id="161" name="Gráfico 1"/>
        <xdr:cNvGraphicFramePr/>
      </xdr:nvGraphicFramePr>
      <xdr:xfrm>
        <a:off x="73619280" y="16534800"/>
        <a:ext cx="8995320" cy="49179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9720</xdr:rowOff>
    </xdr:from>
    <xdr:to>
      <xdr:col>69</xdr:col>
      <xdr:colOff>873000</xdr:colOff>
      <xdr:row>97</xdr:row>
      <xdr:rowOff>44640</xdr:rowOff>
    </xdr:to>
    <xdr:graphicFrame>
      <xdr:nvGraphicFramePr>
        <xdr:cNvPr id="162" name="Gráfico 1"/>
        <xdr:cNvGraphicFramePr/>
      </xdr:nvGraphicFramePr>
      <xdr:xfrm>
        <a:off x="83477160" y="15664680"/>
        <a:ext cx="8857800" cy="48700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twoCell">
    <xdr:from>
      <xdr:col>0</xdr:col>
      <xdr:colOff>0</xdr:colOff>
      <xdr:row>0</xdr:row>
      <xdr:rowOff>0</xdr:rowOff>
    </xdr:from>
    <xdr:to>
      <xdr:col>9</xdr:col>
      <xdr:colOff>465840</xdr:colOff>
      <xdr:row>44</xdr:row>
      <xdr:rowOff>104040</xdr:rowOff>
    </xdr:to>
    <xdr:sp>
      <xdr:nvSpPr>
        <xdr:cNvPr id="163"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4"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5"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6"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7"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8"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69"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0"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1"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2"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3"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4"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465840</xdr:colOff>
      <xdr:row>44</xdr:row>
      <xdr:rowOff>104040</xdr:rowOff>
    </xdr:to>
    <xdr:sp>
      <xdr:nvSpPr>
        <xdr:cNvPr id="175" name="CustomShape 1" hidden="1"/>
        <xdr:cNvSpPr/>
      </xdr:nvSpPr>
      <xdr:spPr>
        <a:xfrm>
          <a:off x="0" y="0"/>
          <a:ext cx="9976680" cy="98060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12</xdr:col>
      <xdr:colOff>18720</xdr:colOff>
      <xdr:row>50</xdr:row>
      <xdr:rowOff>171000</xdr:rowOff>
    </xdr:to>
    <xdr:sp>
      <xdr:nvSpPr>
        <xdr:cNvPr id="176" name="CustomShape 1" hidden="1"/>
        <xdr:cNvSpPr/>
      </xdr:nvSpPr>
      <xdr:spPr>
        <a:xfrm>
          <a:off x="0" y="0"/>
          <a:ext cx="9977760" cy="9025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18720</xdr:colOff>
      <xdr:row>50</xdr:row>
      <xdr:rowOff>171000</xdr:rowOff>
    </xdr:to>
    <xdr:sp>
      <xdr:nvSpPr>
        <xdr:cNvPr id="177" name="CustomShape 1" hidden="1"/>
        <xdr:cNvSpPr/>
      </xdr:nvSpPr>
      <xdr:spPr>
        <a:xfrm>
          <a:off x="0" y="0"/>
          <a:ext cx="9977760" cy="90252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511200</xdr:colOff>
      <xdr:row>56</xdr:row>
      <xdr:rowOff>6120</xdr:rowOff>
    </xdr:to>
    <xdr:graphicFrame>
      <xdr:nvGraphicFramePr>
        <xdr:cNvPr id="178" name="Gráfico 1"/>
        <xdr:cNvGraphicFramePr/>
      </xdr:nvGraphicFramePr>
      <xdr:xfrm>
        <a:off x="0" y="7010280"/>
        <a:ext cx="7770960" cy="461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311040</xdr:colOff>
      <xdr:row>29</xdr:row>
      <xdr:rowOff>63360</xdr:rowOff>
    </xdr:to>
    <xdr:graphicFrame>
      <xdr:nvGraphicFramePr>
        <xdr:cNvPr id="179" name="Gráfico 2"/>
        <xdr:cNvGraphicFramePr/>
      </xdr:nvGraphicFramePr>
      <xdr:xfrm>
        <a:off x="16047720" y="533160"/>
        <a:ext cx="6354720" cy="5816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25200</xdr:colOff>
      <xdr:row>91</xdr:row>
      <xdr:rowOff>187200</xdr:rowOff>
    </xdr:to>
    <xdr:graphicFrame>
      <xdr:nvGraphicFramePr>
        <xdr:cNvPr id="180" name="Gráfico 3"/>
        <xdr:cNvGraphicFramePr/>
      </xdr:nvGraphicFramePr>
      <xdr:xfrm>
        <a:off x="9696240" y="13506120"/>
        <a:ext cx="9476640" cy="4969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0</xdr:col>
      <xdr:colOff>0</xdr:colOff>
      <xdr:row>0</xdr:row>
      <xdr:rowOff>0</xdr:rowOff>
    </xdr:from>
    <xdr:to>
      <xdr:col>7</xdr:col>
      <xdr:colOff>1075680</xdr:colOff>
      <xdr:row>44</xdr:row>
      <xdr:rowOff>189720</xdr:rowOff>
    </xdr:to>
    <xdr:sp>
      <xdr:nvSpPr>
        <xdr:cNvPr id="181" name="CustomShape 1" hidden="1"/>
        <xdr:cNvSpPr/>
      </xdr:nvSpPr>
      <xdr:spPr>
        <a:xfrm>
          <a:off x="0" y="0"/>
          <a:ext cx="100195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1075680</xdr:colOff>
      <xdr:row>44</xdr:row>
      <xdr:rowOff>189720</xdr:rowOff>
    </xdr:to>
    <xdr:sp>
      <xdr:nvSpPr>
        <xdr:cNvPr id="182" name="CustomShape 1"/>
        <xdr:cNvSpPr/>
      </xdr:nvSpPr>
      <xdr:spPr>
        <a:xfrm>
          <a:off x="0" y="0"/>
          <a:ext cx="1001952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1675800</xdr:colOff>
      <xdr:row>45</xdr:row>
      <xdr:rowOff>189720</xdr:rowOff>
    </xdr:to>
    <xdr:sp>
      <xdr:nvSpPr>
        <xdr:cNvPr id="183" name="CustomShape 1"/>
        <xdr:cNvSpPr/>
      </xdr:nvSpPr>
      <xdr:spPr>
        <a:xfrm>
          <a:off x="0" y="0"/>
          <a:ext cx="8935560" cy="971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1075680</xdr:colOff>
      <xdr:row>44</xdr:row>
      <xdr:rowOff>189720</xdr:rowOff>
    </xdr:to>
    <xdr:sp>
      <xdr:nvSpPr>
        <xdr:cNvPr id="184" name="CustomShape 1"/>
        <xdr:cNvSpPr/>
      </xdr:nvSpPr>
      <xdr:spPr>
        <a:xfrm>
          <a:off x="0" y="0"/>
          <a:ext cx="1001952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1075680</xdr:colOff>
      <xdr:row>44</xdr:row>
      <xdr:rowOff>189720</xdr:rowOff>
    </xdr:to>
    <xdr:sp>
      <xdr:nvSpPr>
        <xdr:cNvPr id="185" name="CustomShape 1"/>
        <xdr:cNvSpPr/>
      </xdr:nvSpPr>
      <xdr:spPr>
        <a:xfrm>
          <a:off x="0" y="0"/>
          <a:ext cx="1001952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1075680</xdr:colOff>
      <xdr:row>44</xdr:row>
      <xdr:rowOff>189720</xdr:rowOff>
    </xdr:to>
    <xdr:sp>
      <xdr:nvSpPr>
        <xdr:cNvPr id="186" name="CustomShape 1"/>
        <xdr:cNvSpPr/>
      </xdr:nvSpPr>
      <xdr:spPr>
        <a:xfrm>
          <a:off x="0" y="0"/>
          <a:ext cx="1001952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1075680</xdr:colOff>
      <xdr:row>44</xdr:row>
      <xdr:rowOff>189720</xdr:rowOff>
    </xdr:to>
    <xdr:sp>
      <xdr:nvSpPr>
        <xdr:cNvPr id="187" name="CustomShape 1"/>
        <xdr:cNvSpPr/>
      </xdr:nvSpPr>
      <xdr:spPr>
        <a:xfrm>
          <a:off x="0" y="0"/>
          <a:ext cx="1001952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66960</xdr:rowOff>
    </xdr:from>
    <xdr:to>
      <xdr:col>9</xdr:col>
      <xdr:colOff>577800</xdr:colOff>
      <xdr:row>65</xdr:row>
      <xdr:rowOff>117000</xdr:rowOff>
    </xdr:to>
    <xdr:graphicFrame>
      <xdr:nvGraphicFramePr>
        <xdr:cNvPr id="188" name="Gráfico 1"/>
        <xdr:cNvGraphicFramePr/>
      </xdr:nvGraphicFramePr>
      <xdr:xfrm>
        <a:off x="920160" y="6486480"/>
        <a:ext cx="11928960" cy="651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120240</xdr:rowOff>
    </xdr:from>
    <xdr:to>
      <xdr:col>28</xdr:col>
      <xdr:colOff>343080</xdr:colOff>
      <xdr:row>69</xdr:row>
      <xdr:rowOff>126360</xdr:rowOff>
    </xdr:to>
    <xdr:graphicFrame>
      <xdr:nvGraphicFramePr>
        <xdr:cNvPr id="189" name="Gráfico 2"/>
        <xdr:cNvGraphicFramePr/>
      </xdr:nvGraphicFramePr>
      <xdr:xfrm>
        <a:off x="25690680" y="7477200"/>
        <a:ext cx="10039680" cy="6292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24840</xdr:rowOff>
    </xdr:from>
    <xdr:to>
      <xdr:col>33</xdr:col>
      <xdr:colOff>401400</xdr:colOff>
      <xdr:row>67</xdr:row>
      <xdr:rowOff>115200</xdr:rowOff>
    </xdr:to>
    <xdr:graphicFrame>
      <xdr:nvGraphicFramePr>
        <xdr:cNvPr id="190" name="Gráfico 1"/>
        <xdr:cNvGraphicFramePr/>
      </xdr:nvGraphicFramePr>
      <xdr:xfrm>
        <a:off x="32977800" y="7762680"/>
        <a:ext cx="7896960" cy="5614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714240</xdr:colOff>
      <xdr:row>112</xdr:row>
      <xdr:rowOff>108000</xdr:rowOff>
    </xdr:from>
    <xdr:to>
      <xdr:col>7</xdr:col>
      <xdr:colOff>415800</xdr:colOff>
      <xdr:row>143</xdr:row>
      <xdr:rowOff>176400</xdr:rowOff>
    </xdr:to>
    <xdr:graphicFrame>
      <xdr:nvGraphicFramePr>
        <xdr:cNvPr id="191" name="Gráfico 5"/>
        <xdr:cNvGraphicFramePr/>
      </xdr:nvGraphicFramePr>
      <xdr:xfrm>
        <a:off x="1519920" y="21943080"/>
        <a:ext cx="8234640" cy="5973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24840</xdr:rowOff>
    </xdr:from>
    <xdr:to>
      <xdr:col>20</xdr:col>
      <xdr:colOff>768240</xdr:colOff>
      <xdr:row>100</xdr:row>
      <xdr:rowOff>30600</xdr:rowOff>
    </xdr:to>
    <xdr:graphicFrame>
      <xdr:nvGraphicFramePr>
        <xdr:cNvPr id="192" name="Gráfico 6"/>
        <xdr:cNvGraphicFramePr/>
      </xdr:nvGraphicFramePr>
      <xdr:xfrm>
        <a:off x="17451360" y="13287240"/>
        <a:ext cx="9895320" cy="6292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0</xdr:col>
      <xdr:colOff>0</xdr:colOff>
      <xdr:row>0</xdr:row>
      <xdr:rowOff>0</xdr:rowOff>
    </xdr:from>
    <xdr:to>
      <xdr:col>7</xdr:col>
      <xdr:colOff>675720</xdr:colOff>
      <xdr:row>47</xdr:row>
      <xdr:rowOff>81360</xdr:rowOff>
    </xdr:to>
    <xdr:sp>
      <xdr:nvSpPr>
        <xdr:cNvPr id="193" name="CustomShape 1" hidden="1"/>
        <xdr:cNvSpPr/>
      </xdr:nvSpPr>
      <xdr:spPr>
        <a:xfrm>
          <a:off x="0" y="0"/>
          <a:ext cx="10014480" cy="9533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675720</xdr:colOff>
      <xdr:row>47</xdr:row>
      <xdr:rowOff>81360</xdr:rowOff>
    </xdr:to>
    <xdr:sp>
      <xdr:nvSpPr>
        <xdr:cNvPr id="194" name="CustomShape 1" hidden="1"/>
        <xdr:cNvSpPr/>
      </xdr:nvSpPr>
      <xdr:spPr>
        <a:xfrm>
          <a:off x="0" y="0"/>
          <a:ext cx="10014480" cy="9533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31</xdr:col>
      <xdr:colOff>0</xdr:colOff>
      <xdr:row>3</xdr:row>
      <xdr:rowOff>0</xdr:rowOff>
    </xdr:from>
    <xdr:to>
      <xdr:col>40</xdr:col>
      <xdr:colOff>134640</xdr:colOff>
      <xdr:row>29</xdr:row>
      <xdr:rowOff>128520</xdr:rowOff>
    </xdr:to>
    <xdr:graphicFrame>
      <xdr:nvGraphicFramePr>
        <xdr:cNvPr id="195" name="Gráfico 1"/>
        <xdr:cNvGraphicFramePr/>
      </xdr:nvGraphicFramePr>
      <xdr:xfrm>
        <a:off x="38509560" y="542880"/>
        <a:ext cx="7913160" cy="5614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30</xdr:row>
      <xdr:rowOff>0</xdr:rowOff>
    </xdr:from>
    <xdr:to>
      <xdr:col>43</xdr:col>
      <xdr:colOff>468000</xdr:colOff>
      <xdr:row>59</xdr:row>
      <xdr:rowOff>105840</xdr:rowOff>
    </xdr:to>
    <xdr:graphicFrame>
      <xdr:nvGraphicFramePr>
        <xdr:cNvPr id="196" name="Gráfico 1"/>
        <xdr:cNvGraphicFramePr/>
      </xdr:nvGraphicFramePr>
      <xdr:xfrm>
        <a:off x="41279400" y="6229080"/>
        <a:ext cx="7896240" cy="56152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299160</xdr:colOff>
      <xdr:row>71</xdr:row>
      <xdr:rowOff>41760</xdr:rowOff>
    </xdr:to>
    <xdr:graphicFrame>
      <xdr:nvGraphicFramePr>
        <xdr:cNvPr id="197" name="Gráfico 3"/>
        <xdr:cNvGraphicFramePr/>
      </xdr:nvGraphicFramePr>
      <xdr:xfrm>
        <a:off x="15116760" y="6428160"/>
        <a:ext cx="8808840" cy="770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702720</xdr:colOff>
      <xdr:row>56</xdr:row>
      <xdr:rowOff>30600</xdr:rowOff>
    </xdr:to>
    <xdr:sp>
      <xdr:nvSpPr>
        <xdr:cNvPr id="198" name="CustomShape 1"/>
        <xdr:cNvSpPr/>
      </xdr:nvSpPr>
      <xdr:spPr>
        <a:xfrm>
          <a:off x="23772240" y="9027000"/>
          <a:ext cx="556920" cy="218592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556920</xdr:colOff>
      <xdr:row>45</xdr:row>
      <xdr:rowOff>7920</xdr:rowOff>
    </xdr:to>
    <xdr:sp>
      <xdr:nvSpPr>
        <xdr:cNvPr id="199" name="CustomShape 1"/>
        <xdr:cNvSpPr/>
      </xdr:nvSpPr>
      <xdr:spPr>
        <a:xfrm>
          <a:off x="23626440" y="7581600"/>
          <a:ext cx="556920" cy="140832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601920</xdr:colOff>
      <xdr:row>108</xdr:row>
      <xdr:rowOff>41400</xdr:rowOff>
    </xdr:to>
    <xdr:graphicFrame>
      <xdr:nvGraphicFramePr>
        <xdr:cNvPr id="200" name="Gráfico 2"/>
        <xdr:cNvGraphicFramePr/>
      </xdr:nvGraphicFramePr>
      <xdr:xfrm>
        <a:off x="8278920" y="15954120"/>
        <a:ext cx="7047720" cy="5223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0</xdr:col>
      <xdr:colOff>0</xdr:colOff>
      <xdr:row>0</xdr:row>
      <xdr:rowOff>0</xdr:rowOff>
    </xdr:from>
    <xdr:to>
      <xdr:col>8</xdr:col>
      <xdr:colOff>990000</xdr:colOff>
      <xdr:row>47</xdr:row>
      <xdr:rowOff>142200</xdr:rowOff>
    </xdr:to>
    <xdr:sp>
      <xdr:nvSpPr>
        <xdr:cNvPr id="201"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2"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3"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4"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5"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6"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7"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8"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09" name="CustomShape 1" hidden="1"/>
        <xdr:cNvSpPr/>
      </xdr:nvSpPr>
      <xdr:spPr>
        <a:xfrm>
          <a:off x="0" y="0"/>
          <a:ext cx="1002024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0"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1"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2"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3"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4"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5"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6"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7"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18"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19"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0"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1"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2"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3"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4"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5"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6"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761400</xdr:colOff>
      <xdr:row>41</xdr:row>
      <xdr:rowOff>24840</xdr:rowOff>
    </xdr:to>
    <xdr:sp>
      <xdr:nvSpPr>
        <xdr:cNvPr id="227" name="CustomShape 1"/>
        <xdr:cNvSpPr/>
      </xdr:nvSpPr>
      <xdr:spPr>
        <a:xfrm>
          <a:off x="0" y="0"/>
          <a:ext cx="8844120" cy="8206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28"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29"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0"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1"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2"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3"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4"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5"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6"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7"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8"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39"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0"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1"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2"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3"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4"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5"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6"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7"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8"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49"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0"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1"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2"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3"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4"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5"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6"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7"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8"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59"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60"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61"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62"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990000</xdr:colOff>
      <xdr:row>47</xdr:row>
      <xdr:rowOff>142200</xdr:rowOff>
    </xdr:to>
    <xdr:sp>
      <xdr:nvSpPr>
        <xdr:cNvPr id="263" name="CustomShape 1"/>
        <xdr:cNvSpPr/>
      </xdr:nvSpPr>
      <xdr:spPr>
        <a:xfrm>
          <a:off x="0" y="0"/>
          <a:ext cx="1002024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ension_and_family_benefits_coverag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eg_fis_fina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sheetData>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7421875" defaultRowHeight="15" zeroHeight="false" outlineLevelRow="0" outlineLevelCol="0"/>
  <cols>
    <col collapsed="false" customWidth="false" hidden="false" outlineLevel="0" max="46" min="27"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41"/>
    <col collapsed="false" customWidth="false" hidden="false" outlineLevel="0" max="159" min="93" style="1" width="12.71"/>
    <col collapsed="false" customWidth="true" hidden="false" outlineLevel="0" max="303" min="303" style="0" width="13.29"/>
    <col collapsed="false" customWidth="true" hidden="false" outlineLevel="0" max="344" min="344" style="0" width="16.71"/>
    <col collapsed="false" customWidth="true" hidden="false" outlineLevel="0" max="345" min="345" style="0" width="17"/>
    <col collapsed="false" customWidth="true" hidden="false" outlineLevel="0" max="346" min="346" style="0" width="16.71"/>
    <col collapsed="false" customWidth="true" hidden="false" outlineLevel="0" max="347" min="347" style="0" width="18"/>
    <col collapsed="false" customWidth="true" hidden="false" outlineLevel="0" max="348" min="348" style="0" width="16.41"/>
    <col collapsed="false" customWidth="true" hidden="false" outlineLevel="0" max="559" min="559" style="0" width="13.29"/>
    <col collapsed="false" customWidth="true" hidden="false" outlineLevel="0" max="600" min="600" style="0" width="16.71"/>
    <col collapsed="false" customWidth="true" hidden="false" outlineLevel="0" max="601" min="601" style="0" width="17"/>
    <col collapsed="false" customWidth="true" hidden="false" outlineLevel="0" max="602" min="602" style="0" width="16.71"/>
    <col collapsed="false" customWidth="true" hidden="false" outlineLevel="0" max="603" min="603" style="0" width="18"/>
    <col collapsed="false" customWidth="true" hidden="false" outlineLevel="0" max="604" min="604" style="0" width="16.41"/>
    <col collapsed="false" customWidth="true" hidden="false" outlineLevel="0" max="815" min="815" style="0" width="13.29"/>
    <col collapsed="false" customWidth="true" hidden="false" outlineLevel="0" max="856" min="856" style="0" width="16.71"/>
    <col collapsed="false" customWidth="true" hidden="false" outlineLevel="0" max="857" min="857" style="0" width="17"/>
    <col collapsed="false" customWidth="true" hidden="false" outlineLevel="0" max="858" min="858" style="0" width="16.71"/>
    <col collapsed="false" customWidth="true" hidden="false" outlineLevel="0" max="859" min="859" style="0" width="18"/>
    <col collapsed="false" customWidth="true" hidden="false" outlineLevel="0" max="860" min="860" style="0" width="16.41"/>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n">
        <f aca="false">IVA!EY11*IVA!EO10*12/1000</f>
        <v>7918742.05608</v>
      </c>
      <c r="FB11" s="34" t="n">
        <f aca="false">IVA!FA11/IVA!CM4</f>
        <v>0.0300806531601198</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n">
        <f aca="false">IVA!EY12*IVA!EO11*12/1000</f>
        <v>8940623.62536</v>
      </c>
      <c r="FB12" s="34" t="n">
        <f aca="false">IVA!FA12/IVA!CM5</f>
        <v>0.0316225287717549</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n">
        <f aca="false">IVA!EY13*IVA!EO12*12/1000</f>
        <v>12603455.93664</v>
      </c>
      <c r="FB13" s="34" t="n">
        <f aca="false">IVA!FA13/IVA!CM6</f>
        <v>0.0417281131918933</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n">
        <f aca="false">IVA!EY14*IVA!EO13*12/1000</f>
        <v>12525840.0522</v>
      </c>
      <c r="FB14" s="34" t="n">
        <f aca="false">IVA!FA14/IVA!CM7</f>
        <v>0.0423993445900103</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n">
        <f aca="false">IVA!EY15*IVA!EO14*12/1000</f>
        <v>13003299.75696</v>
      </c>
      <c r="FB15" s="34" t="n">
        <f aca="false">IVA!FA15/IVA!CM8</f>
        <v>0.044927451777776</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n">
        <f aca="false">IVA!EY16*IVA!EO15*12/1000</f>
        <v>12994456.91292</v>
      </c>
      <c r="FB16" s="34" t="n">
        <f aca="false">IVA!FA16/IVA!CM9</f>
        <v>0.0452643918699733</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n">
        <f aca="false">IVA!EY17*IVA!EO16*12/1000</f>
        <v>13009029.7236</v>
      </c>
      <c r="FB17" s="34" t="n">
        <f aca="false">IVA!FA17/IVA!CM10</f>
        <v>0.0516102426662321</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n">
        <f aca="false">IVA!EY18*IVA!EO17*12/1000</f>
        <v>13183264.4808</v>
      </c>
      <c r="FB18" s="34" t="n">
        <f aca="false">IVA!FA18/IVA!CM11</f>
        <v>0.0387458834276136</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n">
        <f aca="false">IVA!EY19*IVA!EO18*12/1000</f>
        <v>13622420.71944</v>
      </c>
      <c r="FB19" s="34" t="n">
        <f aca="false">IVA!FA19/IVA!CM12</f>
        <v>0.0341183519931105</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n">
        <f aca="false">IVA!EY20*IVA!EO19*12/1000</f>
        <v>16029781.37064</v>
      </c>
      <c r="FB20" s="34" t="n">
        <f aca="false">IVA!FA20/IVA!CM13</f>
        <v>0.034000045382049</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0.0191634955956939</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n">
        <f aca="false">IVA!EY21*IVA!EO20*12/1000</f>
        <v>18054562.33512</v>
      </c>
      <c r="FB21" s="34" t="n">
        <f aca="false">IVA!FA21/IVA!CM14</f>
        <v>0.0314347106417986</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n">
        <f aca="false">IVA!EY22*IVA!EO21*12/1000</f>
        <v>23666730.02424</v>
      </c>
      <c r="FB22" s="34" t="n">
        <f aca="false">IVA!FA22/IVA!CM15</f>
        <v>0.0336516476769834</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n">
        <f aca="false">IVA!EY23*IVA!EO22*12/1000</f>
        <v>36159494.49648</v>
      </c>
      <c r="FB23" s="34" t="n">
        <f aca="false">IVA!FA23/IVA!CM16</f>
        <v>0.0399060798536073</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n">
        <f aca="false">IVA!EY24*IVA!EO23*12/1000</f>
        <v>44189356.88412</v>
      </c>
      <c r="FB24" s="34" t="n">
        <f aca="false">IVA!FA24/IVA!CM17</f>
        <v>0.0409959225465057</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n">
        <f aca="false">IVA!EY25*IVA!EO24*12/1000</f>
        <v>57438547.17912</v>
      </c>
      <c r="FB25" s="34" t="n">
        <f aca="false">IVA!FA25/IVA!CM18</f>
        <v>0.04689995205072</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v>
      </c>
      <c r="BS26" s="175" t="n">
        <f aca="false">0.64*IVA!AR60</f>
        <v>893400.32</v>
      </c>
      <c r="BT26" s="175" t="n">
        <f aca="false">0.64*IVA!AS60</f>
        <v>964792.32</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n">
        <f aca="false">IVA!EY26*IVA!EO25*12/1000</f>
        <v>75031459.3314</v>
      </c>
      <c r="FB26" s="34" t="n">
        <f aca="false">IVA!FA26/IVA!CM19</f>
        <v>0.0475153796563554</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793892.906666667</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v>
      </c>
      <c r="BS27" s="175" t="n">
        <f aca="false">0.64*IVA!AR61</f>
        <v>1064421.76</v>
      </c>
      <c r="BT27" s="175" t="n">
        <f aca="false">0.64*IVA!AS61</f>
        <v>1548310.4</v>
      </c>
      <c r="BU27" s="176" t="n">
        <f aca="false">0.64*IVA!AT61</f>
        <v>1634649.6</v>
      </c>
      <c r="BV27" s="137" t="n">
        <f aca="false">0.64*IVA!AU61</f>
        <v>5237637.12</v>
      </c>
      <c r="BW27" s="138" t="n">
        <f aca="false">IVA!BR27/IVA!CJ6</f>
        <v>0.00365057642114576</v>
      </c>
      <c r="BX27" s="139" t="n">
        <f aca="false">IVA!BS27/IVA!CK6</f>
        <v>0.00354958064636942</v>
      </c>
      <c r="BY27" s="138" t="n">
        <f aca="false">IVA!BT27/IVA!CL6</f>
        <v>0.00519105642324483</v>
      </c>
      <c r="BZ27" s="138" t="n">
        <f aca="false">IVA!BU27/IVA!CM6</f>
        <v>0.00541207458341522</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n">
        <f aca="false">IVA!EY27*IVA!EO26*12/1000</f>
        <v>104449109.85216</v>
      </c>
      <c r="FB27" s="34" t="n">
        <f aca="false">IVA!FA27/IVA!CM20</f>
        <v>0.0533205556113509</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0.00188061682001598</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n">
        <f aca="false">(IVA!EO27+IVA!EO28)/1000/IVA!EK64</f>
        <v>0.735329986515954</v>
      </c>
      <c r="ES28" s="278" t="n">
        <v>227320</v>
      </c>
      <c r="EU28" s="122" t="s">
        <v>336</v>
      </c>
      <c r="EV28" s="122" t="s">
        <v>352</v>
      </c>
      <c r="EW28" s="122" t="s">
        <v>353</v>
      </c>
      <c r="EX28" s="122" t="s">
        <v>354</v>
      </c>
      <c r="EY28" s="122" t="s">
        <v>355</v>
      </c>
      <c r="FA28" s="182" t="n">
        <f aca="false">IVA!EY28*IVA!EO27*12/1000</f>
        <v>123815767.01688</v>
      </c>
      <c r="FB28" s="34" t="n">
        <f aca="false">IVA!FA28/IVA!CK21</f>
        <v>0.0544685261084183</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0.0727120317255408</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316704.315440253</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n">
        <f aca="false">IVA!EO10/IVA!EK48/1000</f>
        <v>0.476651686894821</v>
      </c>
      <c r="EO32" s="34" t="n">
        <f aca="false">IVA!EO10/IVA!EL47/1000</f>
        <v>0.57808803303723</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n">
        <f aca="false">IVA!EO11/IVA!EK49/1000</f>
        <v>0.512279381619957</v>
      </c>
      <c r="EO33" s="34" t="n">
        <f aca="false">IVA!EO11/IVA!EL48/1000</f>
        <v>0.617055598427904</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n">
        <f aca="false">IVA!EO12/IVA!EK50/1000</f>
        <v>0.65606738012377</v>
      </c>
      <c r="EO34" s="34" t="n">
        <f aca="false">IVA!EO12/IVA!EL49/1000</f>
        <v>0.785662325036171</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850757.774183387</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n">
        <f aca="false">IVA!EO13/IVA!EK51/1000</f>
        <v>0.632159409498163</v>
      </c>
      <c r="EO35" s="34" t="n">
        <f aca="false">IVA!EO13/IVA!EL50/1000</f>
        <v>0.753562350398022</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n">
        <f aca="false">IVA!EO14/IVA!EK52/1000</f>
        <v>0.61036733951161</v>
      </c>
      <c r="EO36" s="34" t="n">
        <f aca="false">IVA!EO14/IVA!EL51/1000</f>
        <v>0.725039297716688</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n">
        <f aca="false">IVA!EO15/IVA!EK53/1000</f>
        <v>0.588714231418723</v>
      </c>
      <c r="EO37" s="34" t="n">
        <f aca="false">IVA!EO15/IVA!EL52/1000</f>
        <v>0.702163823107346</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n">
        <f aca="false">IVA!EO16/IVA!EK54/1000</f>
        <v>0.571759240852674</v>
      </c>
      <c r="EO38" s="34" t="n">
        <f aca="false">IVA!EO16/IVA!EL53/1000</f>
        <v>0.679174157472672</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n">
        <f aca="false">IVA!EO17/IVA!EK55/1000</f>
        <v>0.553219142324055</v>
      </c>
      <c r="EO39" s="34" t="n">
        <f aca="false">IVA!EO17/IVA!EL54/1000</f>
        <v>0.655303555664164</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n">
        <f aca="false">IVA!EO18/IVA!EK56/1000</f>
        <v>0.535669615782233</v>
      </c>
      <c r="EO40" s="34" t="n">
        <f aca="false">IVA!EO18/IVA!EL55/1000</f>
        <v>0.633473298343161</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n">
        <f aca="false">IVA!EO19/IVA!EK57/1000</f>
        <v>0.517377883842438</v>
      </c>
      <c r="EO41" s="34" t="n">
        <f aca="false">IVA!EO19/IVA!EL56/1000</f>
        <v>0.611400672200438</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n">
        <f aca="false">IVA!EO20/IVA!EK58/1000</f>
        <v>0.505714663471964</v>
      </c>
      <c r="EO42" s="34" t="n">
        <f aca="false">IVA!EO20/IVA!EL57/1000</f>
        <v>0.601163932130258</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n">
        <f aca="false">IVA!EO21/IVA!EK59/1000</f>
        <v>0.569463860929437</v>
      </c>
      <c r="EO43" s="34" t="n">
        <f aca="false">IVA!EO21/IVA!EL58/1000</f>
        <v>0.675955004643829</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n">
        <f aca="false">IVA!EO22/IVA!EK60/1000</f>
        <v>0.691795227518429</v>
      </c>
      <c r="EO44" s="34" t="n">
        <f aca="false">IVA!EO22/IVA!EL59/1000</f>
        <v>0.820483580834811</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0.00437367178171983</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0.0265139470001894</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n">
        <f aca="false">IVA!EO23/IVA!EK61/1000</f>
        <v>0.707109734950715</v>
      </c>
      <c r="EO45" s="34" t="n">
        <f aca="false">IVA!EO23/IVA!EL60/1000</f>
        <v>0.838468801852436</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0.0293785704444446</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n">
        <f aca="false">IVA!EO24/IVA!EK62/1000</f>
        <v>0.729163038709131</v>
      </c>
      <c r="EO46" s="34" t="n">
        <f aca="false">IVA!EO24/IVA!EL61/1000</f>
        <v>0.864835004433767</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n">
        <f aca="false">IVA!EO25/IVA!EK63/1000</f>
        <v>0.729701501936809</v>
      </c>
      <c r="EO47" s="34" t="n">
        <f aca="false">IVA!EO25/IVA!EL62/1000</f>
        <v>0.869138656220342</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n">
        <f aca="false">IVA!EO26/IVA!EK64/1000</f>
        <v>0.717469874374024</v>
      </c>
      <c r="EO48" s="34" t="n">
        <f aca="false">IVA!EO26/IVA!EL63/1000</f>
        <v>0.854198975889294</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n">
        <f aca="false">IVA!EO27/IVA!EK65/1000</f>
        <v>0.703829379856442</v>
      </c>
      <c r="EO49" s="34" t="n">
        <f aca="false">IVA!EO27/IVA!EL64/1000</f>
        <v>0.837538590257324</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0.000804112263434415</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0.0172519984846834</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1" t="s">
        <v>86</v>
      </c>
      <c r="EP58" s="1" t="s">
        <v>87</v>
      </c>
      <c r="ER58" s="1" t="s">
        <v>468</v>
      </c>
      <c r="ES58" s="1" t="s">
        <v>87</v>
      </c>
      <c r="ET58" s="1" t="s">
        <v>469</v>
      </c>
      <c r="EU58" s="1" t="s">
        <v>470</v>
      </c>
      <c r="EV58" s="1" t="s">
        <v>471</v>
      </c>
    </row>
    <row r="59" customFormat="false" ht="12.75" hidden="false" customHeight="true" outlineLevel="0" collapsed="false">
      <c r="AA59" s="322" t="n">
        <v>2012</v>
      </c>
      <c r="AB59" s="322" t="s">
        <v>412</v>
      </c>
      <c r="AC59" s="323"/>
      <c r="AD59" s="324"/>
      <c r="AE59" s="325" t="n">
        <v>9501788.48348</v>
      </c>
      <c r="AF59" s="325" t="n">
        <v>8847671.25255</v>
      </c>
      <c r="AG59" s="325" t="n">
        <v>7771491.37557</v>
      </c>
      <c r="AH59" s="325" t="n">
        <v>7467709.60899</v>
      </c>
      <c r="AI59" s="325" t="n">
        <v>14883359.13172</v>
      </c>
      <c r="AJ59" s="325" t="n">
        <v>16034548.37811</v>
      </c>
      <c r="AK59" s="325" t="n">
        <v>10986156.17153</v>
      </c>
      <c r="AL59" s="325" t="n">
        <v>12244326.94666</v>
      </c>
      <c r="AM59" s="325" t="n">
        <v>10832253.51105</v>
      </c>
      <c r="AN59" s="325" t="n">
        <v>12489837.46916</v>
      </c>
      <c r="AO59" s="325" t="n">
        <v>13778126.81524</v>
      </c>
      <c r="AP59" s="325" t="n">
        <v>13602331.89941</v>
      </c>
      <c r="AQ59" s="326" t="n">
        <f aca="false">IVA!AE59+IVA!AF59+IVA!AG59</f>
        <v>26120951.1116</v>
      </c>
      <c r="AR59" s="326" t="n">
        <f aca="false">IVA!AH59+IVA!AI59+IVA!AJ59</f>
        <v>38385617.11882</v>
      </c>
      <c r="AS59" s="326" t="n">
        <f aca="false">IVA!AK59+IVA!AL59+IVA!AM59</f>
        <v>34062736.62924</v>
      </c>
      <c r="AT59" s="326"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7" t="s">
        <v>413</v>
      </c>
      <c r="BC59" s="328"/>
      <c r="BD59" s="328"/>
      <c r="BE59" s="328"/>
      <c r="BF59" s="329" t="n">
        <v>641889.2836</v>
      </c>
      <c r="BG59" s="329" t="n">
        <v>610910.54758</v>
      </c>
      <c r="BH59" s="329" t="n">
        <v>591032.48293</v>
      </c>
      <c r="BI59" s="329" t="n">
        <v>632126.09936</v>
      </c>
      <c r="BJ59" s="329" t="n">
        <v>568730.06131</v>
      </c>
      <c r="BK59" s="329" t="n">
        <v>586723.59941</v>
      </c>
      <c r="BL59" s="329" t="n">
        <v>623666.41741</v>
      </c>
      <c r="BM59" s="329" t="n">
        <v>603912.42305</v>
      </c>
      <c r="BN59" s="329" t="n">
        <v>671507.24419</v>
      </c>
      <c r="BO59" s="329" t="n">
        <v>650555.64673</v>
      </c>
      <c r="BP59" s="329" t="n">
        <v>655033.08274</v>
      </c>
      <c r="BQ59" s="330"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n">
        <f aca="false">IVA!EO59*12*IVA!EY17/1000</f>
        <v>14423611.31556</v>
      </c>
    </row>
    <row r="60" customFormat="false" ht="12.75" hidden="false" customHeight="true" outlineLevel="0" collapsed="false">
      <c r="AA60" s="322" t="n">
        <v>1996</v>
      </c>
      <c r="AB60" s="304" t="s">
        <v>476</v>
      </c>
      <c r="AC60" s="323"/>
      <c r="AD60" s="324"/>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1" t="s">
        <v>477</v>
      </c>
      <c r="BC60" s="332"/>
      <c r="BD60" s="332"/>
      <c r="BE60" s="332"/>
      <c r="BF60" s="333" t="n">
        <v>20240</v>
      </c>
      <c r="BG60" s="333" t="n">
        <v>21859</v>
      </c>
      <c r="BH60" s="333" t="n">
        <v>22029</v>
      </c>
      <c r="BI60" s="333" t="n">
        <v>21950</v>
      </c>
      <c r="BJ60" s="333" t="n">
        <v>20943</v>
      </c>
      <c r="BK60" s="333" t="n">
        <v>22155</v>
      </c>
      <c r="BL60" s="333" t="n">
        <v>20727</v>
      </c>
      <c r="BM60" s="333" t="n">
        <v>20449</v>
      </c>
      <c r="BN60" s="333" t="n">
        <v>18809</v>
      </c>
      <c r="BO60" s="333" t="n">
        <v>20802</v>
      </c>
      <c r="BP60" s="333" t="n">
        <v>20382</v>
      </c>
      <c r="BQ60" s="334"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n">
        <f aca="false">IVA!EO60*12*IVA!EY18/1000</f>
        <v>14780325.312</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v>
      </c>
      <c r="AV61" s="130" t="n">
        <f aca="false">IVA!AQ61/IVA!CJ6</f>
        <v>0.00570402565804026</v>
      </c>
      <c r="AW61" s="130" t="n">
        <f aca="false">IVA!AR61/IVA!CK6</f>
        <v>0.00554621975995222</v>
      </c>
      <c r="AX61" s="130" t="n">
        <f aca="false">IVA!AS61/IVA!CL6</f>
        <v>0.00811102566132005</v>
      </c>
      <c r="AY61" s="130" t="n">
        <f aca="false">IVA!AT61/IVA!CM6</f>
        <v>0.00845636653658628</v>
      </c>
      <c r="AZ61" s="271" t="n">
        <f aca="false">IVA!AU61/IVA!CN6</f>
        <v>0.027944544739858</v>
      </c>
      <c r="BA61" s="266" t="n">
        <v>1997</v>
      </c>
      <c r="BB61" s="331" t="s">
        <v>477</v>
      </c>
      <c r="BC61" s="332"/>
      <c r="BD61" s="332"/>
      <c r="BE61" s="332"/>
      <c r="BF61" s="333" t="n">
        <v>20067</v>
      </c>
      <c r="BG61" s="333" t="n">
        <v>20516</v>
      </c>
      <c r="BH61" s="333" t="n">
        <v>20022</v>
      </c>
      <c r="BI61" s="333" t="n">
        <v>21691</v>
      </c>
      <c r="BJ61" s="333" t="n">
        <v>22525</v>
      </c>
      <c r="BK61" s="333" t="n">
        <v>22532</v>
      </c>
      <c r="BL61" s="333" t="n">
        <v>22322</v>
      </c>
      <c r="BM61" s="333" t="n">
        <v>21171</v>
      </c>
      <c r="BN61" s="333" t="n">
        <v>24045</v>
      </c>
      <c r="BO61" s="333" t="n">
        <v>22397</v>
      </c>
      <c r="BP61" s="333" t="n">
        <v>21207</v>
      </c>
      <c r="BQ61" s="334"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n">
        <f aca="false">IVA!EO61*12*IVA!EY19/1000</f>
        <v>15501733.53924</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1" t="s">
        <v>477</v>
      </c>
      <c r="BC62" s="332"/>
      <c r="BD62" s="332"/>
      <c r="BE62" s="332"/>
      <c r="BF62" s="333" t="n">
        <v>21557</v>
      </c>
      <c r="BG62" s="333" t="n">
        <v>23290</v>
      </c>
      <c r="BH62" s="333" t="n">
        <v>23083</v>
      </c>
      <c r="BI62" s="333" t="n">
        <v>24991</v>
      </c>
      <c r="BJ62" s="333" t="n">
        <v>22524</v>
      </c>
      <c r="BK62" s="333" t="n">
        <v>22859</v>
      </c>
      <c r="BL62" s="333" t="n">
        <v>23803</v>
      </c>
      <c r="BM62" s="333" t="n">
        <v>22833</v>
      </c>
      <c r="BN62" s="333" t="n">
        <v>21637</v>
      </c>
      <c r="BO62" s="333" t="n">
        <v>23634</v>
      </c>
      <c r="BP62" s="333" t="n">
        <v>21032</v>
      </c>
      <c r="BQ62" s="334"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n">
        <f aca="false">IVA!EO62*12*IVA!EY20/1000</f>
        <v>18455673.66624</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1" t="s">
        <v>477</v>
      </c>
      <c r="BC63" s="332"/>
      <c r="BD63" s="332"/>
      <c r="BE63" s="332"/>
      <c r="BF63" s="333" t="n">
        <v>22564</v>
      </c>
      <c r="BG63" s="333" t="n">
        <v>21371</v>
      </c>
      <c r="BH63" s="333" t="n">
        <v>23654</v>
      </c>
      <c r="BI63" s="333" t="n">
        <v>25959</v>
      </c>
      <c r="BJ63" s="333" t="n">
        <v>24124</v>
      </c>
      <c r="BK63" s="333" t="n">
        <v>23113</v>
      </c>
      <c r="BL63" s="333" t="n">
        <v>23390</v>
      </c>
      <c r="BM63" s="333" t="n">
        <v>17592</v>
      </c>
      <c r="BN63" s="333" t="n">
        <v>18045</v>
      </c>
      <c r="BO63" s="333" t="n">
        <v>17909</v>
      </c>
      <c r="BP63" s="333" t="n">
        <v>19597</v>
      </c>
      <c r="BQ63" s="334"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n">
        <f aca="false">IVA!EO63*12*IVA!EY21/1000</f>
        <v>21039531.50448</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1" t="s">
        <v>477</v>
      </c>
      <c r="BC64" s="332"/>
      <c r="BD64" s="332"/>
      <c r="BE64" s="332"/>
      <c r="BF64" s="333" t="n">
        <v>20217</v>
      </c>
      <c r="BG64" s="333" t="n">
        <v>16082</v>
      </c>
      <c r="BH64" s="333" t="n">
        <v>19348</v>
      </c>
      <c r="BI64" s="333" t="n">
        <v>18857</v>
      </c>
      <c r="BJ64" s="333" t="n">
        <v>17747</v>
      </c>
      <c r="BK64" s="333" t="n">
        <v>19203</v>
      </c>
      <c r="BL64" s="333" t="n">
        <v>19988</v>
      </c>
      <c r="BM64" s="333" t="n">
        <v>13435</v>
      </c>
      <c r="BN64" s="333" t="n">
        <v>13542</v>
      </c>
      <c r="BO64" s="333" t="n">
        <v>12054</v>
      </c>
      <c r="BP64" s="333" t="n">
        <v>12216</v>
      </c>
      <c r="BQ64" s="334"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n">
        <f aca="false">IVA!EO64*12*IVA!EY22/1000</f>
        <v>28690072.485</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1" t="s">
        <v>477</v>
      </c>
      <c r="BC65" s="332"/>
      <c r="BD65" s="332"/>
      <c r="BE65" s="332"/>
      <c r="BF65" s="333" t="n">
        <v>12989</v>
      </c>
      <c r="BG65" s="333" t="n">
        <v>11912</v>
      </c>
      <c r="BH65" s="333" t="n">
        <v>10778</v>
      </c>
      <c r="BI65" s="333" t="n">
        <v>13256</v>
      </c>
      <c r="BJ65" s="333" t="n">
        <v>11847</v>
      </c>
      <c r="BK65" s="333" t="n">
        <v>13096</v>
      </c>
      <c r="BL65" s="333" t="n">
        <v>10611</v>
      </c>
      <c r="BM65" s="333" t="n">
        <v>6997</v>
      </c>
      <c r="BN65" s="333" t="n">
        <v>6934</v>
      </c>
      <c r="BO65" s="333" t="n">
        <v>6154</v>
      </c>
      <c r="BP65" s="333" t="n">
        <v>5577</v>
      </c>
      <c r="BQ65" s="334"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5"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n">
        <f aca="false">IVA!EO65*12*IVA!EY23/1000</f>
        <v>45144507.15648</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1" t="s">
        <v>477</v>
      </c>
      <c r="BC66" s="332"/>
      <c r="BD66" s="332"/>
      <c r="BE66" s="332"/>
      <c r="BF66" s="333" t="n">
        <v>4879</v>
      </c>
      <c r="BG66" s="333" t="n">
        <v>6633</v>
      </c>
      <c r="BH66" s="333" t="n">
        <v>5370</v>
      </c>
      <c r="BI66" s="333" t="n">
        <v>5158</v>
      </c>
      <c r="BJ66" s="333" t="n">
        <v>8341</v>
      </c>
      <c r="BK66" s="333" t="n">
        <v>7671</v>
      </c>
      <c r="BL66" s="333" t="n">
        <v>7787</v>
      </c>
      <c r="BM66" s="333" t="n">
        <v>1402</v>
      </c>
      <c r="BN66" s="333" t="n">
        <v>1106</v>
      </c>
      <c r="BO66" s="333" t="n">
        <v>878</v>
      </c>
      <c r="BP66" s="333" t="n">
        <v>751</v>
      </c>
      <c r="BQ66" s="334"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n">
        <f aca="false">IVA!EO66*12*IVA!EY24/1000</f>
        <v>54737000.95248</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0.0077492326790831</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1" t="s">
        <v>477</v>
      </c>
      <c r="BC67" s="332"/>
      <c r="BD67" s="332"/>
      <c r="BE67" s="332"/>
      <c r="BF67" s="333" t="n">
        <v>633</v>
      </c>
      <c r="BG67" s="333" t="n">
        <v>494</v>
      </c>
      <c r="BH67" s="333" t="n">
        <v>449</v>
      </c>
      <c r="BI67" s="333" t="n">
        <v>1624</v>
      </c>
      <c r="BJ67" s="333" t="n">
        <v>1057</v>
      </c>
      <c r="BK67" s="333" t="n">
        <v>694</v>
      </c>
      <c r="BL67" s="333" t="n">
        <v>737</v>
      </c>
      <c r="BM67" s="333" t="n">
        <v>798</v>
      </c>
      <c r="BN67" s="333" t="n">
        <v>704</v>
      </c>
      <c r="BO67" s="333" t="n">
        <v>698</v>
      </c>
      <c r="BP67" s="333" t="n">
        <v>622</v>
      </c>
      <c r="BQ67" s="334"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n">
        <f aca="false">IVA!EO67*12*IVA!EY25/1000</f>
        <v>71370089.27352</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6" t="n">
        <v>2004</v>
      </c>
      <c r="BB68" s="337" t="s">
        <v>477</v>
      </c>
      <c r="BC68" s="338"/>
      <c r="BD68" s="338"/>
      <c r="BE68" s="338"/>
      <c r="BF68" s="333" t="n">
        <v>647</v>
      </c>
      <c r="BG68" s="333" t="n">
        <v>617</v>
      </c>
      <c r="BH68" s="333" t="n">
        <v>604</v>
      </c>
      <c r="BI68" s="333" t="n">
        <v>560</v>
      </c>
      <c r="BJ68" s="333" t="n">
        <v>4027</v>
      </c>
      <c r="BK68" s="333" t="n">
        <v>547</v>
      </c>
      <c r="BL68" s="333" t="n">
        <v>1464</v>
      </c>
      <c r="BM68" s="333" t="n">
        <v>699</v>
      </c>
      <c r="BN68" s="333" t="n">
        <v>655</v>
      </c>
      <c r="BO68" s="333" t="n">
        <v>1276</v>
      </c>
      <c r="BP68" s="333" t="n">
        <v>538</v>
      </c>
      <c r="BQ68" s="334"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39"/>
      <c r="BX68" s="340"/>
      <c r="BY68" s="339"/>
      <c r="BZ68" s="339"/>
      <c r="CA68" s="341"/>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n">
        <f aca="false">IVA!EO68*12*IVA!EY26/1000</f>
        <v>93500660.07216</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2" t="s">
        <v>523</v>
      </c>
      <c r="BC69" s="343"/>
      <c r="BD69" s="343"/>
      <c r="BE69" s="343"/>
      <c r="BF69" s="344" t="n">
        <v>0</v>
      </c>
      <c r="BG69" s="344" t="n">
        <v>0</v>
      </c>
      <c r="BH69" s="344" t="n">
        <v>0</v>
      </c>
      <c r="BI69" s="344" t="n">
        <v>0</v>
      </c>
      <c r="BJ69" s="344" t="n">
        <v>0</v>
      </c>
      <c r="BK69" s="344" t="n">
        <v>0</v>
      </c>
      <c r="BL69" s="344" t="n">
        <v>0</v>
      </c>
      <c r="BM69" s="344" t="n">
        <v>0</v>
      </c>
      <c r="BN69" s="344" t="n">
        <v>0</v>
      </c>
      <c r="BO69" s="344" t="n">
        <v>0</v>
      </c>
      <c r="BP69" s="344" t="n">
        <v>0</v>
      </c>
      <c r="BQ69" s="345"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n">
        <f aca="false">IVA!EO69*12*IVA!EY27/1000</f>
        <v>130429955.2896</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2" t="s">
        <v>523</v>
      </c>
      <c r="BC70" s="343"/>
      <c r="BD70" s="343"/>
      <c r="BE70" s="343"/>
      <c r="BF70" s="344" t="n">
        <v>0</v>
      </c>
      <c r="BG70" s="344" t="n">
        <v>367</v>
      </c>
      <c r="BH70" s="344" t="n">
        <v>0</v>
      </c>
      <c r="BI70" s="344" t="n">
        <v>890</v>
      </c>
      <c r="BJ70" s="344" t="n">
        <v>275</v>
      </c>
      <c r="BK70" s="344" t="n">
        <v>181</v>
      </c>
      <c r="BL70" s="344" t="n">
        <v>12</v>
      </c>
      <c r="BM70" s="344" t="n">
        <v>7341</v>
      </c>
      <c r="BN70" s="344" t="n">
        <v>10508</v>
      </c>
      <c r="BO70" s="344" t="n">
        <v>2666</v>
      </c>
      <c r="BP70" s="344" t="n">
        <v>27361</v>
      </c>
      <c r="BQ70" s="345"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n">
        <f aca="false">IVA!EO70*12*IVA!EY28/1000</f>
        <v>154802543.2668</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2" t="s">
        <v>523</v>
      </c>
      <c r="BC71" s="343"/>
      <c r="BD71" s="343"/>
      <c r="BE71" s="343"/>
      <c r="BF71" s="344" t="n">
        <v>34102</v>
      </c>
      <c r="BG71" s="344" t="n">
        <v>5532</v>
      </c>
      <c r="BH71" s="344" t="n">
        <v>10516</v>
      </c>
      <c r="BI71" s="344" t="n">
        <v>17736</v>
      </c>
      <c r="BJ71" s="344" t="n">
        <v>11122</v>
      </c>
      <c r="BK71" s="344" t="n">
        <v>21058</v>
      </c>
      <c r="BL71" s="344" t="n">
        <v>15107</v>
      </c>
      <c r="BM71" s="344" t="n">
        <v>26181</v>
      </c>
      <c r="BN71" s="344" t="n">
        <v>11836</v>
      </c>
      <c r="BO71" s="344" t="n">
        <v>13671</v>
      </c>
      <c r="BP71" s="344" t="n">
        <v>9453</v>
      </c>
      <c r="BQ71" s="345"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2" t="s">
        <v>523</v>
      </c>
      <c r="BC72" s="343"/>
      <c r="BD72" s="343"/>
      <c r="BE72" s="343"/>
      <c r="BF72" s="344" t="n">
        <v>12527</v>
      </c>
      <c r="BG72" s="344" t="n">
        <v>8457</v>
      </c>
      <c r="BH72" s="344" t="n">
        <v>8698</v>
      </c>
      <c r="BI72" s="344" t="n">
        <v>10980</v>
      </c>
      <c r="BJ72" s="344" t="n">
        <v>8360</v>
      </c>
      <c r="BK72" s="344" t="n">
        <v>6572</v>
      </c>
      <c r="BL72" s="344" t="n">
        <v>12412</v>
      </c>
      <c r="BM72" s="344" t="n">
        <v>13665</v>
      </c>
      <c r="BN72" s="344" t="n">
        <v>4782</v>
      </c>
      <c r="BO72" s="344" t="n">
        <v>5790</v>
      </c>
      <c r="BP72" s="344" t="n">
        <v>5922</v>
      </c>
      <c r="BQ72" s="345"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0.0110117678219308</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2" t="s">
        <v>523</v>
      </c>
      <c r="BC73" s="343"/>
      <c r="BD73" s="343"/>
      <c r="BE73" s="343"/>
      <c r="BF73" s="344" t="n">
        <v>486</v>
      </c>
      <c r="BG73" s="344" t="n">
        <v>1521</v>
      </c>
      <c r="BH73" s="344" t="n">
        <v>1775</v>
      </c>
      <c r="BI73" s="344" t="n">
        <v>1437</v>
      </c>
      <c r="BJ73" s="344" t="n">
        <v>1587</v>
      </c>
      <c r="BK73" s="344" t="n">
        <v>1646</v>
      </c>
      <c r="BL73" s="344" t="n">
        <v>1767</v>
      </c>
      <c r="BM73" s="344" t="n">
        <v>1277</v>
      </c>
      <c r="BN73" s="344" t="n">
        <v>1050</v>
      </c>
      <c r="BO73" s="344" t="n">
        <v>1056</v>
      </c>
      <c r="BP73" s="344" t="n">
        <v>992</v>
      </c>
      <c r="BQ73" s="345"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n">
        <f aca="false">IVA!DK42*1000/IVA!EY11/12</f>
        <v>4503342.55456366</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2" t="s">
        <v>523</v>
      </c>
      <c r="BC74" s="343"/>
      <c r="BD74" s="343"/>
      <c r="BE74" s="343"/>
      <c r="BF74" s="344" t="n">
        <v>1731</v>
      </c>
      <c r="BG74" s="344" t="n">
        <v>485</v>
      </c>
      <c r="BH74" s="344" t="n">
        <v>1312</v>
      </c>
      <c r="BI74" s="344" t="n">
        <v>3561</v>
      </c>
      <c r="BJ74" s="344" t="n">
        <v>1767</v>
      </c>
      <c r="BK74" s="344" t="n">
        <v>754</v>
      </c>
      <c r="BL74" s="344" t="n">
        <v>70</v>
      </c>
      <c r="BM74" s="344" t="n">
        <v>0</v>
      </c>
      <c r="BN74" s="344" t="n">
        <v>0</v>
      </c>
      <c r="BO74" s="344" t="n">
        <v>0</v>
      </c>
      <c r="BP74" s="344" t="n">
        <v>0</v>
      </c>
      <c r="BQ74" s="345"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0.00981097298385279</v>
      </c>
      <c r="AX75" s="130" t="n">
        <f aca="false">IVA!AS75/IVA!CL20</f>
        <v>0.0142390278528702</v>
      </c>
      <c r="AY75" s="130" t="n">
        <f aca="false">IVA!AT75/IVA!CM20</f>
        <v>0.0173306662609212</v>
      </c>
      <c r="AZ75" s="271" t="n">
        <f aca="false">IVA!AU75/IVA!CN20</f>
        <v>0.0541270564125026</v>
      </c>
      <c r="BA75" s="266" t="n">
        <v>2002</v>
      </c>
      <c r="BB75" s="342" t="s">
        <v>523</v>
      </c>
      <c r="BC75" s="343"/>
      <c r="BD75" s="343"/>
      <c r="BE75" s="343"/>
      <c r="BF75" s="344" t="n">
        <v>0</v>
      </c>
      <c r="BG75" s="344" t="n">
        <v>0</v>
      </c>
      <c r="BH75" s="344" t="n">
        <v>0</v>
      </c>
      <c r="BI75" s="344" t="n">
        <v>0</v>
      </c>
      <c r="BJ75" s="344" t="n">
        <v>0</v>
      </c>
      <c r="BK75" s="344" t="n">
        <v>0</v>
      </c>
      <c r="BL75" s="344" t="n">
        <v>0</v>
      </c>
      <c r="BM75" s="344" t="n">
        <v>0</v>
      </c>
      <c r="BN75" s="344" t="n">
        <v>0</v>
      </c>
      <c r="BO75" s="344" t="n">
        <v>0</v>
      </c>
      <c r="BP75" s="344" t="n">
        <v>0</v>
      </c>
      <c r="BQ75" s="345"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2" t="n">
        <v>2012</v>
      </c>
      <c r="AB76" s="322" t="s">
        <v>476</v>
      </c>
      <c r="AC76" s="323"/>
      <c r="AD76" s="324"/>
      <c r="AE76" s="325" t="n">
        <f aca="false">IVA!AE59-580000/12</f>
        <v>9453455.15014667</v>
      </c>
      <c r="AF76" s="325" t="n">
        <f aca="false">IVA!AF59-580000/12</f>
        <v>8799337.91921667</v>
      </c>
      <c r="AG76" s="325" t="n">
        <f aca="false">IVA!AG59-580000/12</f>
        <v>7723158.04223667</v>
      </c>
      <c r="AH76" s="325" t="n">
        <f aca="false">IVA!AH59-580000/12</f>
        <v>7419376.27565667</v>
      </c>
      <c r="AI76" s="325" t="n">
        <f aca="false">IVA!AI59-580000/12</f>
        <v>14835025.7983867</v>
      </c>
      <c r="AJ76" s="325" t="n">
        <f aca="false">IVA!AJ59-580000/12</f>
        <v>15986215.0447767</v>
      </c>
      <c r="AK76" s="325" t="n">
        <f aca="false">IVA!AK59-580000/12</f>
        <v>10937822.8381967</v>
      </c>
      <c r="AL76" s="325" t="n">
        <f aca="false">IVA!AL59-580000/12</f>
        <v>12195993.6133267</v>
      </c>
      <c r="AM76" s="325" t="n">
        <f aca="false">IVA!AM59-580000/12</f>
        <v>10783920.1777167</v>
      </c>
      <c r="AN76" s="325" t="n">
        <f aca="false">IVA!AN59-580000/12</f>
        <v>12441504.1358267</v>
      </c>
      <c r="AO76" s="325" t="n">
        <f aca="false">IVA!AO59-580000/12</f>
        <v>13729793.4819067</v>
      </c>
      <c r="AP76" s="325" t="n">
        <f aca="false">IVA!AP59-580000/12</f>
        <v>13553998.5660767</v>
      </c>
      <c r="AQ76" s="326" t="n">
        <f aca="false">IVA!AE76+IVA!AF76+IVA!AG76</f>
        <v>25975951.1116</v>
      </c>
      <c r="AR76" s="326" t="n">
        <f aca="false">IVA!AF76+IVA!AG76+IVA!AH76</f>
        <v>23941872.23711</v>
      </c>
      <c r="AS76" s="326" t="n">
        <f aca="false">IVA!AG76+IVA!AH76+IVA!AI76</f>
        <v>29977560.11628</v>
      </c>
      <c r="AT76" s="326"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2" t="s">
        <v>523</v>
      </c>
      <c r="BC76" s="343"/>
      <c r="BD76" s="343"/>
      <c r="BE76" s="343"/>
      <c r="BF76" s="344" t="n">
        <v>0</v>
      </c>
      <c r="BG76" s="344" t="n">
        <v>8</v>
      </c>
      <c r="BH76" s="344" t="n">
        <v>0</v>
      </c>
      <c r="BI76" s="344" t="n">
        <v>2</v>
      </c>
      <c r="BJ76" s="344" t="n">
        <v>8</v>
      </c>
      <c r="BK76" s="344" t="n">
        <v>0</v>
      </c>
      <c r="BL76" s="344" t="n">
        <v>0</v>
      </c>
      <c r="BM76" s="344" t="n">
        <v>0</v>
      </c>
      <c r="BN76" s="344" t="n">
        <v>0</v>
      </c>
      <c r="BO76" s="344" t="n">
        <v>0</v>
      </c>
      <c r="BP76" s="344" t="n">
        <v>1</v>
      </c>
      <c r="BQ76" s="345"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681301.4</v>
      </c>
      <c r="AU77" s="129" t="n">
        <f aca="false">IVA!AQ77+IVA!AR77+IVA!AS77+IVA!AT77</f>
        <v>2684325.2</v>
      </c>
      <c r="AV77" s="251"/>
      <c r="AW77" s="252"/>
      <c r="AX77" s="252"/>
      <c r="AY77" s="252"/>
      <c r="AZ77" s="296"/>
      <c r="BA77" s="346" t="n">
        <v>2004</v>
      </c>
      <c r="BB77" s="347" t="s">
        <v>523</v>
      </c>
      <c r="BC77" s="348"/>
      <c r="BD77" s="348"/>
      <c r="BE77" s="348"/>
      <c r="BF77" s="344" t="n">
        <v>6</v>
      </c>
      <c r="BG77" s="344" t="n">
        <v>0</v>
      </c>
      <c r="BH77" s="344" t="n">
        <v>1</v>
      </c>
      <c r="BI77" s="344" t="n">
        <v>12</v>
      </c>
      <c r="BJ77" s="344" t="n">
        <v>0</v>
      </c>
      <c r="BK77" s="344" t="n">
        <v>0</v>
      </c>
      <c r="BL77" s="344" t="n">
        <v>0</v>
      </c>
      <c r="BM77" s="344" t="n">
        <v>16</v>
      </c>
      <c r="BN77" s="344" t="n">
        <v>0</v>
      </c>
      <c r="BO77" s="344" t="n">
        <v>0</v>
      </c>
      <c r="BP77" s="344" t="n">
        <v>0</v>
      </c>
      <c r="BQ77" s="345"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49"/>
      <c r="BX77" s="350"/>
      <c r="BY77" s="349"/>
      <c r="BZ77" s="349"/>
      <c r="CA77" s="351"/>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368091.533333333</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v>
      </c>
      <c r="AS78" s="128" t="n">
        <f aca="false">IVA!AK78+IVA!AL78+IVA!AM78</f>
        <v>698371.6</v>
      </c>
      <c r="AT78" s="128" t="n">
        <f aca="false">IVA!AN78+IVA!AO78+IVA!AP78</f>
        <v>752101.6</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2" t="s">
        <v>541</v>
      </c>
      <c r="BC78" s="353"/>
      <c r="BD78" s="353"/>
      <c r="BE78" s="353"/>
      <c r="BF78" s="354" t="n">
        <v>58487</v>
      </c>
      <c r="BG78" s="354" t="n">
        <v>4856</v>
      </c>
      <c r="BH78" s="354" t="n">
        <v>52165</v>
      </c>
      <c r="BI78" s="354" t="n">
        <v>52786</v>
      </c>
      <c r="BJ78" s="354" t="n">
        <v>34051</v>
      </c>
      <c r="BK78" s="354" t="n">
        <v>23584</v>
      </c>
      <c r="BL78" s="354" t="n">
        <v>1299</v>
      </c>
      <c r="BM78" s="354" t="n">
        <v>1159</v>
      </c>
      <c r="BN78" s="354" t="n">
        <v>15876</v>
      </c>
      <c r="BO78" s="354" t="n">
        <v>12125</v>
      </c>
      <c r="BP78" s="354" t="n">
        <v>12383</v>
      </c>
      <c r="BQ78" s="355"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716197.4</v>
      </c>
      <c r="AR79" s="128" t="n">
        <f aca="false">IVA!AH79+IVA!AI79+IVA!AJ79</f>
        <v>962753.6</v>
      </c>
      <c r="AS79" s="128" t="n">
        <f aca="false">IVA!AK79+IVA!AL79+IVA!AM79</f>
        <v>744870</v>
      </c>
      <c r="AT79" s="128" t="n">
        <f aca="false">IVA!AN79+IVA!AO79+IVA!AP79</f>
        <v>796156.2</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2" t="s">
        <v>541</v>
      </c>
      <c r="BC79" s="353"/>
      <c r="BD79" s="353"/>
      <c r="BE79" s="353"/>
      <c r="BF79" s="354" t="n">
        <v>23780</v>
      </c>
      <c r="BG79" s="354" t="n">
        <v>19569</v>
      </c>
      <c r="BH79" s="354" t="n">
        <v>18950</v>
      </c>
      <c r="BI79" s="354" t="n">
        <v>22080</v>
      </c>
      <c r="BJ79" s="354" t="n">
        <v>21080</v>
      </c>
      <c r="BK79" s="354" t="n">
        <v>19921</v>
      </c>
      <c r="BL79" s="354" t="n">
        <v>20442</v>
      </c>
      <c r="BM79" s="354" t="n">
        <v>15175</v>
      </c>
      <c r="BN79" s="354" t="n">
        <v>19066</v>
      </c>
      <c r="BO79" s="354" t="n">
        <v>16436</v>
      </c>
      <c r="BP79" s="354" t="n">
        <v>16608</v>
      </c>
      <c r="BQ79" s="355"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0.0851553313842111</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735459</v>
      </c>
      <c r="AR80" s="128" t="n">
        <f aca="false">IVA!AH80+IVA!AI80+IVA!AJ80</f>
        <v>855339.2</v>
      </c>
      <c r="AS80" s="128" t="n">
        <f aca="false">IVA!AK80+IVA!AL80+IVA!AM80</f>
        <v>781035</v>
      </c>
      <c r="AT80" s="128" t="n">
        <f aca="false">IVA!AN80+IVA!AO80+IVA!AP80</f>
        <v>800160.2</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2" t="s">
        <v>541</v>
      </c>
      <c r="BC80" s="353"/>
      <c r="BD80" s="353"/>
      <c r="BE80" s="353"/>
      <c r="BF80" s="354" t="n">
        <v>16425</v>
      </c>
      <c r="BG80" s="354" t="n">
        <v>10297</v>
      </c>
      <c r="BH80" s="354" t="n">
        <v>16841</v>
      </c>
      <c r="BI80" s="354" t="n">
        <v>14872</v>
      </c>
      <c r="BJ80" s="354" t="n">
        <v>14450</v>
      </c>
      <c r="BK80" s="354" t="n">
        <v>16321</v>
      </c>
      <c r="BL80" s="354" t="n">
        <v>15914</v>
      </c>
      <c r="BM80" s="354" t="n">
        <v>16013</v>
      </c>
      <c r="BN80" s="354" t="n">
        <v>14260</v>
      </c>
      <c r="BO80" s="354" t="n">
        <v>12559</v>
      </c>
      <c r="BP80" s="354" t="n">
        <v>12774</v>
      </c>
      <c r="BQ80" s="355"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759380.277896</v>
      </c>
      <c r="AR81" s="128" t="n">
        <f aca="false">IVA!AH81+IVA!AI81+IVA!AJ81</f>
        <v>995955.44956</v>
      </c>
      <c r="AS81" s="128" t="n">
        <f aca="false">IVA!AK81+IVA!AL81+IVA!AM81</f>
        <v>817924.61956</v>
      </c>
      <c r="AT81" s="128" t="n">
        <f aca="false">IVA!AN81+IVA!AO81+IVA!AP81</f>
        <v>841768.593884</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2" t="s">
        <v>541</v>
      </c>
      <c r="BC81" s="353"/>
      <c r="BD81" s="353"/>
      <c r="BE81" s="353"/>
      <c r="BF81" s="354" t="n">
        <v>15128</v>
      </c>
      <c r="BG81" s="354" t="n">
        <v>9897</v>
      </c>
      <c r="BH81" s="354" t="n">
        <v>11520</v>
      </c>
      <c r="BI81" s="354" t="n">
        <v>12684</v>
      </c>
      <c r="BJ81" s="354" t="n">
        <v>10940</v>
      </c>
      <c r="BK81" s="354" t="n">
        <v>10707</v>
      </c>
      <c r="BL81" s="354" t="n">
        <v>12579</v>
      </c>
      <c r="BM81" s="354" t="n">
        <v>11494</v>
      </c>
      <c r="BN81" s="354" t="n">
        <v>11806</v>
      </c>
      <c r="BO81" s="354" t="n">
        <v>12080</v>
      </c>
      <c r="BP81" s="354" t="n">
        <v>13577</v>
      </c>
      <c r="BQ81" s="355"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791120.997864</v>
      </c>
      <c r="AR82" s="128" t="n">
        <f aca="false">IVA!AH82+IVA!AI82+IVA!AJ82</f>
        <v>1027238.20362</v>
      </c>
      <c r="AS82" s="128" t="n">
        <f aca="false">IVA!AK82+IVA!AL82+IVA!AM82</f>
        <v>775486.42645</v>
      </c>
      <c r="AT82" s="128" t="n">
        <f aca="false">IVA!AN82+IVA!AO82+IVA!AP82</f>
        <v>748410.315328</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2" t="s">
        <v>541</v>
      </c>
      <c r="BC82" s="353"/>
      <c r="BD82" s="353"/>
      <c r="BE82" s="353"/>
      <c r="BF82" s="354" t="n">
        <v>15567.83505</v>
      </c>
      <c r="BG82" s="354" t="n">
        <v>27589.54805</v>
      </c>
      <c r="BH82" s="354" t="n">
        <v>32170.56204</v>
      </c>
      <c r="BI82" s="354" t="n">
        <v>29235.726</v>
      </c>
      <c r="BJ82" s="354" t="n">
        <v>23850.1727</v>
      </c>
      <c r="BK82" s="354" t="n">
        <v>23720.28558</v>
      </c>
      <c r="BL82" s="354" t="n">
        <v>28862.4615</v>
      </c>
      <c r="BM82" s="354" t="n">
        <v>26999.7961</v>
      </c>
      <c r="BN82" s="354" t="n">
        <v>22716.0823</v>
      </c>
      <c r="BO82" s="354" t="n">
        <v>23737.3146</v>
      </c>
      <c r="BP82" s="354" t="n">
        <v>24973.2428</v>
      </c>
      <c r="BQ82" s="355"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645343.641528</v>
      </c>
      <c r="AR83" s="128" t="n">
        <f aca="false">IVA!AH83+IVA!AI83+IVA!AJ83</f>
        <v>762778.152202</v>
      </c>
      <c r="AS83" s="128" t="n">
        <f aca="false">IVA!AK83+IVA!AL83+IVA!AM83</f>
        <v>789219.681552</v>
      </c>
      <c r="AT83" s="128" t="n">
        <f aca="false">IVA!AN83+IVA!AO83+IVA!AP83</f>
        <v>910526.292946</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2" t="s">
        <v>541</v>
      </c>
      <c r="BC83" s="353"/>
      <c r="BD83" s="353"/>
      <c r="BE83" s="353"/>
      <c r="BF83" s="354" t="n">
        <v>36296.00511</v>
      </c>
      <c r="BG83" s="354" t="n">
        <v>24737.52235</v>
      </c>
      <c r="BH83" s="354" t="n">
        <v>28615.11163</v>
      </c>
      <c r="BI83" s="354" t="n">
        <v>28815.71313</v>
      </c>
      <c r="BJ83" s="354" t="n">
        <v>23280.40793</v>
      </c>
      <c r="BK83" s="354" t="n">
        <v>22249.28108</v>
      </c>
      <c r="BL83" s="354" t="n">
        <v>19922.82467</v>
      </c>
      <c r="BM83" s="354" t="n">
        <v>22444.75819</v>
      </c>
      <c r="BN83" s="354" t="n">
        <v>22884.63931</v>
      </c>
      <c r="BO83" s="354" t="n">
        <v>20255.10225</v>
      </c>
      <c r="BP83" s="354" t="n">
        <v>23390.86257</v>
      </c>
      <c r="BQ83" s="355"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867360.861658</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2" t="s">
        <v>541</v>
      </c>
      <c r="BC84" s="353"/>
      <c r="BD84" s="353"/>
      <c r="BE84" s="353"/>
      <c r="BF84" s="354" t="n">
        <v>25510.00096</v>
      </c>
      <c r="BG84" s="354" t="n">
        <v>21536.12736</v>
      </c>
      <c r="BH84" s="354" t="n">
        <v>19589.34267</v>
      </c>
      <c r="BI84" s="354" t="n">
        <v>17750.4956</v>
      </c>
      <c r="BJ84" s="354" t="n">
        <v>27561.91767</v>
      </c>
      <c r="BK84" s="354" t="n">
        <v>20774.58782</v>
      </c>
      <c r="BL84" s="354" t="n">
        <v>19604.77933</v>
      </c>
      <c r="BM84" s="354" t="n">
        <v>24290.0798</v>
      </c>
      <c r="BN84" s="354" t="n">
        <v>24460.84757</v>
      </c>
      <c r="BO84" s="354" t="n">
        <v>25470.35695</v>
      </c>
      <c r="BP84" s="354" t="n">
        <v>27949.01026</v>
      </c>
      <c r="BQ84" s="355"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2" t="s">
        <v>541</v>
      </c>
      <c r="BC85" s="353"/>
      <c r="BD85" s="353"/>
      <c r="BE85" s="353"/>
      <c r="BF85" s="354" t="n">
        <v>39112.00167</v>
      </c>
      <c r="BG85" s="354" t="n">
        <v>33053.97188</v>
      </c>
      <c r="BH85" s="354" t="n">
        <v>24445.93673</v>
      </c>
      <c r="BI85" s="354" t="n">
        <v>26494.46527</v>
      </c>
      <c r="BJ85" s="354" t="n">
        <v>31828.41593</v>
      </c>
      <c r="BK85" s="354" t="n">
        <v>31737.09312</v>
      </c>
      <c r="BL85" s="354" t="n">
        <v>36671.65635</v>
      </c>
      <c r="BM85" s="354" t="n">
        <v>41079.14751</v>
      </c>
      <c r="BN85" s="354" t="n">
        <v>41343.46902</v>
      </c>
      <c r="BO85" s="354" t="n">
        <v>45029.29683</v>
      </c>
      <c r="BP85" s="354" t="n">
        <v>51677.31733</v>
      </c>
      <c r="BQ85" s="355"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0.000295122556313806</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2" t="s">
        <v>541</v>
      </c>
      <c r="BC86" s="353"/>
      <c r="BD86" s="353"/>
      <c r="BE86" s="353"/>
      <c r="BF86" s="354" t="n">
        <v>51800.78808</v>
      </c>
      <c r="BG86" s="354" t="n">
        <v>54021.46062</v>
      </c>
      <c r="BH86" s="354" t="n">
        <v>51569.3711</v>
      </c>
      <c r="BI86" s="354" t="n">
        <v>60513.05023</v>
      </c>
      <c r="BJ86" s="354" t="n">
        <v>54964.13187</v>
      </c>
      <c r="BK86" s="354" t="n">
        <v>54658.71604</v>
      </c>
      <c r="BL86" s="354" t="n">
        <v>60844.7277</v>
      </c>
      <c r="BM86" s="354" t="n">
        <v>61940.17736</v>
      </c>
      <c r="BN86" s="354" t="n">
        <v>68110.59253</v>
      </c>
      <c r="BO86" s="354" t="n">
        <v>66852.39386</v>
      </c>
      <c r="BP86" s="354" t="n">
        <v>70272.30562</v>
      </c>
      <c r="BQ86" s="355"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2" t="s">
        <v>541</v>
      </c>
      <c r="BC87" s="353"/>
      <c r="BD87" s="353"/>
      <c r="BE87" s="353"/>
      <c r="BF87" s="354" t="n">
        <f aca="false">(85571.35118)*0.9833</f>
        <v>84142.309615294</v>
      </c>
      <c r="BG87" s="354" t="n">
        <v>63193.94670803</v>
      </c>
      <c r="BH87" s="354" t="n">
        <v>61005.74481188</v>
      </c>
      <c r="BI87" s="354" t="n">
        <v>72480.478362342</v>
      </c>
      <c r="BJ87" s="354" t="n">
        <v>68713.190404181</v>
      </c>
      <c r="BK87" s="354" t="n">
        <v>74561.540706631</v>
      </c>
      <c r="BL87" s="354" t="n">
        <v>78541.49792942</v>
      </c>
      <c r="BM87" s="354" t="n">
        <v>78432.729845932</v>
      </c>
      <c r="BN87" s="354" t="n">
        <v>90592.760073544</v>
      </c>
      <c r="BO87" s="354" t="n">
        <v>82789.803563011</v>
      </c>
      <c r="BP87" s="354" t="n">
        <v>93127.74849682</v>
      </c>
      <c r="BQ87" s="355"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2912381.320102</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2" t="s">
        <v>541</v>
      </c>
      <c r="BC88" s="353"/>
      <c r="BD88" s="353"/>
      <c r="BE88" s="353"/>
      <c r="BF88" s="354" t="n">
        <v>104062.07311085</v>
      </c>
      <c r="BG88" s="354" t="n">
        <v>92833.379303275</v>
      </c>
      <c r="BH88" s="354" t="n">
        <v>102536.947809432</v>
      </c>
      <c r="BI88" s="354" t="n">
        <v>114834.380740834</v>
      </c>
      <c r="BJ88" s="354" t="n">
        <v>115547.507816882</v>
      </c>
      <c r="BK88" s="354" t="n">
        <v>121526.655348044</v>
      </c>
      <c r="BL88" s="354" t="n">
        <v>113264.070414997</v>
      </c>
      <c r="BM88" s="354" t="n">
        <v>116322.493047139</v>
      </c>
      <c r="BN88" s="354" t="n">
        <v>113227.50808594</v>
      </c>
      <c r="BO88" s="354" t="n">
        <v>115055.486139315</v>
      </c>
      <c r="BP88" s="354" t="n">
        <v>124456.204027276</v>
      </c>
      <c r="BQ88" s="355"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3325311.67547</v>
      </c>
      <c r="AS89" s="128" t="n">
        <f aca="false">IVA!AK89+IVA!AL89+IVA!AM89</f>
        <v>3170750.10642</v>
      </c>
      <c r="AT89" s="128" t="n">
        <f aca="false">IVA!AN89+IVA!AO89+IVA!AP89</f>
        <v>3067567.28578</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2" t="s">
        <v>541</v>
      </c>
      <c r="BC89" s="353"/>
      <c r="BD89" s="353"/>
      <c r="BE89" s="353"/>
      <c r="BF89" s="354" t="n">
        <v>137941.799057298</v>
      </c>
      <c r="BG89" s="354" t="n">
        <v>132423.830160432</v>
      </c>
      <c r="BH89" s="354" t="n">
        <v>127661.146235651</v>
      </c>
      <c r="BI89" s="354" t="n">
        <v>115635.594082639</v>
      </c>
      <c r="BJ89" s="354" t="n">
        <v>125261.318493835</v>
      </c>
      <c r="BK89" s="354" t="n">
        <v>128194.491931523</v>
      </c>
      <c r="BL89" s="354" t="n">
        <v>123439.58990194</v>
      </c>
      <c r="BM89" s="354" t="n">
        <v>134554.180958036</v>
      </c>
      <c r="BN89" s="354" t="n">
        <v>154584.231293095</v>
      </c>
      <c r="BO89" s="354" t="n">
        <v>156100.453579987</v>
      </c>
      <c r="BP89" s="354" t="n">
        <v>183503.542550227</v>
      </c>
      <c r="BQ89" s="355"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3512282.6</v>
      </c>
      <c r="AS90" s="128" t="n">
        <f aca="false">IVA!AK90+IVA!AL90+IVA!AM90</f>
        <v>3002108.2</v>
      </c>
      <c r="AT90" s="128" t="n">
        <f aca="false">IVA!AN90+IVA!AO90+IVA!AP90</f>
        <v>3373207</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2" t="s">
        <v>541</v>
      </c>
      <c r="BC90" s="353"/>
      <c r="BD90" s="353"/>
      <c r="BE90" s="353"/>
      <c r="BF90" s="354" t="n">
        <v>176762.79057454</v>
      </c>
      <c r="BG90" s="354" t="n">
        <v>157231.797330218</v>
      </c>
      <c r="BH90" s="354" t="n">
        <v>129382.73878077</v>
      </c>
      <c r="BI90" s="354" t="n">
        <v>183023.543603096</v>
      </c>
      <c r="BJ90" s="354" t="n">
        <v>161762.00973449</v>
      </c>
      <c r="BK90" s="354" t="n">
        <v>146257.500469892</v>
      </c>
      <c r="BL90" s="354" t="n">
        <v>153486.373145887</v>
      </c>
      <c r="BM90" s="354" t="n">
        <v>162960.630025083</v>
      </c>
      <c r="BN90" s="354" t="n">
        <v>161147.562536248</v>
      </c>
      <c r="BO90" s="354" t="n">
        <v>178538.463557695</v>
      </c>
      <c r="BP90" s="354" t="n">
        <v>182317.034185213</v>
      </c>
      <c r="BQ90" s="355"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3123940</v>
      </c>
      <c r="AR91" s="128" t="n">
        <f aca="false">IVA!AH91+IVA!AI91+IVA!AJ91</f>
        <v>5308028.4</v>
      </c>
      <c r="AS91" s="128" t="n">
        <f aca="false">IVA!AK91+IVA!AL91+IVA!AM91</f>
        <v>3935317.4</v>
      </c>
      <c r="AT91" s="128" t="n">
        <f aca="false">IVA!AN91+IVA!AO91+IVA!AP91</f>
        <v>4287039.8</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2" t="s">
        <v>541</v>
      </c>
      <c r="BC91" s="353"/>
      <c r="BD91" s="353"/>
      <c r="BE91" s="353"/>
      <c r="BF91" s="354" t="n">
        <v>197593.1517</v>
      </c>
      <c r="BG91" s="354" t="n">
        <v>195446.6078</v>
      </c>
      <c r="BH91" s="354" t="n">
        <v>168203.298</v>
      </c>
      <c r="BI91" s="354" t="n">
        <v>167909.2913</v>
      </c>
      <c r="BJ91" s="354" t="n">
        <v>178455.1838</v>
      </c>
      <c r="BK91" s="354" t="n">
        <v>148035.815</v>
      </c>
      <c r="BL91" s="354" t="n">
        <v>161064.54</v>
      </c>
      <c r="BM91" s="354" t="n">
        <v>203198.945</v>
      </c>
      <c r="BN91" s="354" t="n">
        <v>207563.8137</v>
      </c>
      <c r="BO91" s="354" t="n">
        <v>196649.1837</v>
      </c>
      <c r="BP91" s="354" t="n">
        <v>227064.6193</v>
      </c>
      <c r="BQ91" s="355"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5955192.8</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0.00304008516030594</v>
      </c>
      <c r="AZ92" s="271" t="n">
        <f aca="false">IVA!AU92/IVA!CN20</f>
        <v>0.0125099342540134</v>
      </c>
      <c r="BA92" s="266" t="n">
        <v>2010</v>
      </c>
      <c r="BB92" s="352" t="s">
        <v>541</v>
      </c>
      <c r="BC92" s="353"/>
      <c r="BD92" s="353"/>
      <c r="BE92" s="353"/>
      <c r="BF92" s="354" t="n">
        <v>317888.1071</v>
      </c>
      <c r="BG92" s="354" t="n">
        <v>336577.6902</v>
      </c>
      <c r="BH92" s="354" t="n">
        <v>351324.2403</v>
      </c>
      <c r="BI92" s="354" t="n">
        <v>384123.1951</v>
      </c>
      <c r="BJ92" s="354" t="n">
        <v>368696.2014</v>
      </c>
      <c r="BK92" s="354" t="n">
        <v>382430.9358</v>
      </c>
      <c r="BL92" s="354" t="n">
        <v>354450.151</v>
      </c>
      <c r="BM92" s="354" t="n">
        <v>327877.4518</v>
      </c>
      <c r="BN92" s="354" t="n">
        <v>359278.154</v>
      </c>
      <c r="BO92" s="354" t="n">
        <v>358442.349</v>
      </c>
      <c r="BP92" s="354" t="n">
        <v>398399.7278</v>
      </c>
      <c r="BQ92" s="355"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2" t="n">
        <v>2012</v>
      </c>
      <c r="AB93" s="322" t="s">
        <v>539</v>
      </c>
      <c r="AC93" s="323"/>
      <c r="AD93" s="324"/>
      <c r="AE93" s="356" t="n">
        <f aca="false">IVA!AE76*0.2+120000</f>
        <v>2010691.03002933</v>
      </c>
      <c r="AF93" s="356" t="n">
        <f aca="false">IVA!AF76*0.2+120000</f>
        <v>1879867.58384333</v>
      </c>
      <c r="AG93" s="356" t="n">
        <f aca="false">IVA!AG76*0.2+120000</f>
        <v>1664631.60844733</v>
      </c>
      <c r="AH93" s="356" t="n">
        <f aca="false">IVA!AH76*0.2+120000</f>
        <v>1603875.25513133</v>
      </c>
      <c r="AI93" s="356" t="n">
        <f aca="false">IVA!AI76*0.2+120000</f>
        <v>3087005.15967733</v>
      </c>
      <c r="AJ93" s="356" t="n">
        <f aca="false">IVA!AJ76*0.2+120000</f>
        <v>3317243.00895533</v>
      </c>
      <c r="AK93" s="356" t="n">
        <f aca="false">IVA!AK76*0.2+120000</f>
        <v>2307564.56763933</v>
      </c>
      <c r="AL93" s="356" t="n">
        <f aca="false">IVA!AL76*0.2+120000</f>
        <v>2559198.72266533</v>
      </c>
      <c r="AM93" s="356" t="n">
        <f aca="false">IVA!AM76*0.2+120000</f>
        <v>2276784.03554333</v>
      </c>
      <c r="AN93" s="356" t="n">
        <f aca="false">IVA!AN76*0.2+120000</f>
        <v>2608300.82716533</v>
      </c>
      <c r="AO93" s="356" t="n">
        <f aca="false">IVA!AO76*0.2+120000</f>
        <v>2865958.69638133</v>
      </c>
      <c r="AP93" s="356"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8305059.236762</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0.00357056748018427</v>
      </c>
      <c r="AZ93" s="296" t="n">
        <f aca="false">IVA!AU93/IVA!CN21</f>
        <v>0.0134050943710118</v>
      </c>
      <c r="BA93" s="266" t="n">
        <v>2011</v>
      </c>
      <c r="BB93" s="352" t="s">
        <v>541</v>
      </c>
      <c r="BC93" s="353"/>
      <c r="BD93" s="353"/>
      <c r="BE93" s="353"/>
      <c r="BF93" s="354" t="n">
        <v>432825.0608</v>
      </c>
      <c r="BG93" s="354" t="n">
        <v>399492.1741</v>
      </c>
      <c r="BH93" s="354" t="n">
        <v>363636.1396</v>
      </c>
      <c r="BI93" s="354" t="n">
        <v>358976.2809</v>
      </c>
      <c r="BJ93" s="354" t="n">
        <v>356066.6962</v>
      </c>
      <c r="BK93" s="354" t="n">
        <v>316642.266</v>
      </c>
      <c r="BL93" s="354" t="n">
        <v>340039.8895</v>
      </c>
      <c r="BM93" s="354" t="n">
        <v>364335.2659</v>
      </c>
      <c r="BN93" s="354" t="n">
        <v>411199.3439</v>
      </c>
      <c r="BO93" s="354" t="n">
        <v>408058.6837</v>
      </c>
      <c r="BP93" s="354" t="n">
        <v>412939.7849</v>
      </c>
      <c r="BQ93" s="355"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7" t="n">
        <v>1996</v>
      </c>
      <c r="AB94" s="357" t="s">
        <v>554</v>
      </c>
      <c r="AC94" s="358"/>
      <c r="AD94" s="359"/>
      <c r="AE94" s="360" t="n">
        <v>0</v>
      </c>
      <c r="AF94" s="360" t="n">
        <v>8433</v>
      </c>
      <c r="AG94" s="360" t="n">
        <v>11945</v>
      </c>
      <c r="AH94" s="360" t="n">
        <v>19490</v>
      </c>
      <c r="AI94" s="360" t="n">
        <v>15466</v>
      </c>
      <c r="AJ94" s="360" t="n">
        <v>12948</v>
      </c>
      <c r="AK94" s="360" t="n">
        <v>18671</v>
      </c>
      <c r="AL94" s="360" t="n">
        <v>15443</v>
      </c>
      <c r="AM94" s="360" t="n">
        <v>11296</v>
      </c>
      <c r="AN94" s="360" t="n">
        <v>21322</v>
      </c>
      <c r="AO94" s="360" t="n">
        <v>11477</v>
      </c>
      <c r="AP94" s="360"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1" t="s">
        <v>541</v>
      </c>
      <c r="BC94" s="362"/>
      <c r="BD94" s="362"/>
      <c r="BE94" s="362"/>
      <c r="BF94" s="363" t="n">
        <v>427607.795151458</v>
      </c>
      <c r="BG94" s="363" t="n">
        <v>367413.910755453</v>
      </c>
      <c r="BH94" s="363" t="n">
        <v>443015.021394564</v>
      </c>
      <c r="BI94" s="363" t="n">
        <v>450728.581038102</v>
      </c>
      <c r="BJ94" s="363" t="n">
        <v>374101.278961154</v>
      </c>
      <c r="BK94" s="363" t="n">
        <v>403739.84317467</v>
      </c>
      <c r="BL94" s="363" t="n">
        <v>368174.159543934</v>
      </c>
      <c r="BM94" s="363" t="n">
        <v>516941.792599368</v>
      </c>
      <c r="BN94" s="363" t="n">
        <v>469449.720329531</v>
      </c>
      <c r="BO94" s="363" t="n">
        <v>505300.673056467</v>
      </c>
      <c r="BP94" s="363" t="n">
        <v>545275.32854563</v>
      </c>
      <c r="BQ94" s="364"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0.0343794447814503</v>
      </c>
      <c r="CM94" s="317" t="n">
        <f aca="false">IVA!CM70+IVA!CM46</f>
        <v>0.033013478426178</v>
      </c>
      <c r="CN94" s="318" t="n">
        <f aca="false">IVA!CN70+IVA!CN46</f>
        <v>0.130690824482684</v>
      </c>
      <c r="CO94" s="64"/>
      <c r="CP94" s="64"/>
      <c r="CQ94" s="365"/>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7" t="n">
        <v>1997</v>
      </c>
      <c r="AB95" s="357" t="s">
        <v>554</v>
      </c>
      <c r="AC95" s="366"/>
      <c r="AD95" s="367"/>
      <c r="AE95" s="368" t="n">
        <v>15177</v>
      </c>
      <c r="AF95" s="368" t="n">
        <v>17878</v>
      </c>
      <c r="AG95" s="368" t="n">
        <v>15752</v>
      </c>
      <c r="AH95" s="368" t="n">
        <v>16384</v>
      </c>
      <c r="AI95" s="368" t="n">
        <v>16281</v>
      </c>
      <c r="AJ95" s="368" t="n">
        <v>16892</v>
      </c>
      <c r="AK95" s="368" t="n">
        <v>13784</v>
      </c>
      <c r="AL95" s="368" t="n">
        <v>13070</v>
      </c>
      <c r="AM95" s="368" t="n">
        <v>20110</v>
      </c>
      <c r="AN95" s="368" t="n">
        <v>15569</v>
      </c>
      <c r="AO95" s="368" t="n">
        <v>13582</v>
      </c>
      <c r="AP95" s="368"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69" t="s">
        <v>556</v>
      </c>
      <c r="BC95" s="370"/>
      <c r="BD95" s="370"/>
      <c r="BE95" s="370"/>
      <c r="BF95" s="371" t="n">
        <v>0</v>
      </c>
      <c r="BG95" s="371" t="n">
        <v>0</v>
      </c>
      <c r="BH95" s="371" t="n">
        <v>0</v>
      </c>
      <c r="BI95" s="371" t="n">
        <v>0</v>
      </c>
      <c r="BJ95" s="371" t="n">
        <v>0</v>
      </c>
      <c r="BK95" s="371" t="n">
        <v>0</v>
      </c>
      <c r="BL95" s="371" t="n">
        <v>0</v>
      </c>
      <c r="BM95" s="371" t="n">
        <v>0</v>
      </c>
      <c r="BN95" s="371" t="n">
        <v>0</v>
      </c>
      <c r="BO95" s="371" t="n">
        <v>0</v>
      </c>
      <c r="BP95" s="371" t="n">
        <v>0</v>
      </c>
      <c r="BQ95" s="372"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7" t="n">
        <v>1998</v>
      </c>
      <c r="AB96" s="357" t="s">
        <v>554</v>
      </c>
      <c r="AC96" s="358"/>
      <c r="AD96" s="359"/>
      <c r="AE96" s="368" t="n">
        <v>17062</v>
      </c>
      <c r="AF96" s="368" t="n">
        <v>13722</v>
      </c>
      <c r="AG96" s="368" t="n">
        <v>19763</v>
      </c>
      <c r="AH96" s="368" t="n">
        <v>15878</v>
      </c>
      <c r="AI96" s="368" t="n">
        <v>12691</v>
      </c>
      <c r="AJ96" s="368" t="n">
        <v>20174</v>
      </c>
      <c r="AK96" s="368" t="n">
        <v>15243</v>
      </c>
      <c r="AL96" s="368" t="n">
        <v>16802</v>
      </c>
      <c r="AM96" s="368" t="n">
        <v>16018</v>
      </c>
      <c r="AN96" s="368" t="n">
        <v>16327</v>
      </c>
      <c r="AO96" s="368" t="n">
        <v>17938</v>
      </c>
      <c r="AP96" s="368"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69" t="s">
        <v>556</v>
      </c>
      <c r="BC96" s="370"/>
      <c r="BD96" s="370"/>
      <c r="BE96" s="370"/>
      <c r="BF96" s="371" t="n">
        <v>0</v>
      </c>
      <c r="BG96" s="371" t="n">
        <v>0</v>
      </c>
      <c r="BH96" s="371" t="n">
        <v>0</v>
      </c>
      <c r="BI96" s="371" t="n">
        <v>0</v>
      </c>
      <c r="BJ96" s="371" t="n">
        <v>0</v>
      </c>
      <c r="BK96" s="371" t="n">
        <v>0</v>
      </c>
      <c r="BL96" s="371" t="n">
        <v>0</v>
      </c>
      <c r="BM96" s="371" t="n">
        <v>0</v>
      </c>
      <c r="BN96" s="371" t="n">
        <v>0</v>
      </c>
      <c r="BO96" s="371" t="n">
        <v>0</v>
      </c>
      <c r="BP96" s="371" t="n">
        <v>0</v>
      </c>
      <c r="BQ96" s="372"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7" t="n">
        <v>1999</v>
      </c>
      <c r="AB97" s="357" t="s">
        <v>554</v>
      </c>
      <c r="AC97" s="358"/>
      <c r="AD97" s="359"/>
      <c r="AE97" s="368" t="n">
        <v>14584</v>
      </c>
      <c r="AF97" s="368" t="n">
        <v>15179</v>
      </c>
      <c r="AG97" s="368" t="n">
        <v>19948</v>
      </c>
      <c r="AH97" s="368" t="n">
        <v>16044</v>
      </c>
      <c r="AI97" s="368" t="n">
        <v>16336</v>
      </c>
      <c r="AJ97" s="368" t="n">
        <v>16191</v>
      </c>
      <c r="AK97" s="368" t="n">
        <v>15289</v>
      </c>
      <c r="AL97" s="368" t="n">
        <v>17010</v>
      </c>
      <c r="AM97" s="368" t="n">
        <v>15596</v>
      </c>
      <c r="AN97" s="368" t="n">
        <v>12955</v>
      </c>
      <c r="AO97" s="368" t="n">
        <v>20791</v>
      </c>
      <c r="AP97" s="368"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69" t="s">
        <v>556</v>
      </c>
      <c r="BC97" s="370"/>
      <c r="BD97" s="370"/>
      <c r="BE97" s="370"/>
      <c r="BF97" s="371" t="n">
        <v>0</v>
      </c>
      <c r="BG97" s="371" t="n">
        <v>0</v>
      </c>
      <c r="BH97" s="371" t="n">
        <v>0</v>
      </c>
      <c r="BI97" s="371" t="n">
        <v>0</v>
      </c>
      <c r="BJ97" s="371" t="n">
        <v>0</v>
      </c>
      <c r="BK97" s="371" t="n">
        <v>0</v>
      </c>
      <c r="BL97" s="371" t="n">
        <v>0</v>
      </c>
      <c r="BM97" s="371" t="n">
        <v>0</v>
      </c>
      <c r="BN97" s="371" t="n">
        <v>0</v>
      </c>
      <c r="BO97" s="371" t="n">
        <v>0</v>
      </c>
      <c r="BP97" s="371" t="n">
        <v>0</v>
      </c>
      <c r="BQ97" s="372"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7" t="n">
        <v>2000</v>
      </c>
      <c r="AB98" s="357" t="s">
        <v>554</v>
      </c>
      <c r="AC98" s="358"/>
      <c r="AD98" s="359"/>
      <c r="AE98" s="368" t="n">
        <v>31046.8391</v>
      </c>
      <c r="AF98" s="368" t="n">
        <v>49270.08454</v>
      </c>
      <c r="AG98" s="368" t="n">
        <v>40197.96808</v>
      </c>
      <c r="AH98" s="368" t="n">
        <v>50831.70567</v>
      </c>
      <c r="AI98" s="368" t="n">
        <v>57176.7896</v>
      </c>
      <c r="AJ98" s="368" t="n">
        <v>47571.9288</v>
      </c>
      <c r="AK98" s="368" t="n">
        <v>41448.2626</v>
      </c>
      <c r="AL98" s="368" t="n">
        <v>39396.0924</v>
      </c>
      <c r="AM98" s="368" t="n">
        <v>28850.157</v>
      </c>
      <c r="AN98" s="368" t="n">
        <v>56198.9819</v>
      </c>
      <c r="AO98" s="368" t="n">
        <v>18664.02942</v>
      </c>
      <c r="AP98" s="368"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69" t="s">
        <v>556</v>
      </c>
      <c r="BC98" s="370"/>
      <c r="BD98" s="370"/>
      <c r="BE98" s="370"/>
      <c r="BF98" s="371" t="n">
        <v>0</v>
      </c>
      <c r="BG98" s="371" t="n">
        <v>95490</v>
      </c>
      <c r="BH98" s="371" t="n">
        <v>100975</v>
      </c>
      <c r="BI98" s="371" t="n">
        <v>104753</v>
      </c>
      <c r="BJ98" s="371" t="n">
        <v>82269</v>
      </c>
      <c r="BK98" s="371" t="n">
        <v>50824</v>
      </c>
      <c r="BL98" s="371" t="n">
        <v>49985</v>
      </c>
      <c r="BM98" s="371" t="n">
        <v>52554</v>
      </c>
      <c r="BN98" s="371" t="n">
        <v>50906</v>
      </c>
      <c r="BO98" s="371" t="n">
        <v>52032</v>
      </c>
      <c r="BP98" s="371" t="n">
        <v>50171</v>
      </c>
      <c r="BQ98" s="372"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7" t="n">
        <v>2001</v>
      </c>
      <c r="AB99" s="357" t="s">
        <v>554</v>
      </c>
      <c r="AC99" s="358"/>
      <c r="AD99" s="359"/>
      <c r="AE99" s="368" t="n">
        <v>40056.8552</v>
      </c>
      <c r="AF99" s="368" t="n">
        <v>23574.36926</v>
      </c>
      <c r="AG99" s="368" t="n">
        <v>22601.23396</v>
      </c>
      <c r="AH99" s="368" t="n">
        <v>17459.56136</v>
      </c>
      <c r="AI99" s="368" t="n">
        <v>15014.27433</v>
      </c>
      <c r="AJ99" s="368" t="n">
        <v>13119.98309</v>
      </c>
      <c r="AK99" s="368" t="n">
        <v>20025.12111</v>
      </c>
      <c r="AL99" s="368" t="n">
        <v>15077.02339</v>
      </c>
      <c r="AM99" s="368" t="n">
        <v>12518.17374</v>
      </c>
      <c r="AN99" s="368" t="n">
        <v>19146.36152</v>
      </c>
      <c r="AO99" s="368" t="n">
        <v>16114.9123</v>
      </c>
      <c r="AP99" s="368"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69" t="s">
        <v>556</v>
      </c>
      <c r="BC99" s="370"/>
      <c r="BD99" s="370"/>
      <c r="BE99" s="370"/>
      <c r="BF99" s="371" t="n">
        <v>48328.66137</v>
      </c>
      <c r="BG99" s="371" t="n">
        <v>50460.43126</v>
      </c>
      <c r="BH99" s="371" t="n">
        <v>46924.79368</v>
      </c>
      <c r="BI99" s="371" t="n">
        <v>48187.19627</v>
      </c>
      <c r="BJ99" s="371" t="n">
        <v>55278.5558</v>
      </c>
      <c r="BK99" s="371" t="n">
        <v>48411.29977</v>
      </c>
      <c r="BL99" s="371" t="n">
        <v>44940.1065</v>
      </c>
      <c r="BM99" s="371" t="n">
        <v>47560.5757</v>
      </c>
      <c r="BN99" s="371" t="n">
        <v>45678.1885</v>
      </c>
      <c r="BO99" s="371" t="n">
        <v>49201.5801</v>
      </c>
      <c r="BP99" s="371" t="n">
        <v>51195.83588</v>
      </c>
      <c r="BQ99" s="372"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7" t="n">
        <v>2002</v>
      </c>
      <c r="AB100" s="357" t="s">
        <v>554</v>
      </c>
      <c r="AC100" s="358"/>
      <c r="AD100" s="359"/>
      <c r="AE100" s="368" t="n">
        <v>22867.59895</v>
      </c>
      <c r="AF100" s="368" t="n">
        <v>13214.75745</v>
      </c>
      <c r="AG100" s="368" t="n">
        <v>15155.33966</v>
      </c>
      <c r="AH100" s="368" t="n">
        <v>19793.23831</v>
      </c>
      <c r="AI100" s="368" t="n">
        <v>16906.7945</v>
      </c>
      <c r="AJ100" s="368" t="n">
        <v>13243.25234</v>
      </c>
      <c r="AK100" s="368" t="n">
        <v>20689.13542</v>
      </c>
      <c r="AL100" s="368" t="n">
        <v>18094.73271</v>
      </c>
      <c r="AM100" s="368" t="n">
        <v>19195.11182</v>
      </c>
      <c r="AN100" s="368" t="n">
        <v>17625.71288</v>
      </c>
      <c r="AO100" s="368" t="n">
        <v>15122.65927</v>
      </c>
      <c r="AP100" s="368"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69" t="s">
        <v>556</v>
      </c>
      <c r="BC100" s="370"/>
      <c r="BD100" s="370"/>
      <c r="BE100" s="370"/>
      <c r="BF100" s="371" t="n">
        <v>45423.03395</v>
      </c>
      <c r="BG100" s="371" t="n">
        <v>55019.76553</v>
      </c>
      <c r="BH100" s="371" t="n">
        <v>52677.4399</v>
      </c>
      <c r="BI100" s="371" t="n">
        <v>47280.25366</v>
      </c>
      <c r="BJ100" s="371" t="n">
        <v>65167.24956</v>
      </c>
      <c r="BK100" s="371" t="n">
        <v>47518.16741</v>
      </c>
      <c r="BL100" s="371" t="n">
        <v>41203.18603</v>
      </c>
      <c r="BM100" s="371" t="n">
        <v>44355.54726</v>
      </c>
      <c r="BN100" s="371" t="n">
        <v>33345.8704</v>
      </c>
      <c r="BO100" s="371" t="n">
        <v>35811.22728</v>
      </c>
      <c r="BP100" s="371" t="n">
        <v>47754.73435</v>
      </c>
      <c r="BQ100" s="372"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0.000555386072258802</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7" t="n">
        <v>2003</v>
      </c>
      <c r="AB101" s="357" t="s">
        <v>554</v>
      </c>
      <c r="AC101" s="358"/>
      <c r="AD101" s="359"/>
      <c r="AE101" s="368" t="n">
        <v>20409.48373</v>
      </c>
      <c r="AF101" s="368" t="n">
        <v>16143.18521</v>
      </c>
      <c r="AG101" s="368" t="n">
        <v>18558.94812</v>
      </c>
      <c r="AH101" s="368" t="n">
        <v>24314.70476</v>
      </c>
      <c r="AI101" s="368" t="n">
        <v>19110.17911</v>
      </c>
      <c r="AJ101" s="368" t="n">
        <v>19594.12064</v>
      </c>
      <c r="AK101" s="368" t="n">
        <v>19016.00391</v>
      </c>
      <c r="AL101" s="368" t="n">
        <v>18894.05274</v>
      </c>
      <c r="AM101" s="368" t="n">
        <v>28911.84481</v>
      </c>
      <c r="AN101" s="368" t="n">
        <v>18473.28346</v>
      </c>
      <c r="AO101" s="368" t="n">
        <v>17349.56195</v>
      </c>
      <c r="AP101" s="368"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69" t="s">
        <v>556</v>
      </c>
      <c r="BC101" s="370"/>
      <c r="BD101" s="370"/>
      <c r="BE101" s="370"/>
      <c r="BF101" s="371" t="n">
        <v>37336.24212</v>
      </c>
      <c r="BG101" s="371" t="n">
        <v>30813.60531</v>
      </c>
      <c r="BH101" s="371" t="n">
        <v>33889.96008</v>
      </c>
      <c r="BI101" s="371" t="n">
        <v>33624.16204</v>
      </c>
      <c r="BJ101" s="371" t="n">
        <v>36930.91892</v>
      </c>
      <c r="BK101" s="371" t="n">
        <v>40746.09666</v>
      </c>
      <c r="BL101" s="371" t="n">
        <v>53051.38171</v>
      </c>
      <c r="BM101" s="371" t="n">
        <v>51088.66943</v>
      </c>
      <c r="BN101" s="371" t="n">
        <v>69444.88132</v>
      </c>
      <c r="BO101" s="371" t="n">
        <v>45923.22313</v>
      </c>
      <c r="BP101" s="371" t="n">
        <v>55949.43928</v>
      </c>
      <c r="BQ101" s="372"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7" t="n">
        <v>2004</v>
      </c>
      <c r="AB102" s="357" t="s">
        <v>554</v>
      </c>
      <c r="AC102" s="358"/>
      <c r="AD102" s="359"/>
      <c r="AE102" s="368" t="n">
        <v>26769.03987</v>
      </c>
      <c r="AF102" s="368" t="n">
        <v>20993.7117</v>
      </c>
      <c r="AG102" s="368" t="n">
        <v>36869.75298</v>
      </c>
      <c r="AH102" s="368" t="n">
        <v>14624.99629</v>
      </c>
      <c r="AI102" s="368" t="n">
        <v>34289.5952</v>
      </c>
      <c r="AJ102" s="368" t="n">
        <v>25824.68523</v>
      </c>
      <c r="AK102" s="368" t="n">
        <v>25054.75152</v>
      </c>
      <c r="AL102" s="368" t="n">
        <v>30417.18646</v>
      </c>
      <c r="AM102" s="368" t="n">
        <v>27671.8026</v>
      </c>
      <c r="AN102" s="368" t="n">
        <v>23370.5652</v>
      </c>
      <c r="AO102" s="368" t="n">
        <v>38194.31215</v>
      </c>
      <c r="AP102" s="368"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69" t="s">
        <v>556</v>
      </c>
      <c r="BC102" s="370"/>
      <c r="BD102" s="370"/>
      <c r="BE102" s="370"/>
      <c r="BF102" s="371" t="n">
        <v>50487.24633</v>
      </c>
      <c r="BG102" s="371" t="n">
        <v>47229.13873</v>
      </c>
      <c r="BH102" s="371" t="n">
        <v>57659.48364</v>
      </c>
      <c r="BI102" s="371" t="n">
        <v>44352.45531</v>
      </c>
      <c r="BJ102" s="371" t="n">
        <v>303692.93894</v>
      </c>
      <c r="BK102" s="371" t="n">
        <v>115460.73852</v>
      </c>
      <c r="BL102" s="371" t="n">
        <v>114007.01231</v>
      </c>
      <c r="BM102" s="371" t="n">
        <v>129954.89895</v>
      </c>
      <c r="BN102" s="371" t="n">
        <v>127889.05101</v>
      </c>
      <c r="BO102" s="371" t="n">
        <v>123858.52696</v>
      </c>
      <c r="BP102" s="371" t="n">
        <v>127362.45438</v>
      </c>
      <c r="BQ102" s="372"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3"/>
      <c r="EJ102" s="31" t="n">
        <v>2050</v>
      </c>
      <c r="EK102" s="32" t="n">
        <v>13820.074</v>
      </c>
      <c r="EL102" s="33" t="n">
        <v>12291.46</v>
      </c>
    </row>
    <row r="103" customFormat="false" ht="12.75" hidden="false" customHeight="true" outlineLevel="0" collapsed="false">
      <c r="AA103" s="357" t="n">
        <v>2005</v>
      </c>
      <c r="AB103" s="357" t="s">
        <v>554</v>
      </c>
      <c r="AC103" s="358"/>
      <c r="AD103" s="359"/>
      <c r="AE103" s="368" t="n">
        <v>29476.79687</v>
      </c>
      <c r="AF103" s="368" t="n">
        <v>23860.03131</v>
      </c>
      <c r="AG103" s="368" t="n">
        <v>42791.13624</v>
      </c>
      <c r="AH103" s="368" t="n">
        <v>25253.05555</v>
      </c>
      <c r="AI103" s="368" t="n">
        <v>45737.67761</v>
      </c>
      <c r="AJ103" s="368" t="n">
        <v>27901.86088</v>
      </c>
      <c r="AK103" s="368" t="n">
        <v>23586.61138</v>
      </c>
      <c r="AL103" s="368" t="n">
        <v>44031.7083</v>
      </c>
      <c r="AM103" s="368" t="n">
        <v>22577.01407</v>
      </c>
      <c r="AN103" s="368" t="n">
        <v>31741.02513</v>
      </c>
      <c r="AO103" s="368" t="n">
        <v>36283.89362</v>
      </c>
      <c r="AP103" s="368"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69" t="s">
        <v>556</v>
      </c>
      <c r="BC103" s="370"/>
      <c r="BD103" s="370"/>
      <c r="BE103" s="370"/>
      <c r="BF103" s="371" t="n">
        <v>119364.68216</v>
      </c>
      <c r="BG103" s="371" t="n">
        <v>120193.39384</v>
      </c>
      <c r="BH103" s="371" t="n">
        <v>120603.31986</v>
      </c>
      <c r="BI103" s="371" t="n">
        <v>112120.41144</v>
      </c>
      <c r="BJ103" s="371" t="n">
        <v>112820.11114</v>
      </c>
      <c r="BK103" s="371" t="n">
        <v>100113.65128</v>
      </c>
      <c r="BL103" s="371" t="n">
        <v>91332.18446</v>
      </c>
      <c r="BM103" s="371" t="n">
        <v>83723.90889</v>
      </c>
      <c r="BN103" s="371" t="n">
        <v>90054.91029</v>
      </c>
      <c r="BO103" s="371" t="n">
        <v>91098.30086</v>
      </c>
      <c r="BP103" s="371" t="n">
        <v>90297.33861</v>
      </c>
      <c r="BQ103" s="372"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4" t="n">
        <f aca="false">IVA!AQ27+IVA!AQ78+IVA!AQ95+IVA!AQ112+IVA!AQ146+IVA!AQ163+IVA!AQ212+IVA!AQ246</f>
        <v>5337291.856204</v>
      </c>
      <c r="CK103" s="374" t="n">
        <f aca="false">IVA!AR27+IVA!AR78+IVA!AR95+IVA!AR112+IVA!AR146+IVA!AR163+IVA!AR212+IVA!AR246</f>
        <v>5032988.875052</v>
      </c>
      <c r="CL103" s="374" t="n">
        <f aca="false">IVA!AS27+IVA!AS78+IVA!AS95+IVA!AS112+IVA!AS146+IVA!AS163+IVA!AS212+IVA!AS246</f>
        <v>5522799.398789</v>
      </c>
      <c r="CM103" s="374" t="n">
        <f aca="false">IVA!AT27+IVA!AT78+IVA!AT95+IVA!AT112+IVA!AT146+IVA!AT163+IVA!AT212+IVA!AT246</f>
        <v>5401283.849447</v>
      </c>
      <c r="CN103" s="375" t="n">
        <f aca="false">IVA!AU27+IVA!AU78+IVA!AU95+IVA!AU112+IVA!AU146+IVA!AU163+IVA!AU212+IVA!AU246</f>
        <v>21294363.979492</v>
      </c>
      <c r="CP103" s="63"/>
      <c r="CQ103" s="13"/>
      <c r="CS103" s="376"/>
      <c r="EJ103" s="31" t="n">
        <v>2051</v>
      </c>
      <c r="EK103" s="32" t="n">
        <v>14060.36</v>
      </c>
      <c r="EL103" s="33" t="n">
        <v>12520.515</v>
      </c>
    </row>
    <row r="104" customFormat="false" ht="12.75" hidden="false" customHeight="true" outlineLevel="0" collapsed="false">
      <c r="AA104" s="357" t="n">
        <v>2006</v>
      </c>
      <c r="AB104" s="357" t="s">
        <v>554</v>
      </c>
      <c r="AC104" s="358"/>
      <c r="AD104" s="359"/>
      <c r="AE104" s="368" t="n">
        <v>47148.25822</v>
      </c>
      <c r="AF104" s="368" t="n">
        <v>24703.99359</v>
      </c>
      <c r="AG104" s="368" t="n">
        <v>41281.49302</v>
      </c>
      <c r="AH104" s="368" t="n">
        <v>22728.8072</v>
      </c>
      <c r="AI104" s="368" t="n">
        <v>41679.70436</v>
      </c>
      <c r="AJ104" s="368" t="n">
        <v>21937.39253</v>
      </c>
      <c r="AK104" s="368" t="n">
        <v>30925.96446</v>
      </c>
      <c r="AL104" s="368" t="n">
        <v>43577.48456</v>
      </c>
      <c r="AM104" s="368" t="n">
        <v>21030.51024</v>
      </c>
      <c r="AN104" s="368" t="n">
        <v>46565.01841</v>
      </c>
      <c r="AO104" s="368" t="n">
        <v>24158.02588</v>
      </c>
      <c r="AP104" s="368"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69" t="s">
        <v>556</v>
      </c>
      <c r="BC104" s="370"/>
      <c r="BD104" s="370"/>
      <c r="BE104" s="370"/>
      <c r="BF104" s="371" t="n">
        <v>108278.33249</v>
      </c>
      <c r="BG104" s="371" t="n">
        <v>90115.08269</v>
      </c>
      <c r="BH104" s="371" t="n">
        <v>92255.97978</v>
      </c>
      <c r="BI104" s="371" t="n">
        <v>91559.63517</v>
      </c>
      <c r="BJ104" s="371" t="n">
        <v>96903.6454</v>
      </c>
      <c r="BK104" s="371" t="n">
        <v>83092.97637</v>
      </c>
      <c r="BL104" s="371" t="n">
        <v>83226.49</v>
      </c>
      <c r="BM104" s="371" t="n">
        <v>94382.82509</v>
      </c>
      <c r="BN104" s="371" t="n">
        <v>92922.81268</v>
      </c>
      <c r="BO104" s="371" t="n">
        <v>88010.50524</v>
      </c>
      <c r="BP104" s="371" t="n">
        <v>92721.74912</v>
      </c>
      <c r="BQ104" s="372"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7" t="n">
        <f aca="false">IVA!AQ28+IVA!AQ79+IVA!AQ96+IVA!AQ113+IVA!AQ147+IVA!AQ164+IVA!AQ213+IVA!AQ247</f>
        <v>5429519.344495</v>
      </c>
      <c r="CK104" s="377" t="n">
        <f aca="false">IVA!AR28+IVA!AR79+IVA!AR96+IVA!AR113+IVA!AR147+IVA!AR164+IVA!AR213+IVA!AR247</f>
        <v>5380414.421019</v>
      </c>
      <c r="CL104" s="377" t="n">
        <f aca="false">IVA!AS28+IVA!AS79+IVA!AS96+IVA!AS113+IVA!AS147+IVA!AS164+IVA!AS213+IVA!AS247</f>
        <v>5705768.205881</v>
      </c>
      <c r="CM104" s="378" t="n">
        <f aca="false">IVA!AT28+IVA!AT79+IVA!AT96+IVA!AT113+IVA!AT147+IVA!AT164+IVA!AT213+IVA!AT247</f>
        <v>5346046.228443</v>
      </c>
      <c r="CN104" s="376" t="n">
        <f aca="false">IVA!AU28+IVA!AU79+IVA!AU96+IVA!AU113+IVA!AU147+IVA!AU164+IVA!AU213+IVA!AU247</f>
        <v>21861748.199838</v>
      </c>
      <c r="CP104" s="63"/>
      <c r="CQ104" s="13"/>
      <c r="CS104" s="376"/>
      <c r="EJ104" s="31" t="n">
        <v>2052</v>
      </c>
      <c r="EK104" s="32" t="n">
        <v>14301.341</v>
      </c>
      <c r="EL104" s="33" t="n">
        <v>12750.52</v>
      </c>
    </row>
    <row r="105" customFormat="false" ht="12.75" hidden="false" customHeight="true" outlineLevel="0" collapsed="false">
      <c r="AA105" s="357" t="n">
        <v>2007</v>
      </c>
      <c r="AB105" s="357" t="s">
        <v>554</v>
      </c>
      <c r="AC105" s="358"/>
      <c r="AD105" s="359"/>
      <c r="AE105" s="368" t="n">
        <v>52103.4</v>
      </c>
      <c r="AF105" s="368" t="n">
        <v>25839.77774</v>
      </c>
      <c r="AG105" s="368" t="n">
        <v>33795.52808</v>
      </c>
      <c r="AH105" s="368" t="n">
        <v>36622.74677</v>
      </c>
      <c r="AI105" s="368" t="n">
        <v>46452.08308</v>
      </c>
      <c r="AJ105" s="368" t="n">
        <v>23871.58245</v>
      </c>
      <c r="AK105" s="368" t="n">
        <v>48407.19616</v>
      </c>
      <c r="AL105" s="368" t="n">
        <v>34599.1002</v>
      </c>
      <c r="AM105" s="368" t="n">
        <v>25837.18956</v>
      </c>
      <c r="AN105" s="368" t="n">
        <v>51930.48734</v>
      </c>
      <c r="AO105" s="368" t="n">
        <v>28264.03739</v>
      </c>
      <c r="AP105" s="368"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69" t="s">
        <v>556</v>
      </c>
      <c r="BC105" s="370"/>
      <c r="BD105" s="370"/>
      <c r="BE105" s="370"/>
      <c r="BF105" s="371" t="n">
        <v>79627.46523</v>
      </c>
      <c r="BG105" s="371" t="n">
        <v>81930.32187</v>
      </c>
      <c r="BH105" s="371" t="n">
        <v>90753.35184</v>
      </c>
      <c r="BI105" s="371" t="n">
        <v>80282.51005</v>
      </c>
      <c r="BJ105" s="371" t="n">
        <v>96099.86339</v>
      </c>
      <c r="BK105" s="371" t="n">
        <v>90027.37608</v>
      </c>
      <c r="BL105" s="371" t="n">
        <v>86878.82977</v>
      </c>
      <c r="BM105" s="371" t="n">
        <v>94822.5406</v>
      </c>
      <c r="BN105" s="371" t="n">
        <v>92877.36863</v>
      </c>
      <c r="BO105" s="371" t="n">
        <v>91518.85185</v>
      </c>
      <c r="BP105" s="371" t="n">
        <v>96268.42617</v>
      </c>
      <c r="BQ105" s="372"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7" t="n">
        <f aca="false">IVA!AQ29+IVA!AQ80+IVA!AQ97+IVA!AQ114+IVA!AQ148+IVA!AQ165+IVA!AQ214+IVA!AQ248</f>
        <v>5539881.011965</v>
      </c>
      <c r="CK105" s="377" t="n">
        <f aca="false">IVA!AR29+IVA!AR80+IVA!AR97+IVA!AR114+IVA!AR148+IVA!AR165+IVA!AR214+IVA!AR248</f>
        <v>4975768.613834</v>
      </c>
      <c r="CL105" s="377" t="n">
        <f aca="false">IVA!AS29+IVA!AS80+IVA!AS97+IVA!AS114+IVA!AS148+IVA!AS165+IVA!AS214+IVA!AS248</f>
        <v>5317706.07929</v>
      </c>
      <c r="CM105" s="378" t="n">
        <f aca="false">IVA!AT29+IVA!AT80+IVA!AT97+IVA!AT114+IVA!AT148+IVA!AT165+IVA!AT214+IVA!AT248</f>
        <v>4839273.769392</v>
      </c>
      <c r="CN105" s="376" t="n">
        <f aca="false">IVA!AU29+IVA!AU80+IVA!AU97+IVA!AU114+IVA!AU148+IVA!AU165+IVA!AU214+IVA!AU248</f>
        <v>20672629.474481</v>
      </c>
      <c r="CP105" s="63"/>
      <c r="CQ105" s="13"/>
      <c r="CS105" s="376"/>
      <c r="EJ105" s="31" t="n">
        <v>2053</v>
      </c>
      <c r="EK105" s="32" t="n">
        <v>14546.629</v>
      </c>
      <c r="EL105" s="33" t="n">
        <v>12985.95</v>
      </c>
    </row>
    <row r="106" customFormat="false" ht="12.75" hidden="false" customHeight="true" outlineLevel="0" collapsed="false">
      <c r="AA106" s="357" t="n">
        <v>2008</v>
      </c>
      <c r="AB106" s="357" t="s">
        <v>554</v>
      </c>
      <c r="AC106" s="358"/>
      <c r="AD106" s="359"/>
      <c r="AE106" s="368" t="n">
        <v>59778.5613</v>
      </c>
      <c r="AF106" s="368" t="n">
        <v>30016.78588</v>
      </c>
      <c r="AG106" s="368" t="n">
        <v>41520.23536</v>
      </c>
      <c r="AH106" s="368" t="n">
        <v>45286.18302</v>
      </c>
      <c r="AI106" s="368" t="n">
        <v>41393.13817</v>
      </c>
      <c r="AJ106" s="368" t="n">
        <v>41701.8994</v>
      </c>
      <c r="AK106" s="368" t="n">
        <v>54963.42907</v>
      </c>
      <c r="AL106" s="368" t="n">
        <v>44155.61889</v>
      </c>
      <c r="AM106" s="368" t="n">
        <v>46156.6687</v>
      </c>
      <c r="AN106" s="368" t="n">
        <v>44752.76791</v>
      </c>
      <c r="AO106" s="368" t="n">
        <v>51598.31624</v>
      </c>
      <c r="AP106" s="368"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69" t="s">
        <v>556</v>
      </c>
      <c r="BC106" s="370"/>
      <c r="BD106" s="370"/>
      <c r="BE106" s="370"/>
      <c r="BF106" s="371" t="n">
        <v>90634.6637</v>
      </c>
      <c r="BG106" s="371" t="n">
        <v>93163.43149</v>
      </c>
      <c r="BH106" s="371" t="n">
        <v>93835.79565</v>
      </c>
      <c r="BI106" s="371" t="n">
        <v>87369.05581</v>
      </c>
      <c r="BJ106" s="371" t="n">
        <v>176625.17779</v>
      </c>
      <c r="BK106" s="371" t="n">
        <v>79296.9273</v>
      </c>
      <c r="BL106" s="371" t="n">
        <v>82971.8239</v>
      </c>
      <c r="BM106" s="371" t="n">
        <v>93819.24169</v>
      </c>
      <c r="BN106" s="371" t="n">
        <v>148543.54142</v>
      </c>
      <c r="BO106" s="371" t="n">
        <v>114097.70657</v>
      </c>
      <c r="BP106" s="371" t="n">
        <v>119011.73152</v>
      </c>
      <c r="BQ106" s="372"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7" t="n">
        <f aca="false">IVA!AQ30+IVA!AQ81+IVA!AQ98+IVA!AQ115+IVA!AQ149+IVA!AQ166+IVA!AQ215+IVA!AQ249</f>
        <v>5207950.85592125</v>
      </c>
      <c r="CK106" s="377" t="n">
        <f aca="false">IVA!AR30+IVA!AR81+IVA!AR98+IVA!AR115+IVA!AR149+IVA!AR166+IVA!AR215+IVA!AR249</f>
        <v>5171234.62622919</v>
      </c>
      <c r="CL106" s="377" t="n">
        <f aca="false">IVA!AS30+IVA!AS81+IVA!AS98+IVA!AS115+IVA!AS149+IVA!AS166+IVA!AS215+IVA!AS249</f>
        <v>5468930.68626537</v>
      </c>
      <c r="CM106" s="378" t="n">
        <f aca="false">IVA!AT30+IVA!AT81+IVA!AT98+IVA!AT115+IVA!AT149+IVA!AT166+IVA!AT215+IVA!AT249</f>
        <v>4932171.55980157</v>
      </c>
      <c r="CN106" s="376" t="n">
        <f aca="false">IVA!AU30+IVA!AU81+IVA!AU98+IVA!AU115+IVA!AU149+IVA!AU166+IVA!AU215+IVA!AU249</f>
        <v>20780287.7282174</v>
      </c>
      <c r="CP106" s="63"/>
      <c r="CQ106" s="13"/>
      <c r="CS106" s="376"/>
      <c r="EJ106" s="31" t="n">
        <v>2054</v>
      </c>
      <c r="EK106" s="32" t="n">
        <v>14800.452</v>
      </c>
      <c r="EL106" s="33" t="n">
        <v>13232.026</v>
      </c>
    </row>
    <row r="107" customFormat="false" ht="12.75" hidden="false" customHeight="true" outlineLevel="0" collapsed="false">
      <c r="AA107" s="357" t="n">
        <v>2009</v>
      </c>
      <c r="AB107" s="357" t="s">
        <v>554</v>
      </c>
      <c r="AC107" s="358"/>
      <c r="AD107" s="359"/>
      <c r="AE107" s="368" t="n">
        <v>51573</v>
      </c>
      <c r="AF107" s="368" t="n">
        <v>55611</v>
      </c>
      <c r="AG107" s="368" t="n">
        <v>49382</v>
      </c>
      <c r="AH107" s="368" t="n">
        <v>51624</v>
      </c>
      <c r="AI107" s="368" t="n">
        <v>59461</v>
      </c>
      <c r="AJ107" s="368" t="n">
        <v>47409</v>
      </c>
      <c r="AK107" s="368" t="n">
        <v>49319</v>
      </c>
      <c r="AL107" s="368" t="n">
        <v>56071</v>
      </c>
      <c r="AM107" s="368" t="n">
        <v>56376</v>
      </c>
      <c r="AN107" s="368" t="n">
        <v>56883</v>
      </c>
      <c r="AO107" s="368" t="n">
        <v>63571</v>
      </c>
      <c r="AP107" s="368"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69" t="s">
        <v>556</v>
      </c>
      <c r="BC107" s="370"/>
      <c r="BD107" s="370"/>
      <c r="BE107" s="370"/>
      <c r="BF107" s="371" t="n">
        <v>105290.9381</v>
      </c>
      <c r="BG107" s="371" t="n">
        <v>95518.45501</v>
      </c>
      <c r="BH107" s="371" t="n">
        <v>96031.81954</v>
      </c>
      <c r="BI107" s="371" t="n">
        <v>97580.18851</v>
      </c>
      <c r="BJ107" s="371" t="n">
        <v>176790.76027</v>
      </c>
      <c r="BK107" s="371" t="n">
        <v>65565.61565</v>
      </c>
      <c r="BL107" s="371" t="n">
        <v>62316.11195</v>
      </c>
      <c r="BM107" s="371" t="n">
        <v>57899.62918</v>
      </c>
      <c r="BN107" s="371" t="n">
        <v>56381.09844</v>
      </c>
      <c r="BO107" s="371" t="n">
        <v>64042.91953</v>
      </c>
      <c r="BP107" s="371" t="n">
        <v>55518.29456</v>
      </c>
      <c r="BQ107" s="372"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7" t="n">
        <f aca="false">IVA!AQ31+IVA!AQ82+IVA!AQ99+IVA!AQ116+IVA!AQ150+IVA!AQ167+IVA!AQ216+IVA!AQ250</f>
        <v>5202344.95986652</v>
      </c>
      <c r="CK107" s="377" t="n">
        <f aca="false">IVA!AR31+IVA!AR82+IVA!AR99+IVA!AR116+IVA!AR150+IVA!AR167+IVA!AR216+IVA!AR250</f>
        <v>4847865.91894625</v>
      </c>
      <c r="CL107" s="377" t="n">
        <f aca="false">IVA!AS31+IVA!AS82+IVA!AS99+IVA!AS116+IVA!AS150+IVA!AS167+IVA!AS216+IVA!AS250</f>
        <v>4991239.82698179</v>
      </c>
      <c r="CM107" s="378" t="n">
        <f aca="false">IVA!AT31+IVA!AT82+IVA!AT99+IVA!AT116+IVA!AT150+IVA!AT167+IVA!AT216+IVA!AT250</f>
        <v>3970211.3723884</v>
      </c>
      <c r="CN107" s="376" t="n">
        <f aca="false">IVA!AU31+IVA!AU82+IVA!AU99+IVA!AU116+IVA!AU150+IVA!AU167+IVA!AU216+IVA!AU250</f>
        <v>19011662.078183</v>
      </c>
      <c r="CP107" s="63"/>
      <c r="CQ107" s="13"/>
      <c r="CS107" s="376" t="n">
        <v>16518378800</v>
      </c>
      <c r="EJ107" s="31" t="n">
        <v>2055</v>
      </c>
      <c r="EK107" s="32" t="n">
        <v>15064.129</v>
      </c>
      <c r="EL107" s="33" t="n">
        <v>13490.736</v>
      </c>
    </row>
    <row r="108" customFormat="false" ht="12.75" hidden="false" customHeight="true" outlineLevel="0" collapsed="false">
      <c r="AA108" s="357" t="n">
        <v>2010</v>
      </c>
      <c r="AB108" s="357" t="s">
        <v>554</v>
      </c>
      <c r="AC108" s="358"/>
      <c r="AD108" s="359"/>
      <c r="AE108" s="368" t="n">
        <v>65812</v>
      </c>
      <c r="AF108" s="368" t="n">
        <v>66702</v>
      </c>
      <c r="AG108" s="368" t="n">
        <v>57870</v>
      </c>
      <c r="AH108" s="368" t="n">
        <v>61986</v>
      </c>
      <c r="AI108" s="368" t="n">
        <v>66119</v>
      </c>
      <c r="AJ108" s="368" t="n">
        <v>59132</v>
      </c>
      <c r="AK108" s="368" t="n">
        <v>60227</v>
      </c>
      <c r="AL108" s="368" t="n">
        <v>68324</v>
      </c>
      <c r="AM108" s="368" t="n">
        <v>63716</v>
      </c>
      <c r="AN108" s="368" t="n">
        <v>69963</v>
      </c>
      <c r="AO108" s="368" t="n">
        <v>77262</v>
      </c>
      <c r="AP108" s="368"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69" t="s">
        <v>556</v>
      </c>
      <c r="BC108" s="370"/>
      <c r="BD108" s="370"/>
      <c r="BE108" s="370"/>
      <c r="BF108" s="371" t="n">
        <v>59559</v>
      </c>
      <c r="BG108" s="371" t="n">
        <v>158014</v>
      </c>
      <c r="BH108" s="371" t="n">
        <v>172977</v>
      </c>
      <c r="BI108" s="371" t="n">
        <v>148615</v>
      </c>
      <c r="BJ108" s="371" t="n">
        <v>139457</v>
      </c>
      <c r="BK108" s="371" t="n">
        <v>87134</v>
      </c>
      <c r="BL108" s="371" t="n">
        <v>68580</v>
      </c>
      <c r="BM108" s="371" t="n">
        <v>69714</v>
      </c>
      <c r="BN108" s="371" t="n">
        <v>70084</v>
      </c>
      <c r="BO108" s="371" t="n">
        <v>79995</v>
      </c>
      <c r="BP108" s="371" t="n">
        <v>83568</v>
      </c>
      <c r="BQ108" s="372"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7" t="n">
        <f aca="false">IVA!AQ32+IVA!AQ83+IVA!AQ100+IVA!AQ117+IVA!AQ151+IVA!AQ168+IVA!AQ217+IVA!AQ251</f>
        <v>3801853.96617265</v>
      </c>
      <c r="CK108" s="377" t="n">
        <f aca="false">IVA!AR32+IVA!AR83+IVA!AR100+IVA!AR117+IVA!AR151+IVA!AR168+IVA!AR217+IVA!AR251</f>
        <v>3996687.6154563</v>
      </c>
      <c r="CL108" s="377" t="n">
        <f aca="false">IVA!AS32+IVA!AS83+IVA!AS100+IVA!AS117+IVA!AS151+IVA!AS168+IVA!AS217+IVA!AS251</f>
        <v>4585296.58256315</v>
      </c>
      <c r="CM108" s="378" t="n">
        <f aca="false">IVA!AT32+IVA!AT83+IVA!AT100+IVA!AT117+IVA!AT151+IVA!AT168+IVA!AT217+IVA!AT251</f>
        <v>4501088.28057001</v>
      </c>
      <c r="CN108" s="376" t="n">
        <f aca="false">IVA!AU32+IVA!AU83+IVA!AU100+IVA!AU117+IVA!AU151+IVA!AU168+IVA!AU217+IVA!AU251</f>
        <v>16884926.4447621</v>
      </c>
      <c r="CP108" s="63"/>
      <c r="CQ108" s="13"/>
      <c r="CS108" s="376" t="n">
        <v>15424894000</v>
      </c>
      <c r="EJ108" s="31" t="n">
        <v>2056</v>
      </c>
      <c r="EK108" s="32" t="n">
        <v>15332.592</v>
      </c>
      <c r="EL108" s="33" t="n">
        <v>13758.02</v>
      </c>
    </row>
    <row r="109" customFormat="false" ht="12.75" hidden="false" customHeight="true" outlineLevel="0" collapsed="false">
      <c r="AA109" s="357" t="n">
        <v>2011</v>
      </c>
      <c r="AB109" s="357" t="s">
        <v>554</v>
      </c>
      <c r="AC109" s="358"/>
      <c r="AD109" s="359"/>
      <c r="AE109" s="368" t="n">
        <v>89407</v>
      </c>
      <c r="AF109" s="368" t="n">
        <v>79262</v>
      </c>
      <c r="AG109" s="368" t="n">
        <v>80238</v>
      </c>
      <c r="AH109" s="368" t="n">
        <v>88114</v>
      </c>
      <c r="AI109" s="368" t="n">
        <v>75307</v>
      </c>
      <c r="AJ109" s="368" t="n">
        <v>74495</v>
      </c>
      <c r="AK109" s="368" t="n">
        <v>107141</v>
      </c>
      <c r="AL109" s="368" t="n">
        <v>84911</v>
      </c>
      <c r="AM109" s="368" t="n">
        <v>78406</v>
      </c>
      <c r="AN109" s="368" t="n">
        <v>85617</v>
      </c>
      <c r="AO109" s="368" t="n">
        <v>87028</v>
      </c>
      <c r="AP109" s="368"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69" t="s">
        <v>556</v>
      </c>
      <c r="BC109" s="370"/>
      <c r="BD109" s="370"/>
      <c r="BE109" s="370"/>
      <c r="BF109" s="371" t="n">
        <v>164153</v>
      </c>
      <c r="BG109" s="371" t="n">
        <v>186697</v>
      </c>
      <c r="BH109" s="371" t="n">
        <v>205998</v>
      </c>
      <c r="BI109" s="371" t="n">
        <v>163648</v>
      </c>
      <c r="BJ109" s="371" t="n">
        <v>134484</v>
      </c>
      <c r="BK109" s="371" t="n">
        <v>103615</v>
      </c>
      <c r="BL109" s="371" t="n">
        <v>115954</v>
      </c>
      <c r="BM109" s="371" t="n">
        <v>122332</v>
      </c>
      <c r="BN109" s="371" t="n">
        <v>113782</v>
      </c>
      <c r="BO109" s="371" t="n">
        <v>115553</v>
      </c>
      <c r="BP109" s="371" t="n">
        <v>112659</v>
      </c>
      <c r="BQ109" s="372"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7" t="n">
        <f aca="false">IVA!AQ33+IVA!AQ84+IVA!AQ101+IVA!AQ118+IVA!AQ152+IVA!AQ169+IVA!AQ218+IVA!AQ252</f>
        <v>4748660.0514564</v>
      </c>
      <c r="CK109" s="377" t="n">
        <f aca="false">IVA!AR33+IVA!AR84+IVA!AR101+IVA!AR118+IVA!AR152+IVA!AR169+IVA!AR218+IVA!AR252</f>
        <v>5141586.77707979</v>
      </c>
      <c r="CL109" s="377" t="n">
        <f aca="false">IVA!AS33+IVA!AS84+IVA!AS101+IVA!AS118+IVA!AS152+IVA!AS169+IVA!AS218+IVA!AS252</f>
        <v>5593108.10524061</v>
      </c>
      <c r="CM109" s="378" t="n">
        <f aca="false">IVA!AT33+IVA!AT84+IVA!AT101+IVA!AT118+IVA!AT152+IVA!AT169+IVA!AT218+IVA!AT252</f>
        <v>5663242.28006361</v>
      </c>
      <c r="CN109" s="376" t="n">
        <f aca="false">IVA!AU33+IVA!AU84+IVA!AU101+IVA!AU118+IVA!AU152+IVA!AU169+IVA!AU218+IVA!AU252</f>
        <v>21146597.2138404</v>
      </c>
      <c r="CP109" s="63"/>
      <c r="CQ109" s="13"/>
      <c r="CS109" s="376" t="n">
        <v>17988915089</v>
      </c>
      <c r="EJ109" s="31" t="n">
        <v>2057</v>
      </c>
      <c r="EK109" s="32" t="n">
        <v>15609.154</v>
      </c>
      <c r="EL109" s="33" t="n">
        <v>14035.725</v>
      </c>
    </row>
    <row r="110" customFormat="false" ht="12.75" hidden="false" customHeight="true" outlineLevel="0" collapsed="false">
      <c r="AA110" s="379" t="n">
        <v>2012</v>
      </c>
      <c r="AB110" s="379" t="s">
        <v>554</v>
      </c>
      <c r="AC110" s="380"/>
      <c r="AD110" s="381"/>
      <c r="AE110" s="382" t="n">
        <v>104250.20995</v>
      </c>
      <c r="AF110" s="382" t="n">
        <v>95987.31337</v>
      </c>
      <c r="AG110" s="382" t="n">
        <v>91603.49381</v>
      </c>
      <c r="AH110" s="382" t="n">
        <v>103066.79135</v>
      </c>
      <c r="AI110" s="382" t="n">
        <v>87149.86417</v>
      </c>
      <c r="AJ110" s="382" t="n">
        <v>96791.87201</v>
      </c>
      <c r="AK110" s="382" t="n">
        <v>98509.86127</v>
      </c>
      <c r="AL110" s="382" t="n">
        <v>89591.38284</v>
      </c>
      <c r="AM110" s="382" t="n">
        <v>106464.69313</v>
      </c>
      <c r="AN110" s="382" t="n">
        <v>96853.23091</v>
      </c>
      <c r="AO110" s="382" t="n">
        <v>104378.09991</v>
      </c>
      <c r="AP110" s="382"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69" t="s">
        <v>556</v>
      </c>
      <c r="BC110" s="370"/>
      <c r="BD110" s="370"/>
      <c r="BE110" s="370"/>
      <c r="BF110" s="371" t="n">
        <v>91925</v>
      </c>
      <c r="BG110" s="371" t="n">
        <v>119159</v>
      </c>
      <c r="BH110" s="371" t="n">
        <v>106898</v>
      </c>
      <c r="BI110" s="371" t="n">
        <v>104726</v>
      </c>
      <c r="BJ110" s="371" t="n">
        <v>93840</v>
      </c>
      <c r="BK110" s="371" t="n">
        <v>104167</v>
      </c>
      <c r="BL110" s="371" t="n">
        <v>119503</v>
      </c>
      <c r="BM110" s="371" t="n">
        <v>121740</v>
      </c>
      <c r="BN110" s="371" t="n">
        <v>121197</v>
      </c>
      <c r="BO110" s="371" t="n">
        <v>134292</v>
      </c>
      <c r="BP110" s="371" t="n">
        <v>110804</v>
      </c>
      <c r="BQ110" s="372"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7" t="n">
        <f aca="false">IVA!AQ34+IVA!AQ85+IVA!AQ102+IVA!AQ119+IVA!AQ153+IVA!AQ170+IVA!AQ219+IVA!AQ253</f>
        <v>6323502.33635905</v>
      </c>
      <c r="CK110" s="377" t="n">
        <f aca="false">IVA!AR34+IVA!AR85+IVA!AR102+IVA!AR119+IVA!AR153+IVA!AR170+IVA!AR219+IVA!AR253</f>
        <v>7473357.66649041</v>
      </c>
      <c r="CL110" s="377" t="n">
        <f aca="false">IVA!AS34+IVA!AS85+IVA!AS102+IVA!AS119+IVA!AS153+IVA!AS170+IVA!AS219+IVA!AS253</f>
        <v>7399314.61150614</v>
      </c>
      <c r="CM110" s="378" t="n">
        <f aca="false">IVA!AT34+IVA!AT85+IVA!AT102+IVA!AT119+IVA!AT153+IVA!AT170+IVA!AT219+IVA!AT253</f>
        <v>7018841.9815035</v>
      </c>
      <c r="CN110" s="376" t="n">
        <f aca="false">IVA!AU34+IVA!AU85+IVA!AU102+IVA!AU119+IVA!AU153+IVA!AU170+IVA!AU219+IVA!AU253</f>
        <v>28215016.5958591</v>
      </c>
      <c r="CP110" s="63"/>
      <c r="CQ110" s="13"/>
      <c r="CS110" s="383" t="n">
        <v>17534865699</v>
      </c>
      <c r="EJ110" s="31" t="n">
        <v>2058</v>
      </c>
      <c r="EK110" s="32" t="n">
        <v>15883.775</v>
      </c>
      <c r="EL110" s="33" t="n">
        <v>14313.733</v>
      </c>
    </row>
    <row r="111" customFormat="false" ht="12.75" hidden="false" customHeight="true" outlineLevel="0" collapsed="false">
      <c r="AA111" s="384" t="n">
        <v>1996</v>
      </c>
      <c r="AB111" s="384" t="s">
        <v>564</v>
      </c>
      <c r="AC111" s="385"/>
      <c r="AD111" s="386"/>
      <c r="AE111" s="387" t="n">
        <v>0</v>
      </c>
      <c r="AF111" s="387" t="n">
        <v>0</v>
      </c>
      <c r="AG111" s="387" t="n">
        <v>0</v>
      </c>
      <c r="AH111" s="387" t="n">
        <v>0</v>
      </c>
      <c r="AI111" s="387" t="n">
        <v>0</v>
      </c>
      <c r="AJ111" s="387" t="n">
        <v>0</v>
      </c>
      <c r="AK111" s="387" t="n">
        <v>0</v>
      </c>
      <c r="AL111" s="387" t="n">
        <v>0</v>
      </c>
      <c r="AM111" s="387" t="n">
        <v>0</v>
      </c>
      <c r="AN111" s="387" t="n">
        <v>0</v>
      </c>
      <c r="AO111" s="387" t="n">
        <v>1645</v>
      </c>
      <c r="AP111" s="387"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8" t="s">
        <v>556</v>
      </c>
      <c r="BC111" s="389"/>
      <c r="BD111" s="389"/>
      <c r="BE111" s="389"/>
      <c r="BF111" s="390" t="n">
        <v>89038.08137</v>
      </c>
      <c r="BG111" s="390" t="n">
        <v>103963.88286</v>
      </c>
      <c r="BH111" s="390" t="n">
        <v>133126.73103</v>
      </c>
      <c r="BI111" s="390" t="n">
        <v>96847.84325</v>
      </c>
      <c r="BJ111" s="390" t="n">
        <v>131682.02437</v>
      </c>
      <c r="BK111" s="390" t="n">
        <v>103612.17492</v>
      </c>
      <c r="BL111" s="390" t="n">
        <v>112375.45101</v>
      </c>
      <c r="BM111" s="390" t="n">
        <v>124938.58801</v>
      </c>
      <c r="BN111" s="390" t="n">
        <v>122739.7206</v>
      </c>
      <c r="BO111" s="390" t="n">
        <v>125012.75415</v>
      </c>
      <c r="BP111" s="390" t="n">
        <v>157716.76065</v>
      </c>
      <c r="BQ111" s="391"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7" t="n">
        <f aca="false">IVA!AQ35+IVA!AQ86+IVA!AQ103+IVA!AQ120+IVA!AQ154+IVA!AQ171+IVA!AQ220+IVA!AQ254</f>
        <v>7865846.55172239</v>
      </c>
      <c r="CK111" s="377" t="n">
        <f aca="false">IVA!AR35+IVA!AR86+IVA!AR103+IVA!AR120+IVA!AR154+IVA!AR171+IVA!AR220+IVA!AR254</f>
        <v>8552016.31459058</v>
      </c>
      <c r="CL111" s="377" t="n">
        <f aca="false">IVA!AS35+IVA!AS86+IVA!AS103+IVA!AS120+IVA!AS154+IVA!AS171+IVA!AS220+IVA!AS254</f>
        <v>9269061.72105092</v>
      </c>
      <c r="CM111" s="378" t="n">
        <f aca="false">IVA!AT35+IVA!AT86+IVA!AT103+IVA!AT120+IVA!AT154+IVA!AT171+IVA!AT220+IVA!AT254</f>
        <v>9664858.89577479</v>
      </c>
      <c r="CN111" s="376" t="n">
        <f aca="false">IVA!AU35+IVA!AU86+IVA!AU103+IVA!AU120+IVA!AU154+IVA!AU171+IVA!AU220+IVA!AU254</f>
        <v>35351783.4831387</v>
      </c>
      <c r="CP111" s="63"/>
      <c r="CQ111" s="13"/>
      <c r="CS111" s="376"/>
      <c r="EJ111" s="31" t="n">
        <v>2059</v>
      </c>
      <c r="EK111" s="32" t="n">
        <v>16143.688</v>
      </c>
      <c r="EL111" s="33" t="n">
        <v>14579.05</v>
      </c>
    </row>
    <row r="112" customFormat="false" ht="12.75" hidden="false" customHeight="true" outlineLevel="0" collapsed="false">
      <c r="AA112" s="384" t="n">
        <v>1997</v>
      </c>
      <c r="AB112" s="384" t="s">
        <v>564</v>
      </c>
      <c r="AC112" s="385"/>
      <c r="AD112" s="386"/>
      <c r="AE112" s="387" t="n">
        <v>222444</v>
      </c>
      <c r="AF112" s="387" t="n">
        <v>84188</v>
      </c>
      <c r="AG112" s="387" t="n">
        <v>72385</v>
      </c>
      <c r="AH112" s="387" t="n">
        <v>102769</v>
      </c>
      <c r="AI112" s="387" t="n">
        <v>35342</v>
      </c>
      <c r="AJ112" s="387" t="n">
        <v>79099</v>
      </c>
      <c r="AK112" s="387" t="n">
        <v>96313</v>
      </c>
      <c r="AL112" s="387" t="n">
        <v>129343</v>
      </c>
      <c r="AM112" s="387" t="n">
        <v>132145</v>
      </c>
      <c r="AN112" s="387" t="n">
        <v>114512</v>
      </c>
      <c r="AO112" s="387" t="n">
        <v>169900</v>
      </c>
      <c r="AP112" s="387"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2" t="s">
        <v>565</v>
      </c>
      <c r="BC112" s="393"/>
      <c r="BD112" s="393"/>
      <c r="BE112" s="393"/>
      <c r="BF112" s="394" t="n">
        <v>0</v>
      </c>
      <c r="BG112" s="394" t="n">
        <v>0</v>
      </c>
      <c r="BH112" s="394" t="n">
        <v>0</v>
      </c>
      <c r="BI112" s="394" t="n">
        <v>0</v>
      </c>
      <c r="BJ112" s="394" t="n">
        <v>0</v>
      </c>
      <c r="BK112" s="394" t="n">
        <v>0</v>
      </c>
      <c r="BL112" s="394" t="n">
        <v>0</v>
      </c>
      <c r="BM112" s="394" t="n">
        <v>0</v>
      </c>
      <c r="BN112" s="394" t="n">
        <v>0</v>
      </c>
      <c r="BO112" s="394" t="n">
        <v>0</v>
      </c>
      <c r="BP112" s="394" t="n">
        <v>0</v>
      </c>
      <c r="BQ112" s="395"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7" t="n">
        <f aca="false">IVA!AQ36+IVA!AQ87+IVA!AQ104+IVA!AQ121+IVA!AQ155+IVA!AQ172+IVA!AQ221+IVA!AQ255</f>
        <v>10596418.657718</v>
      </c>
      <c r="CK112" s="377" t="n">
        <f aca="false">IVA!AR36+IVA!AR87+IVA!AR104+IVA!AR121+IVA!AR155+IVA!AR172+IVA!AR221+IVA!AR255</f>
        <v>11203589.3030282</v>
      </c>
      <c r="CL112" s="377" t="n">
        <f aca="false">IVA!AS36+IVA!AS87+IVA!AS104+IVA!AS121+IVA!AS155+IVA!AS172+IVA!AS221+IVA!AS255</f>
        <v>12324375.6021211</v>
      </c>
      <c r="CM112" s="378" t="n">
        <f aca="false">IVA!AT36+IVA!AT87+IVA!AT104+IVA!AT121+IVA!AT155+IVA!AT172+IVA!AT221+IVA!AT255</f>
        <v>12653784.8819279</v>
      </c>
      <c r="CN112" s="376" t="n">
        <f aca="false">IVA!AU36+IVA!AU87+IVA!AU104+IVA!AU121+IVA!AU155+IVA!AU172+IVA!AU221+IVA!AU255</f>
        <v>46778168.4447952</v>
      </c>
      <c r="CP112" s="63"/>
      <c r="CQ112" s="13"/>
      <c r="CS112" s="376"/>
      <c r="EJ112" s="31" t="n">
        <v>2060</v>
      </c>
      <c r="EK112" s="32" t="n">
        <v>16383.288</v>
      </c>
      <c r="EL112" s="33" t="n">
        <v>14825.767</v>
      </c>
    </row>
    <row r="113" customFormat="false" ht="12.75" hidden="false" customHeight="true" outlineLevel="0" collapsed="false">
      <c r="AA113" s="384" t="n">
        <v>1998</v>
      </c>
      <c r="AB113" s="384" t="s">
        <v>564</v>
      </c>
      <c r="AC113" s="385"/>
      <c r="AD113" s="386"/>
      <c r="AE113" s="387" t="n">
        <v>37098</v>
      </c>
      <c r="AF113" s="387" t="n">
        <v>60064</v>
      </c>
      <c r="AG113" s="387" t="n">
        <v>94876</v>
      </c>
      <c r="AH113" s="387" t="n">
        <v>110014</v>
      </c>
      <c r="AI113" s="387" t="n">
        <v>116915</v>
      </c>
      <c r="AJ113" s="387" t="n">
        <v>119542</v>
      </c>
      <c r="AK113" s="387" t="n">
        <v>144348</v>
      </c>
      <c r="AL113" s="387" t="n">
        <v>132293</v>
      </c>
      <c r="AM113" s="387" t="n">
        <v>111007</v>
      </c>
      <c r="AN113" s="387" t="n">
        <v>120120</v>
      </c>
      <c r="AO113" s="387" t="n">
        <v>132678</v>
      </c>
      <c r="AP113" s="387"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2" t="s">
        <v>565</v>
      </c>
      <c r="BC113" s="393"/>
      <c r="BD113" s="393"/>
      <c r="BE113" s="393"/>
      <c r="BF113" s="394" t="n">
        <v>0</v>
      </c>
      <c r="BG113" s="394" t="n">
        <v>0</v>
      </c>
      <c r="BH113" s="394" t="n">
        <v>0</v>
      </c>
      <c r="BI113" s="394" t="n">
        <v>0</v>
      </c>
      <c r="BJ113" s="394" t="n">
        <v>0</v>
      </c>
      <c r="BK113" s="394" t="n">
        <v>0</v>
      </c>
      <c r="BL113" s="394" t="n">
        <v>0</v>
      </c>
      <c r="BM113" s="394" t="n">
        <v>0</v>
      </c>
      <c r="BN113" s="394" t="n">
        <v>0</v>
      </c>
      <c r="BO113" s="394" t="n">
        <v>0</v>
      </c>
      <c r="BP113" s="394" t="n">
        <v>0</v>
      </c>
      <c r="BQ113" s="395"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7" t="n">
        <f aca="false">IVA!AQ37+IVA!AQ88+IVA!AQ105+IVA!AQ122+IVA!AQ156+IVA!AQ173+IVA!AQ222+IVA!AQ256</f>
        <v>14553281.153742</v>
      </c>
      <c r="CK113" s="377" t="n">
        <f aca="false">IVA!AR37+IVA!AR88+IVA!AR105+IVA!AR122+IVA!AR156+IVA!AR173+IVA!AR222+IVA!AR256</f>
        <v>15222879.8246842</v>
      </c>
      <c r="CL113" s="377" t="n">
        <f aca="false">IVA!AS37+IVA!AS88+IVA!AS105+IVA!AS122+IVA!AS156+IVA!AS173+IVA!AS222+IVA!AS256</f>
        <v>17129366.622385</v>
      </c>
      <c r="CM113" s="378" t="n">
        <f aca="false">IVA!AT37+IVA!AT88+IVA!AT105+IVA!AT122+IVA!AT156+IVA!AT173+IVA!AT222+IVA!AT256</f>
        <v>16925016.7596434</v>
      </c>
      <c r="CN113" s="376" t="n">
        <f aca="false">IVA!AU37+IVA!AU88+IVA!AU105+IVA!AU122+IVA!AU156+IVA!AU173+IVA!AU222+IVA!AU256</f>
        <v>63830544.3604546</v>
      </c>
      <c r="CP113" s="63"/>
      <c r="CQ113" s="13"/>
      <c r="CS113" s="376"/>
      <c r="EJ113" s="31" t="n">
        <v>2061</v>
      </c>
      <c r="EK113" s="32" t="n">
        <v>16596.257</v>
      </c>
      <c r="EL113" s="33" t="n">
        <v>15048.342</v>
      </c>
    </row>
    <row r="114" customFormat="false" ht="12.75" hidden="false" customHeight="true" outlineLevel="0" collapsed="false">
      <c r="AA114" s="384" t="n">
        <v>1999</v>
      </c>
      <c r="AB114" s="384" t="s">
        <v>564</v>
      </c>
      <c r="AC114" s="385"/>
      <c r="AD114" s="386"/>
      <c r="AE114" s="387" t="n">
        <v>63295</v>
      </c>
      <c r="AF114" s="387" t="n">
        <v>108086</v>
      </c>
      <c r="AG114" s="387" t="n">
        <v>78817</v>
      </c>
      <c r="AH114" s="387" t="n">
        <v>124653</v>
      </c>
      <c r="AI114" s="387" t="n">
        <v>138001</v>
      </c>
      <c r="AJ114" s="387" t="n">
        <v>117286</v>
      </c>
      <c r="AK114" s="387" t="n">
        <v>124393</v>
      </c>
      <c r="AL114" s="387" t="n">
        <v>114177</v>
      </c>
      <c r="AM114" s="387" t="n">
        <v>116984</v>
      </c>
      <c r="AN114" s="387" t="n">
        <v>115526</v>
      </c>
      <c r="AO114" s="387" t="n">
        <v>117067</v>
      </c>
      <c r="AP114" s="387"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2" t="s">
        <v>565</v>
      </c>
      <c r="BC114" s="393"/>
      <c r="BD114" s="393"/>
      <c r="BE114" s="393"/>
      <c r="BF114" s="394" t="n">
        <v>0</v>
      </c>
      <c r="BG114" s="394" t="n">
        <v>0</v>
      </c>
      <c r="BH114" s="394" t="n">
        <v>0</v>
      </c>
      <c r="BI114" s="394" t="n">
        <v>0</v>
      </c>
      <c r="BJ114" s="394" t="n">
        <v>0</v>
      </c>
      <c r="BK114" s="394" t="n">
        <v>0</v>
      </c>
      <c r="BL114" s="394" t="n">
        <v>0</v>
      </c>
      <c r="BM114" s="394" t="n">
        <v>0</v>
      </c>
      <c r="BN114" s="394" t="n">
        <v>0</v>
      </c>
      <c r="BO114" s="394" t="n">
        <v>0</v>
      </c>
      <c r="BP114" s="394" t="n">
        <v>0</v>
      </c>
      <c r="BQ114" s="395"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7" t="n">
        <f aca="false">IVA!AQ38+IVA!AQ89+IVA!AQ106+IVA!AQ123+IVA!AQ157+IVA!AQ174+IVA!AQ223+IVA!AQ257</f>
        <v>19593754.0299501</v>
      </c>
      <c r="CK114" s="377" t="n">
        <f aca="false">IVA!AR38+IVA!AR89+IVA!AR106+IVA!AR123+IVA!AR157+IVA!AR174+IVA!AR223+IVA!AR257</f>
        <v>21115349.0191878</v>
      </c>
      <c r="CL114" s="377" t="n">
        <f aca="false">IVA!AS38+IVA!AS89+IVA!AS106+IVA!AS123+IVA!AS157+IVA!AS174+IVA!AS223+IVA!AS257</f>
        <v>23718852.4889704</v>
      </c>
      <c r="CM114" s="378" t="n">
        <f aca="false">IVA!AT38+IVA!AT89+IVA!AT106+IVA!AT123+IVA!AT157+IVA!AT174+IVA!AT223+IVA!AT257</f>
        <v>22982257.0330426</v>
      </c>
      <c r="CN114" s="376" t="n">
        <f aca="false">IVA!AU38+IVA!AU89+IVA!AU106+IVA!AU123+IVA!AU157+IVA!AU174+IVA!AU223+IVA!AU257</f>
        <v>87410212.5711509</v>
      </c>
      <c r="CP114" s="63"/>
      <c r="CQ114" s="13"/>
      <c r="CS114" s="376"/>
      <c r="EJ114" s="31" t="n">
        <v>2062</v>
      </c>
      <c r="EK114" s="32" t="n">
        <v>16791.327</v>
      </c>
      <c r="EL114" s="33" t="n">
        <v>15254.736</v>
      </c>
    </row>
    <row r="115" customFormat="false" ht="12.75" hidden="false" customHeight="true" outlineLevel="0" collapsed="false">
      <c r="AA115" s="384" t="n">
        <v>2000</v>
      </c>
      <c r="AB115" s="384" t="s">
        <v>564</v>
      </c>
      <c r="AC115" s="385"/>
      <c r="AD115" s="386"/>
      <c r="AE115" s="387" t="n">
        <v>57943.98599</v>
      </c>
      <c r="AF115" s="387" t="n">
        <v>108139.94775</v>
      </c>
      <c r="AG115" s="387" t="n">
        <v>78502.98823</v>
      </c>
      <c r="AH115" s="387" t="n">
        <v>114941.72248</v>
      </c>
      <c r="AI115" s="387" t="n">
        <v>103591.3824</v>
      </c>
      <c r="AJ115" s="387" t="n">
        <v>120510.85275</v>
      </c>
      <c r="AK115" s="387" t="n">
        <v>117703.9421</v>
      </c>
      <c r="AL115" s="387" t="n">
        <v>125663.4487</v>
      </c>
      <c r="AM115" s="387" t="n">
        <v>124285.6659</v>
      </c>
      <c r="AN115" s="387" t="n">
        <v>105768.6182</v>
      </c>
      <c r="AO115" s="387" t="n">
        <v>89761.76585</v>
      </c>
      <c r="AP115" s="387"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2" t="s">
        <v>565</v>
      </c>
      <c r="BC115" s="393"/>
      <c r="BD115" s="393"/>
      <c r="BE115" s="393"/>
      <c r="BF115" s="394" t="n">
        <v>0</v>
      </c>
      <c r="BG115" s="394" t="n">
        <v>0</v>
      </c>
      <c r="BH115" s="394" t="n">
        <v>0</v>
      </c>
      <c r="BI115" s="394" t="n">
        <v>0</v>
      </c>
      <c r="BJ115" s="394" t="n">
        <v>0</v>
      </c>
      <c r="BK115" s="394" t="n">
        <v>0</v>
      </c>
      <c r="BL115" s="394" t="n">
        <v>0</v>
      </c>
      <c r="BM115" s="394" t="n">
        <v>0</v>
      </c>
      <c r="BN115" s="394" t="n">
        <v>0</v>
      </c>
      <c r="BO115" s="394" t="n">
        <v>0</v>
      </c>
      <c r="BP115" s="394" t="n">
        <v>0</v>
      </c>
      <c r="BQ115" s="395"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7" t="n">
        <f aca="false">IVA!AQ39+IVA!AQ90+IVA!AQ107+IVA!AQ124+IVA!AQ158+IVA!AQ175+IVA!AQ224+IVA!AQ258</f>
        <v>24555790.606655</v>
      </c>
      <c r="CK115" s="377" t="n">
        <f aca="false">IVA!AR39+IVA!AR90+IVA!AR107+IVA!AR124+IVA!AR158+IVA!AR175+IVA!AR224+IVA!AR258</f>
        <v>24330436.679265</v>
      </c>
      <c r="CL115" s="377" t="n">
        <f aca="false">IVA!AS39+IVA!AS90+IVA!AS107+IVA!AS124+IVA!AS158+IVA!AS175+IVA!AS224+IVA!AS258</f>
        <v>27489756.503337</v>
      </c>
      <c r="CM115" s="378" t="n">
        <f aca="false">IVA!AT39+IVA!AT90+IVA!AT107+IVA!AT124+IVA!AT158+IVA!AT175+IVA!AT224+IVA!AT258</f>
        <v>27096114.310242</v>
      </c>
      <c r="CN115" s="376" t="n">
        <f aca="false">IVA!AU39+IVA!AU90+IVA!AU107+IVA!AU124+IVA!AU158+IVA!AU175+IVA!AU224+IVA!AU258</f>
        <v>103472098.099499</v>
      </c>
      <c r="CP115" s="63"/>
      <c r="CQ115" s="13"/>
      <c r="CS115" s="376"/>
      <c r="EJ115" s="31" t="n">
        <v>2063</v>
      </c>
      <c r="EK115" s="32" t="n">
        <v>16973.513</v>
      </c>
      <c r="EL115" s="33" t="n">
        <v>15447.829</v>
      </c>
    </row>
    <row r="116" customFormat="false" ht="12.75" hidden="false" customHeight="true" outlineLevel="0" collapsed="false">
      <c r="AA116" s="384" t="n">
        <v>2001</v>
      </c>
      <c r="AB116" s="384" t="s">
        <v>564</v>
      </c>
      <c r="AC116" s="385"/>
      <c r="AD116" s="386"/>
      <c r="AE116" s="387" t="n">
        <v>64557.35843</v>
      </c>
      <c r="AF116" s="387" t="n">
        <v>106042.98718</v>
      </c>
      <c r="AG116" s="387" t="n">
        <v>96746.09977</v>
      </c>
      <c r="AH116" s="387" t="n">
        <v>97726.50808</v>
      </c>
      <c r="AI116" s="387" t="n">
        <v>132494.38878</v>
      </c>
      <c r="AJ116" s="387" t="n">
        <v>117523.0757</v>
      </c>
      <c r="AK116" s="387" t="n">
        <v>140646.20213</v>
      </c>
      <c r="AL116" s="387" t="n">
        <v>132009.09457</v>
      </c>
      <c r="AM116" s="387" t="n">
        <v>134489.89548</v>
      </c>
      <c r="AN116" s="387" t="n">
        <v>103161.54565</v>
      </c>
      <c r="AO116" s="387" t="n">
        <v>132676.5242</v>
      </c>
      <c r="AP116" s="387"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2" t="s">
        <v>565</v>
      </c>
      <c r="BC116" s="393"/>
      <c r="BD116" s="393"/>
      <c r="BE116" s="393"/>
      <c r="BF116" s="394" t="n">
        <v>0</v>
      </c>
      <c r="BG116" s="394" t="n">
        <v>0</v>
      </c>
      <c r="BH116" s="394" t="n">
        <v>0</v>
      </c>
      <c r="BI116" s="394" t="n">
        <v>0</v>
      </c>
      <c r="BJ116" s="394" t="n">
        <v>0</v>
      </c>
      <c r="BK116" s="394" t="n">
        <v>0</v>
      </c>
      <c r="BL116" s="394" t="n">
        <v>0</v>
      </c>
      <c r="BM116" s="394" t="n">
        <v>0</v>
      </c>
      <c r="BN116" s="394" t="n">
        <v>0</v>
      </c>
      <c r="BO116" s="394" t="n">
        <v>0</v>
      </c>
      <c r="BP116" s="394" t="n">
        <v>0</v>
      </c>
      <c r="BQ116" s="395"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7" t="n">
        <f aca="false">IVA!AQ40+IVA!AQ91+IVA!AQ108+IVA!AQ125+IVA!AQ159+IVA!AQ176+IVA!AQ225+IVA!AQ259+IVA!AQ196</f>
        <v>30756442.189347</v>
      </c>
      <c r="CK116" s="377" t="n">
        <f aca="false">IVA!AR40+IVA!AR91+IVA!AR108+IVA!AR125+IVA!AR159+IVA!AR176+IVA!AR225+IVA!AR259+IVA!AR196</f>
        <v>33271206.421469</v>
      </c>
      <c r="CL116" s="377" t="n">
        <f aca="false">IVA!AS40+IVA!AS91+IVA!AS108+IVA!AS125+IVA!AS159+IVA!AS176+IVA!AS225+IVA!AS259+IVA!AS196</f>
        <v>36700530.628006</v>
      </c>
      <c r="CM116" s="377" t="n">
        <f aca="false">IVA!AT40+IVA!AT91+IVA!AT108+IVA!AT125+IVA!AT159+IVA!AT176+IVA!AT225+IVA!AT259+IVA!AT196</f>
        <v>37098425.208839</v>
      </c>
      <c r="CN116" s="378" t="n">
        <f aca="false">IVA!AU40+IVA!AU91+IVA!AU108+IVA!AU125+IVA!AU159+IVA!AU176+IVA!AU225+IVA!AU259+IVA!AU196</f>
        <v>137826604.447661</v>
      </c>
      <c r="CP116" s="63"/>
      <c r="CQ116" s="13"/>
      <c r="CS116" s="376"/>
      <c r="EJ116" s="31" t="n">
        <v>2064</v>
      </c>
      <c r="EK116" s="32" t="n">
        <v>17149.893</v>
      </c>
      <c r="EL116" s="33" t="n">
        <v>15631.406</v>
      </c>
    </row>
    <row r="117" customFormat="false" ht="12.75" hidden="false" customHeight="true" outlineLevel="0" collapsed="false">
      <c r="AA117" s="384" t="n">
        <v>2002</v>
      </c>
      <c r="AB117" s="384" t="s">
        <v>564</v>
      </c>
      <c r="AC117" s="385"/>
      <c r="AD117" s="386"/>
      <c r="AE117" s="387" t="n">
        <v>140938.35918</v>
      </c>
      <c r="AF117" s="387" t="n">
        <v>110916.41313</v>
      </c>
      <c r="AG117" s="387" t="n">
        <v>100075.61823</v>
      </c>
      <c r="AH117" s="387" t="n">
        <v>91119.59574</v>
      </c>
      <c r="AI117" s="387" t="n">
        <v>143243.32487</v>
      </c>
      <c r="AJ117" s="387" t="n">
        <v>120302.19994</v>
      </c>
      <c r="AK117" s="387" t="n">
        <v>117485.29037</v>
      </c>
      <c r="AL117" s="387" t="n">
        <v>119910.51093</v>
      </c>
      <c r="AM117" s="387" t="n">
        <v>108536.17022</v>
      </c>
      <c r="AN117" s="387" t="n">
        <v>104012.03914</v>
      </c>
      <c r="AO117" s="387" t="n">
        <v>119116.23767</v>
      </c>
      <c r="AP117" s="387"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2" t="s">
        <v>565</v>
      </c>
      <c r="BC117" s="393"/>
      <c r="BD117" s="393"/>
      <c r="BE117" s="393"/>
      <c r="BF117" s="394" t="n">
        <v>0</v>
      </c>
      <c r="BG117" s="394" t="n">
        <v>0</v>
      </c>
      <c r="BH117" s="394" t="n">
        <v>0</v>
      </c>
      <c r="BI117" s="394" t="n">
        <v>55345.280754</v>
      </c>
      <c r="BJ117" s="394" t="n">
        <v>90047.781708</v>
      </c>
      <c r="BK117" s="394" t="n">
        <v>82454.923977</v>
      </c>
      <c r="BL117" s="394" t="n">
        <v>87547.637949</v>
      </c>
      <c r="BM117" s="394" t="n">
        <v>129495.838086</v>
      </c>
      <c r="BN117" s="394" t="n">
        <v>113142.392754</v>
      </c>
      <c r="BO117" s="394" t="n">
        <v>121960.707303</v>
      </c>
      <c r="BP117" s="394" t="n">
        <v>110589.411951</v>
      </c>
      <c r="BQ117" s="395"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7" t="n">
        <f aca="false">IVA!AQ41+IVA!AQ92+IVA!AQ109+IVA!AQ126+IVA!AQ160+IVA!AQ177+IVA!AQ226+IVA!AQ260+IVA!AQ197</f>
        <v>41588568.219901</v>
      </c>
      <c r="CK117" s="377" t="n">
        <f aca="false">IVA!AR41+IVA!AR92+IVA!AR109+IVA!AR126+IVA!AR160+IVA!AR177+IVA!AR226+IVA!AR260+IVA!AR197</f>
        <v>44999336.979051</v>
      </c>
      <c r="CL117" s="377" t="n">
        <f aca="false">IVA!AS41+IVA!AS92+IVA!AS109+IVA!AS126+IVA!AS160+IVA!AS177+IVA!AS226+IVA!AS260+IVA!AS197</f>
        <v>49458875.491515</v>
      </c>
      <c r="CM117" s="377" t="n">
        <f aca="false">IVA!AT41+IVA!AT92+IVA!AT109+IVA!AT126+IVA!AT160+IVA!AT177+IVA!AT226+IVA!AT260+IVA!AT197</f>
        <v>48642979.960937</v>
      </c>
      <c r="CN117" s="378" t="n">
        <f aca="false">IVA!AU41+IVA!AU92+IVA!AU109+IVA!AU126+IVA!AU160+IVA!AU177+IVA!AU226+IVA!AU260+IVA!AU197</f>
        <v>184689760.651404</v>
      </c>
      <c r="CP117" s="63"/>
      <c r="CQ117" s="13"/>
      <c r="CS117" s="376"/>
      <c r="EJ117" s="31" t="n">
        <v>2065</v>
      </c>
      <c r="EK117" s="32" t="n">
        <v>17324.612</v>
      </c>
      <c r="EL117" s="33" t="n">
        <v>15807.701</v>
      </c>
    </row>
    <row r="118" customFormat="false" ht="12.75" hidden="false" customHeight="true" outlineLevel="0" collapsed="false">
      <c r="AA118" s="384" t="n">
        <v>2003</v>
      </c>
      <c r="AB118" s="384" t="s">
        <v>564</v>
      </c>
      <c r="AC118" s="385"/>
      <c r="AD118" s="386"/>
      <c r="AE118" s="387" t="n">
        <v>70456.44104</v>
      </c>
      <c r="AF118" s="387" t="n">
        <v>116072.15543</v>
      </c>
      <c r="AG118" s="387" t="n">
        <v>104366.03255</v>
      </c>
      <c r="AH118" s="387" t="n">
        <v>128298.10861</v>
      </c>
      <c r="AI118" s="387" t="n">
        <v>134193.81916</v>
      </c>
      <c r="AJ118" s="387" t="n">
        <v>130995.16439</v>
      </c>
      <c r="AK118" s="387" t="n">
        <v>103339.31846</v>
      </c>
      <c r="AL118" s="387" t="n">
        <v>140268.25081</v>
      </c>
      <c r="AM118" s="387" t="n">
        <v>126430.48571</v>
      </c>
      <c r="AN118" s="387" t="n">
        <v>137436.16349</v>
      </c>
      <c r="AO118" s="387" t="n">
        <v>129874.73434</v>
      </c>
      <c r="AP118" s="387"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2" t="s">
        <v>565</v>
      </c>
      <c r="BC118" s="393"/>
      <c r="BD118" s="393"/>
      <c r="BE118" s="393"/>
      <c r="BF118" s="394" t="n">
        <v>113452.716306</v>
      </c>
      <c r="BG118" s="394" t="n">
        <v>85972.116693</v>
      </c>
      <c r="BH118" s="394" t="n">
        <v>93851.480853</v>
      </c>
      <c r="BI118" s="394" t="n">
        <v>97737.267006</v>
      </c>
      <c r="BJ118" s="394" t="n">
        <v>151994.866002</v>
      </c>
      <c r="BK118" s="394" t="n">
        <v>121548.24915</v>
      </c>
      <c r="BL118" s="394" t="n">
        <v>141707.829639</v>
      </c>
      <c r="BM118" s="394" t="n">
        <v>129130.45515</v>
      </c>
      <c r="BN118" s="394" t="n">
        <v>125952.438108</v>
      </c>
      <c r="BO118" s="394" t="n">
        <v>138776.527464</v>
      </c>
      <c r="BP118" s="394" t="n">
        <v>131021.143887</v>
      </c>
      <c r="BQ118" s="395"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6" t="n">
        <f aca="false">IVA!AQ42+IVA!AQ93+IVA!AQ110+IVA!AQ127+IVA!AQ161+IVA!AQ178+IVA!AQ227+IVA!AQ261+IVA!AQ198</f>
        <v>54510660.5071087</v>
      </c>
      <c r="CK118" s="396" t="n">
        <f aca="false">IVA!AR42+IVA!AR93+IVA!AR110+IVA!AR127+IVA!AR161+IVA!AR178+IVA!AR227+IVA!AR261+IVA!AR198</f>
        <v>56628500.2021841</v>
      </c>
      <c r="CL118" s="396" t="n">
        <f aca="false">IVA!AS42+IVA!AS93+IVA!AS110+IVA!AS127+IVA!AS161+IVA!AS178+IVA!AS227+IVA!AS261+IVA!AS198</f>
        <v>64130757.491053</v>
      </c>
      <c r="CM118" s="396" t="n">
        <f aca="false">IVA!AT42+IVA!AT93+IVA!AT110+IVA!AT127+IVA!AT161+IVA!AT178+IVA!AT227+IVA!AT261+IVA!AT198</f>
        <v>64642829.5405238</v>
      </c>
      <c r="CN118" s="397" t="n">
        <f aca="false">IVA!AU42+IVA!AU93+IVA!AU110+IVA!AU127+IVA!AU161+IVA!AU178+IVA!AU227+IVA!AU261+IVA!AU198</f>
        <v>239912747.74087</v>
      </c>
      <c r="CO118" s="398"/>
      <c r="CQ118" s="365"/>
      <c r="CS118" s="399"/>
      <c r="EJ118" s="31" t="n">
        <v>2066</v>
      </c>
      <c r="EK118" s="32" t="n">
        <v>17482.685</v>
      </c>
      <c r="EL118" s="33" t="n">
        <v>15962.498</v>
      </c>
    </row>
    <row r="119" customFormat="false" ht="12.75" hidden="false" customHeight="true" outlineLevel="0" collapsed="false">
      <c r="AA119" s="384" t="n">
        <v>2004</v>
      </c>
      <c r="AB119" s="384" t="s">
        <v>564</v>
      </c>
      <c r="AC119" s="385"/>
      <c r="AD119" s="386"/>
      <c r="AE119" s="387" t="n">
        <v>63950.05241</v>
      </c>
      <c r="AF119" s="387" t="n">
        <v>112985.20282</v>
      </c>
      <c r="AG119" s="387" t="n">
        <v>113687.32378</v>
      </c>
      <c r="AH119" s="387" t="n">
        <v>163347.0572</v>
      </c>
      <c r="AI119" s="387" t="n">
        <v>171090.1398</v>
      </c>
      <c r="AJ119" s="387" t="n">
        <v>126811.03015</v>
      </c>
      <c r="AK119" s="387" t="n">
        <v>122016.13582</v>
      </c>
      <c r="AL119" s="387" t="n">
        <v>150630.10774</v>
      </c>
      <c r="AM119" s="387" t="n">
        <v>89424.96845</v>
      </c>
      <c r="AN119" s="387" t="n">
        <v>136847.76257</v>
      </c>
      <c r="AO119" s="387" t="n">
        <v>142073.98616</v>
      </c>
      <c r="AP119" s="387"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2" t="s">
        <v>565</v>
      </c>
      <c r="BC119" s="393"/>
      <c r="BD119" s="393"/>
      <c r="BE119" s="393"/>
      <c r="BF119" s="394" t="n">
        <v>154716.728586</v>
      </c>
      <c r="BG119" s="394" t="n">
        <v>118405.311555</v>
      </c>
      <c r="BH119" s="394" t="n">
        <v>126271.301241</v>
      </c>
      <c r="BI119" s="394" t="n">
        <v>138512.197824</v>
      </c>
      <c r="BJ119" s="394" t="n">
        <v>148260.89271</v>
      </c>
      <c r="BK119" s="394" t="n">
        <v>141884.778351</v>
      </c>
      <c r="BL119" s="394" t="n">
        <v>155488.9581</v>
      </c>
      <c r="BM119" s="394" t="n">
        <v>141026.185605</v>
      </c>
      <c r="BN119" s="394" t="n">
        <v>155078.719698</v>
      </c>
      <c r="BO119" s="394" t="n">
        <v>166880.988969</v>
      </c>
      <c r="BP119" s="394" t="n">
        <v>152335.245537</v>
      </c>
      <c r="BQ119" s="395"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4" t="n">
        <v>2005</v>
      </c>
      <c r="AB120" s="384" t="s">
        <v>564</v>
      </c>
      <c r="AC120" s="385"/>
      <c r="AD120" s="386"/>
      <c r="AE120" s="387" t="n">
        <v>71794.95564</v>
      </c>
      <c r="AF120" s="387" t="n">
        <v>148553.37438</v>
      </c>
      <c r="AG120" s="387" t="n">
        <v>128482.50571</v>
      </c>
      <c r="AH120" s="387" t="n">
        <v>169773.50294</v>
      </c>
      <c r="AI120" s="387" t="n">
        <v>163080.65821</v>
      </c>
      <c r="AJ120" s="387" t="n">
        <v>156480.8317</v>
      </c>
      <c r="AK120" s="387" t="n">
        <v>127436.72893</v>
      </c>
      <c r="AL120" s="387" t="n">
        <v>155286.17953</v>
      </c>
      <c r="AM120" s="387" t="n">
        <v>162126.4177</v>
      </c>
      <c r="AN120" s="387" t="n">
        <v>168542.72967</v>
      </c>
      <c r="AO120" s="387" t="n">
        <v>162410.51395</v>
      </c>
      <c r="AP120" s="387"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2" t="s">
        <v>565</v>
      </c>
      <c r="BC120" s="393"/>
      <c r="BD120" s="393"/>
      <c r="BE120" s="393"/>
      <c r="BF120" s="394" t="n">
        <v>182068.657944</v>
      </c>
      <c r="BG120" s="394" t="n">
        <v>154327.237584</v>
      </c>
      <c r="BH120" s="394" t="n">
        <v>182176.471695</v>
      </c>
      <c r="BI120" s="394" t="n">
        <v>171541.439169</v>
      </c>
      <c r="BJ120" s="394" t="n">
        <v>201041.288091</v>
      </c>
      <c r="BK120" s="394" t="n">
        <v>195622.134006</v>
      </c>
      <c r="BL120" s="394" t="n">
        <v>201906.593445</v>
      </c>
      <c r="BM120" s="394" t="n">
        <v>195714.168942</v>
      </c>
      <c r="BN120" s="394" t="n">
        <v>199524.967227</v>
      </c>
      <c r="BO120" s="394" t="n">
        <v>193286.798289</v>
      </c>
      <c r="BP120" s="394" t="n">
        <v>205996.890591</v>
      </c>
      <c r="BQ120" s="395"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4" t="n">
        <v>2006</v>
      </c>
      <c r="AB121" s="384" t="s">
        <v>564</v>
      </c>
      <c r="AC121" s="385"/>
      <c r="AD121" s="386"/>
      <c r="AE121" s="387" t="n">
        <v>50993.77833</v>
      </c>
      <c r="AF121" s="387" t="n">
        <v>172495.10666</v>
      </c>
      <c r="AG121" s="387" t="n">
        <v>136176.99366</v>
      </c>
      <c r="AH121" s="387" t="n">
        <v>163777.68248</v>
      </c>
      <c r="AI121" s="387" t="n">
        <v>192305.40105</v>
      </c>
      <c r="AJ121" s="387" t="n">
        <v>177883.09615</v>
      </c>
      <c r="AK121" s="387" t="n">
        <v>162935.86623</v>
      </c>
      <c r="AL121" s="387" t="n">
        <v>179528.14003</v>
      </c>
      <c r="AM121" s="387" t="n">
        <v>158475.04203</v>
      </c>
      <c r="AN121" s="387" t="n">
        <v>150607.65471</v>
      </c>
      <c r="AO121" s="387" t="n">
        <v>184812.66679</v>
      </c>
      <c r="AP121" s="387"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2" t="s">
        <v>565</v>
      </c>
      <c r="BC121" s="393"/>
      <c r="BD121" s="393"/>
      <c r="BE121" s="393"/>
      <c r="BF121" s="394" t="n">
        <v>206516.6484</v>
      </c>
      <c r="BG121" s="394" t="n">
        <v>194424.113223</v>
      </c>
      <c r="BH121" s="394" t="n">
        <v>217165.17138</v>
      </c>
      <c r="BI121" s="394" t="n">
        <v>225246.92991</v>
      </c>
      <c r="BJ121" s="394" t="n">
        <v>231938.927334</v>
      </c>
      <c r="BK121" s="394" t="n">
        <v>241990.024668</v>
      </c>
      <c r="BL121" s="394" t="n">
        <v>239755.673475</v>
      </c>
      <c r="BM121" s="394" t="n">
        <v>242608.887291</v>
      </c>
      <c r="BN121" s="394" t="n">
        <v>244484.081049</v>
      </c>
      <c r="BO121" s="394" t="n">
        <v>238332.120024</v>
      </c>
      <c r="BP121" s="394" t="n">
        <v>256337.104344</v>
      </c>
      <c r="BQ121" s="395"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4" t="n">
        <v>2007</v>
      </c>
      <c r="AB122" s="384" t="s">
        <v>564</v>
      </c>
      <c r="AC122" s="385"/>
      <c r="AD122" s="386"/>
      <c r="AE122" s="387" t="n">
        <v>91520.3285</v>
      </c>
      <c r="AF122" s="387" t="n">
        <v>157802.06372</v>
      </c>
      <c r="AG122" s="387" t="n">
        <v>144240.03131</v>
      </c>
      <c r="AH122" s="387" t="n">
        <v>171566.08272</v>
      </c>
      <c r="AI122" s="387" t="n">
        <v>184852.19498</v>
      </c>
      <c r="AJ122" s="387" t="n">
        <v>162748.16385</v>
      </c>
      <c r="AK122" s="387" t="n">
        <v>167497.64621</v>
      </c>
      <c r="AL122" s="387" t="n">
        <v>224777.16239</v>
      </c>
      <c r="AM122" s="387" t="n">
        <v>237447.55387</v>
      </c>
      <c r="AN122" s="387" t="n">
        <v>176313.77909</v>
      </c>
      <c r="AO122" s="387" t="n">
        <v>223146.74532</v>
      </c>
      <c r="AP122" s="387"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2" t="s">
        <v>565</v>
      </c>
      <c r="BC122" s="393"/>
      <c r="BD122" s="393"/>
      <c r="BE122" s="393"/>
      <c r="BF122" s="394" t="n">
        <v>267747.402609</v>
      </c>
      <c r="BG122" s="394" t="n">
        <v>237691.574889</v>
      </c>
      <c r="BH122" s="394" t="n">
        <v>273170.314029</v>
      </c>
      <c r="BI122" s="394" t="n">
        <v>252155.112315</v>
      </c>
      <c r="BJ122" s="394" t="n">
        <v>304530.060069</v>
      </c>
      <c r="BK122" s="394" t="n">
        <v>306229.74264</v>
      </c>
      <c r="BL122" s="394" t="n">
        <v>296164.266462</v>
      </c>
      <c r="BM122" s="394" t="n">
        <v>301470.608268</v>
      </c>
      <c r="BN122" s="394" t="n">
        <v>281171.090022</v>
      </c>
      <c r="BO122" s="394" t="n">
        <v>287096.376123</v>
      </c>
      <c r="BP122" s="394" t="n">
        <v>337214.286213</v>
      </c>
      <c r="BQ122" s="395"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4" t="n">
        <v>2008</v>
      </c>
      <c r="AB123" s="384" t="s">
        <v>564</v>
      </c>
      <c r="AC123" s="385"/>
      <c r="AD123" s="386"/>
      <c r="AE123" s="387" t="n">
        <v>153351.08616</v>
      </c>
      <c r="AF123" s="387" t="n">
        <v>217610.79157</v>
      </c>
      <c r="AG123" s="387" t="n">
        <v>196814.7983</v>
      </c>
      <c r="AH123" s="387" t="n">
        <v>210950.91367</v>
      </c>
      <c r="AI123" s="387" t="n">
        <v>200632.4851</v>
      </c>
      <c r="AJ123" s="387" t="n">
        <v>273575.62809</v>
      </c>
      <c r="AK123" s="387" t="n">
        <v>203292.12955</v>
      </c>
      <c r="AL123" s="387" t="n">
        <v>179226.63557</v>
      </c>
      <c r="AM123" s="387" t="n">
        <v>199563.62365</v>
      </c>
      <c r="AN123" s="387" t="n">
        <v>194372.84271</v>
      </c>
      <c r="AO123" s="387" t="n">
        <v>138709.67142</v>
      </c>
      <c r="AP123" s="387"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2" t="s">
        <v>565</v>
      </c>
      <c r="BC123" s="393"/>
      <c r="BD123" s="393"/>
      <c r="BE123" s="393"/>
      <c r="BF123" s="394" t="n">
        <v>318621.094647</v>
      </c>
      <c r="BG123" s="394" t="n">
        <v>338282.830002</v>
      </c>
      <c r="BH123" s="394" t="n">
        <v>307444.577322</v>
      </c>
      <c r="BI123" s="394" t="n">
        <v>315227.702877</v>
      </c>
      <c r="BJ123" s="394" t="n">
        <v>384099.622962</v>
      </c>
      <c r="BK123" s="394" t="n">
        <v>396959.950665</v>
      </c>
      <c r="BL123" s="394" t="n">
        <v>370753.807329</v>
      </c>
      <c r="BM123" s="394" t="n">
        <v>409098.463671</v>
      </c>
      <c r="BN123" s="394" t="n">
        <v>410128.369305</v>
      </c>
      <c r="BO123" s="394" t="n">
        <v>395036.829354</v>
      </c>
      <c r="BP123" s="394" t="n">
        <v>451490.313132</v>
      </c>
      <c r="BQ123" s="395"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4" t="n">
        <v>2009</v>
      </c>
      <c r="AB124" s="384" t="s">
        <v>564</v>
      </c>
      <c r="AC124" s="385"/>
      <c r="AD124" s="386"/>
      <c r="AE124" s="387" t="n">
        <v>148950</v>
      </c>
      <c r="AF124" s="387" t="n">
        <v>244545</v>
      </c>
      <c r="AG124" s="387" t="n">
        <v>175544</v>
      </c>
      <c r="AH124" s="387" t="n">
        <v>209580</v>
      </c>
      <c r="AI124" s="387" t="n">
        <v>216825</v>
      </c>
      <c r="AJ124" s="387" t="n">
        <v>206601</v>
      </c>
      <c r="AK124" s="387" t="n">
        <v>197734</v>
      </c>
      <c r="AL124" s="387" t="n">
        <v>182829</v>
      </c>
      <c r="AM124" s="387" t="n">
        <v>242406</v>
      </c>
      <c r="AN124" s="387" t="n">
        <v>259464</v>
      </c>
      <c r="AO124" s="387" t="n">
        <v>328363</v>
      </c>
      <c r="AP124" s="387"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2" t="s">
        <v>565</v>
      </c>
      <c r="BC124" s="393"/>
      <c r="BD124" s="393"/>
      <c r="BE124" s="393"/>
      <c r="BF124" s="394" t="n">
        <v>473898.350748</v>
      </c>
      <c r="BG124" s="394" t="n">
        <v>451529.494986</v>
      </c>
      <c r="BH124" s="394" t="n">
        <v>382273.061115</v>
      </c>
      <c r="BI124" s="394" t="n">
        <v>481518.158595</v>
      </c>
      <c r="BJ124" s="394" t="n">
        <v>505751.518278</v>
      </c>
      <c r="BK124" s="394" t="n">
        <v>458348.591859</v>
      </c>
      <c r="BL124" s="394" t="n">
        <v>519797.240091</v>
      </c>
      <c r="BM124" s="394" t="n">
        <v>523580.053992</v>
      </c>
      <c r="BN124" s="394" t="n">
        <v>505339.945968</v>
      </c>
      <c r="BO124" s="394" t="n">
        <v>524154.154059</v>
      </c>
      <c r="BP124" s="394" t="n">
        <v>512074.996941</v>
      </c>
      <c r="BQ124" s="395"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4" t="n">
        <v>2010</v>
      </c>
      <c r="AB125" s="384" t="s">
        <v>564</v>
      </c>
      <c r="AC125" s="385"/>
      <c r="AD125" s="386"/>
      <c r="AE125" s="387" t="n">
        <v>131993</v>
      </c>
      <c r="AF125" s="387" t="n">
        <v>310924</v>
      </c>
      <c r="AG125" s="387" t="n">
        <v>246304</v>
      </c>
      <c r="AH125" s="387" t="n">
        <v>235479</v>
      </c>
      <c r="AI125" s="387" t="n">
        <v>384698</v>
      </c>
      <c r="AJ125" s="387" t="n">
        <v>288049</v>
      </c>
      <c r="AK125" s="387" t="n">
        <v>227821</v>
      </c>
      <c r="AL125" s="387" t="n">
        <v>298926</v>
      </c>
      <c r="AM125" s="387" t="n">
        <v>320192</v>
      </c>
      <c r="AN125" s="387" t="n">
        <v>340085</v>
      </c>
      <c r="AO125" s="387" t="n">
        <v>341358</v>
      </c>
      <c r="AP125" s="387"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2" t="s">
        <v>565</v>
      </c>
      <c r="BC125" s="393"/>
      <c r="BD125" s="393"/>
      <c r="BE125" s="393"/>
      <c r="BF125" s="394" t="n">
        <v>508417.5</v>
      </c>
      <c r="BG125" s="394" t="n">
        <v>455738.7</v>
      </c>
      <c r="BH125" s="394" t="n">
        <v>429488.7</v>
      </c>
      <c r="BI125" s="394" t="n">
        <v>500436.3</v>
      </c>
      <c r="BJ125" s="394" t="n">
        <v>515154</v>
      </c>
      <c r="BK125" s="394" t="n">
        <v>512405.1</v>
      </c>
      <c r="BL125" s="394" t="n">
        <v>533752.8</v>
      </c>
      <c r="BM125" s="394" t="n">
        <v>507649.2</v>
      </c>
      <c r="BN125" s="394" t="n">
        <v>540745.8</v>
      </c>
      <c r="BO125" s="394" t="n">
        <v>530837.4</v>
      </c>
      <c r="BP125" s="394" t="n">
        <v>523606.5</v>
      </c>
      <c r="BQ125" s="395"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4" t="n">
        <v>2011</v>
      </c>
      <c r="AB126" s="384" t="s">
        <v>564</v>
      </c>
      <c r="AC126" s="385"/>
      <c r="AD126" s="386"/>
      <c r="AE126" s="387" t="n">
        <v>136705</v>
      </c>
      <c r="AF126" s="387" t="n">
        <v>332772</v>
      </c>
      <c r="AG126" s="387" t="n">
        <v>228070</v>
      </c>
      <c r="AH126" s="387" t="n">
        <v>303387</v>
      </c>
      <c r="AI126" s="387" t="n">
        <v>412368</v>
      </c>
      <c r="AJ126" s="387" t="n">
        <v>349446</v>
      </c>
      <c r="AK126" s="387" t="n">
        <v>289540</v>
      </c>
      <c r="AL126" s="387" t="n">
        <v>310604</v>
      </c>
      <c r="AM126" s="387" t="n">
        <v>364774</v>
      </c>
      <c r="AN126" s="387" t="n">
        <v>366367</v>
      </c>
      <c r="AO126" s="387" t="n">
        <v>330674</v>
      </c>
      <c r="AP126" s="387"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2" t="s">
        <v>565</v>
      </c>
      <c r="BC126" s="393"/>
      <c r="BD126" s="393"/>
      <c r="BE126" s="393"/>
      <c r="BF126" s="394" t="n">
        <v>583465.5</v>
      </c>
      <c r="BG126" s="394" t="n">
        <v>540616.2</v>
      </c>
      <c r="BH126" s="394" t="n">
        <v>545902.2</v>
      </c>
      <c r="BI126" s="394" t="n">
        <v>622359</v>
      </c>
      <c r="BJ126" s="394" t="n">
        <v>670904.4</v>
      </c>
      <c r="BK126" s="394" t="n">
        <v>656787.9</v>
      </c>
      <c r="BL126" s="394" t="n">
        <v>730894.5</v>
      </c>
      <c r="BM126" s="394" t="n">
        <v>666619.8</v>
      </c>
      <c r="BN126" s="394" t="n">
        <v>753512.1</v>
      </c>
      <c r="BO126" s="394" t="n">
        <v>737330.7</v>
      </c>
      <c r="BP126" s="394" t="n">
        <v>691116.9</v>
      </c>
      <c r="BQ126" s="395"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0" t="n">
        <v>2012</v>
      </c>
      <c r="AB127" s="400" t="s">
        <v>564</v>
      </c>
      <c r="AC127" s="401"/>
      <c r="AD127" s="402"/>
      <c r="AE127" s="403" t="n">
        <v>160786.74215</v>
      </c>
      <c r="AF127" s="403" t="n">
        <v>429566.74187</v>
      </c>
      <c r="AG127" s="403" t="n">
        <v>318511.47319</v>
      </c>
      <c r="AH127" s="403" t="n">
        <v>430471.05297</v>
      </c>
      <c r="AI127" s="403" t="n">
        <v>499338.50795</v>
      </c>
      <c r="AJ127" s="403" t="n">
        <v>359589.50917</v>
      </c>
      <c r="AK127" s="403" t="n">
        <v>554242.62278</v>
      </c>
      <c r="AL127" s="403" t="n">
        <v>519201.84511</v>
      </c>
      <c r="AM127" s="403" t="n">
        <v>587472.5845</v>
      </c>
      <c r="AN127" s="403" t="n">
        <v>481885.58903</v>
      </c>
      <c r="AO127" s="403" t="n">
        <v>526811.37381</v>
      </c>
      <c r="AP127" s="403"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2" t="s">
        <v>565</v>
      </c>
      <c r="BC127" s="393"/>
      <c r="BD127" s="393"/>
      <c r="BE127" s="393"/>
      <c r="BF127" s="394" t="n">
        <v>798552.3</v>
      </c>
      <c r="BG127" s="394" t="n">
        <v>785827.2</v>
      </c>
      <c r="BH127" s="394" t="n">
        <v>731175.6</v>
      </c>
      <c r="BI127" s="394" t="n">
        <v>806261.7</v>
      </c>
      <c r="BJ127" s="394" t="n">
        <v>885406.5</v>
      </c>
      <c r="BK127" s="394" t="n">
        <v>952731.9</v>
      </c>
      <c r="BL127" s="394" t="n">
        <v>987843.6</v>
      </c>
      <c r="BM127" s="394" t="n">
        <v>874647.6</v>
      </c>
      <c r="BN127" s="394" t="n">
        <v>1062715.2</v>
      </c>
      <c r="BO127" s="394" t="n">
        <v>943637.4</v>
      </c>
      <c r="BP127" s="394" t="n">
        <v>1005294.9</v>
      </c>
      <c r="BQ127" s="395"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4" t="n">
        <f aca="false">IVA!BF181+IVA!BG181+IVA!BH181</f>
        <v>858969.87188318</v>
      </c>
      <c r="CK127" s="374" t="n">
        <f aca="false">IVA!BG181+IVA!BH181+IVA!BI181</f>
        <v>839390.740624926</v>
      </c>
      <c r="CL127" s="374" t="n">
        <f aca="false">IVA!BH181+IVA!BI181+IVA!BJ181</f>
        <v>933697.859165308</v>
      </c>
      <c r="CM127" s="374" t="n">
        <f aca="false">IVA!BI181+IVA!BJ181+IVA!BK181</f>
        <v>957865.689300838</v>
      </c>
      <c r="CN127" s="375" t="n">
        <f aca="false">IVA!BJ181+IVA!BK181+IVA!BL181</f>
        <v>951301.571998422</v>
      </c>
      <c r="EJ127" s="31" t="n">
        <v>2075</v>
      </c>
      <c r="EK127" s="32" t="n">
        <v>18814.368</v>
      </c>
      <c r="EL127" s="33" t="n">
        <v>17227.651</v>
      </c>
    </row>
    <row r="128" customFormat="false" ht="12.75" hidden="false" customHeight="true" outlineLevel="0" collapsed="false">
      <c r="AA128" s="404" t="n">
        <v>1996</v>
      </c>
      <c r="AB128" s="404" t="s">
        <v>567</v>
      </c>
      <c r="AC128" s="405"/>
      <c r="AD128" s="406"/>
      <c r="AE128" s="407" t="n">
        <v>137341</v>
      </c>
      <c r="AF128" s="408" t="n">
        <v>180193</v>
      </c>
      <c r="AG128" s="407" t="n">
        <v>115787</v>
      </c>
      <c r="AH128" s="407" t="n">
        <v>175358</v>
      </c>
      <c r="AI128" s="407" t="n">
        <v>173767</v>
      </c>
      <c r="AJ128" s="407" t="n">
        <v>165025</v>
      </c>
      <c r="AK128" s="407" t="n">
        <v>13566</v>
      </c>
      <c r="AL128" s="407" t="n">
        <v>169106</v>
      </c>
      <c r="AM128" s="407" t="n">
        <v>197211</v>
      </c>
      <c r="AN128" s="407" t="n">
        <v>212825</v>
      </c>
      <c r="AO128" s="407" t="n">
        <v>231215</v>
      </c>
      <c r="AP128" s="407"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09" t="n">
        <f aca="false">IVA!AQ128+IVA!AR128+IVA!AS128+IVA!AT128</f>
        <v>1802021</v>
      </c>
      <c r="AV128" s="252"/>
      <c r="AW128" s="252"/>
      <c r="AX128" s="252"/>
      <c r="AY128" s="252"/>
      <c r="AZ128" s="296"/>
      <c r="BA128" s="297" t="n">
        <v>2012</v>
      </c>
      <c r="BB128" s="410" t="s">
        <v>565</v>
      </c>
      <c r="BC128" s="411"/>
      <c r="BD128" s="411"/>
      <c r="BE128" s="411"/>
      <c r="BF128" s="412" t="n">
        <v>976039.10082</v>
      </c>
      <c r="BG128" s="412" t="n">
        <v>962931.49896</v>
      </c>
      <c r="BH128" s="412" t="n">
        <v>1012421.337561</v>
      </c>
      <c r="BI128" s="412" t="n">
        <v>950215.816191</v>
      </c>
      <c r="BJ128" s="412" t="n">
        <v>1099632.260634</v>
      </c>
      <c r="BK128" s="412" t="n">
        <v>1125920.745903</v>
      </c>
      <c r="BL128" s="412" t="n">
        <v>1076815.307016</v>
      </c>
      <c r="BM128" s="412" t="n">
        <v>1164675.893889</v>
      </c>
      <c r="BN128" s="412" t="n">
        <v>1175860.778361</v>
      </c>
      <c r="BO128" s="412" t="n">
        <v>1101451.294137</v>
      </c>
      <c r="BP128" s="412" t="n">
        <v>1231962.587538</v>
      </c>
      <c r="BQ128" s="413"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7" t="n">
        <f aca="false">IVA!BF182+IVA!BG182+IVA!BH182</f>
        <v>919322.075134305</v>
      </c>
      <c r="CK128" s="377" t="n">
        <f aca="false">IVA!BG182+IVA!BH182+IVA!BI182</f>
        <v>909021.46093474</v>
      </c>
      <c r="CL128" s="377" t="n">
        <f aca="false">IVA!BH182+IVA!BI182+IVA!BJ182</f>
        <v>978151.777437348</v>
      </c>
      <c r="CM128" s="377" t="n">
        <f aca="false">IVA!BI182+IVA!BJ182+IVA!BK182</f>
        <v>1025905.89673556</v>
      </c>
      <c r="CN128" s="378" t="n">
        <f aca="false">IVA!BJ182+IVA!BK182+IVA!BL182</f>
        <v>1046133.29798735</v>
      </c>
      <c r="EJ128" s="31" t="n">
        <v>2076</v>
      </c>
      <c r="EK128" s="32" t="n">
        <v>18934.394</v>
      </c>
      <c r="EL128" s="33" t="n">
        <v>17348.38</v>
      </c>
    </row>
    <row r="129" customFormat="false" ht="12.75" hidden="false" customHeight="true" outlineLevel="0" collapsed="false">
      <c r="AA129" s="404" t="n">
        <v>1997</v>
      </c>
      <c r="AB129" s="404" t="s">
        <v>567</v>
      </c>
      <c r="AC129" s="405"/>
      <c r="AD129" s="406"/>
      <c r="AE129" s="407" t="n">
        <v>138954</v>
      </c>
      <c r="AF129" s="408" t="n">
        <v>232738</v>
      </c>
      <c r="AG129" s="407" t="n">
        <v>193306</v>
      </c>
      <c r="AH129" s="407" t="n">
        <v>233489</v>
      </c>
      <c r="AI129" s="407" t="n">
        <v>225636</v>
      </c>
      <c r="AJ129" s="407" t="n">
        <v>211683</v>
      </c>
      <c r="AK129" s="407" t="n">
        <v>203243</v>
      </c>
      <c r="AL129" s="407" t="n">
        <v>170402</v>
      </c>
      <c r="AM129" s="407" t="n">
        <v>194590</v>
      </c>
      <c r="AN129" s="407" t="n">
        <v>197511</v>
      </c>
      <c r="AO129" s="407" t="n">
        <v>193197</v>
      </c>
      <c r="AP129" s="407"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09"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0"/>
      <c r="BC129" s="411"/>
      <c r="BD129" s="411"/>
      <c r="BE129" s="411"/>
      <c r="BF129" s="412"/>
      <c r="BG129" s="412"/>
      <c r="BH129" s="412"/>
      <c r="BI129" s="412"/>
      <c r="BJ129" s="412"/>
      <c r="BK129" s="412"/>
      <c r="BL129" s="412"/>
      <c r="BM129" s="412"/>
      <c r="BN129" s="412"/>
      <c r="BO129" s="412"/>
      <c r="BP129" s="412"/>
      <c r="BQ129" s="413"/>
      <c r="BR129" s="259"/>
      <c r="BS129" s="259"/>
      <c r="BT129" s="259"/>
      <c r="BU129" s="260"/>
      <c r="BV129" s="261"/>
      <c r="BW129" s="264"/>
      <c r="BX129" s="263"/>
      <c r="BY129" s="264"/>
      <c r="BZ129" s="264"/>
      <c r="CA129" s="303"/>
      <c r="CI129" s="53" t="n">
        <v>1999</v>
      </c>
      <c r="CJ129" s="377" t="n">
        <f aca="false">IVA!BF183+IVA!BG183+IVA!BH183</f>
        <v>903485.713039089</v>
      </c>
      <c r="CK129" s="377" t="n">
        <f aca="false">IVA!BG183+IVA!BH183+IVA!BI183</f>
        <v>888108.17040914</v>
      </c>
      <c r="CL129" s="377" t="n">
        <f aca="false">IVA!BH183+IVA!BI183+IVA!BJ183</f>
        <v>922907.795915972</v>
      </c>
      <c r="CM129" s="377" t="n">
        <f aca="false">IVA!BI183+IVA!BJ183+IVA!BK183</f>
        <v>919115.417868341</v>
      </c>
      <c r="CN129" s="378" t="n">
        <f aca="false">IVA!BJ183+IVA!BK183+IVA!BL183</f>
        <v>910398.231440228</v>
      </c>
      <c r="EJ129" s="31" t="n">
        <v>2077</v>
      </c>
      <c r="EK129" s="32" t="n">
        <v>19047.841</v>
      </c>
      <c r="EL129" s="33" t="n">
        <v>17463.971</v>
      </c>
    </row>
    <row r="130" customFormat="false" ht="12.75" hidden="false" customHeight="true" outlineLevel="0" collapsed="false">
      <c r="AA130" s="404" t="n">
        <v>1998</v>
      </c>
      <c r="AB130" s="404" t="s">
        <v>567</v>
      </c>
      <c r="AC130" s="405"/>
      <c r="AD130" s="406"/>
      <c r="AE130" s="407" t="n">
        <v>151466</v>
      </c>
      <c r="AF130" s="408" t="n">
        <v>229826</v>
      </c>
      <c r="AG130" s="407" t="n">
        <v>189709</v>
      </c>
      <c r="AH130" s="407" t="n">
        <v>172160</v>
      </c>
      <c r="AI130" s="407" t="n">
        <v>201791</v>
      </c>
      <c r="AJ130" s="407" t="n">
        <v>191932</v>
      </c>
      <c r="AK130" s="407" t="n">
        <v>188410</v>
      </c>
      <c r="AL130" s="407" t="n">
        <v>187487</v>
      </c>
      <c r="AM130" s="407" t="n">
        <v>195567</v>
      </c>
      <c r="AN130" s="407" t="n">
        <v>192385</v>
      </c>
      <c r="AO130" s="407" t="n">
        <v>198531</v>
      </c>
      <c r="AP130" s="407"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09"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4" t="s">
        <v>568</v>
      </c>
      <c r="BC130" s="415"/>
      <c r="BD130" s="415"/>
      <c r="BE130" s="415"/>
      <c r="BF130" s="416" t="n">
        <v>10464.972</v>
      </c>
      <c r="BG130" s="416" t="n">
        <v>9381.516</v>
      </c>
      <c r="BH130" s="416" t="n">
        <v>11666.988</v>
      </c>
      <c r="BI130" s="416" t="n">
        <v>3225.06</v>
      </c>
      <c r="BJ130" s="416" t="n">
        <v>8726.7</v>
      </c>
      <c r="BK130" s="416" t="n">
        <v>9232.176</v>
      </c>
      <c r="BL130" s="416" t="n">
        <v>10443.768</v>
      </c>
      <c r="BM130" s="416" t="n">
        <v>10182.252</v>
      </c>
      <c r="BN130" s="416" t="n">
        <v>9606.096</v>
      </c>
      <c r="BO130" s="416" t="n">
        <v>8401.116</v>
      </c>
      <c r="BP130" s="416" t="n">
        <v>10457.904</v>
      </c>
      <c r="BQ130" s="417"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7" t="n">
        <f aca="false">IVA!BF184+IVA!BG184+IVA!BH184</f>
        <v>897102.556031242</v>
      </c>
      <c r="CK130" s="377" t="n">
        <f aca="false">IVA!BG184+IVA!BH184+IVA!BI184</f>
        <v>881102.100064408</v>
      </c>
      <c r="CL130" s="377" t="n">
        <f aca="false">IVA!BH184+IVA!BI184+IVA!BJ184</f>
        <v>953711.194910986</v>
      </c>
      <c r="CM130" s="377" t="n">
        <f aca="false">IVA!BI184+IVA!BJ184+IVA!BK184</f>
        <v>1029577.92502289</v>
      </c>
      <c r="CN130" s="378" t="n">
        <f aca="false">IVA!BJ184+IVA!BK184+IVA!BL184</f>
        <v>1040116.96189384</v>
      </c>
      <c r="EJ130" s="31" t="n">
        <v>2078</v>
      </c>
      <c r="EK130" s="32" t="n">
        <v>19159.449</v>
      </c>
      <c r="EL130" s="33" t="n">
        <v>17579.165</v>
      </c>
    </row>
    <row r="131" customFormat="false" ht="12.75" hidden="false" customHeight="true" outlineLevel="0" collapsed="false">
      <c r="AA131" s="404" t="n">
        <v>1999</v>
      </c>
      <c r="AB131" s="404" t="s">
        <v>567</v>
      </c>
      <c r="AC131" s="405"/>
      <c r="AD131" s="406"/>
      <c r="AE131" s="407" t="n">
        <v>153548</v>
      </c>
      <c r="AF131" s="408" t="n">
        <v>208524</v>
      </c>
      <c r="AG131" s="407" t="n">
        <v>178243</v>
      </c>
      <c r="AH131" s="407" t="n">
        <v>170981</v>
      </c>
      <c r="AI131" s="407" t="n">
        <v>189280</v>
      </c>
      <c r="AJ131" s="407" t="n">
        <v>168507</v>
      </c>
      <c r="AK131" s="407" t="n">
        <v>169822</v>
      </c>
      <c r="AL131" s="407" t="n">
        <v>178933</v>
      </c>
      <c r="AM131" s="407" t="n">
        <v>179500</v>
      </c>
      <c r="AN131" s="407" t="n">
        <v>175736</v>
      </c>
      <c r="AO131" s="407" t="n">
        <v>177882</v>
      </c>
      <c r="AP131" s="407"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09"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4" t="s">
        <v>568</v>
      </c>
      <c r="BC131" s="415"/>
      <c r="BD131" s="415"/>
      <c r="BE131" s="415"/>
      <c r="BF131" s="416" t="n">
        <v>11015.364</v>
      </c>
      <c r="BG131" s="416" t="n">
        <v>8918.448</v>
      </c>
      <c r="BH131" s="416" t="n">
        <v>7338.18</v>
      </c>
      <c r="BI131" s="416" t="n">
        <v>6809.904</v>
      </c>
      <c r="BJ131" s="416" t="n">
        <v>8864.868</v>
      </c>
      <c r="BK131" s="416" t="n">
        <v>7200.012</v>
      </c>
      <c r="BL131" s="416" t="n">
        <v>8237.64</v>
      </c>
      <c r="BM131" s="416" t="n">
        <v>8877.18</v>
      </c>
      <c r="BN131" s="416" t="n">
        <v>9889.5</v>
      </c>
      <c r="BO131" s="416" t="n">
        <v>8713.02</v>
      </c>
      <c r="BP131" s="416" t="n">
        <v>8750.412</v>
      </c>
      <c r="BQ131" s="417"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7" t="n">
        <f aca="false">IVA!BF185+IVA!BG185+IVA!BH185</f>
        <v>892407.07194323</v>
      </c>
      <c r="CK131" s="377" t="n">
        <f aca="false">IVA!BG185+IVA!BH185+IVA!BI185</f>
        <v>846707.14227343</v>
      </c>
      <c r="CL131" s="377" t="n">
        <f aca="false">IVA!BH185+IVA!BI185+IVA!BJ185</f>
        <v>934225.115953921</v>
      </c>
      <c r="CM131" s="377" t="n">
        <f aca="false">IVA!BI185+IVA!BJ185+IVA!BK185</f>
        <v>1020034.22371782</v>
      </c>
      <c r="CN131" s="378" t="n">
        <f aca="false">IVA!BJ185+IVA!BK185+IVA!BL185</f>
        <v>1011568.1249216</v>
      </c>
      <c r="EJ131" s="31" t="n">
        <v>2079</v>
      </c>
      <c r="EK131" s="32" t="n">
        <v>19269.874</v>
      </c>
      <c r="EL131" s="33" t="n">
        <v>17694.348</v>
      </c>
    </row>
    <row r="132" customFormat="false" ht="12.75" hidden="false" customHeight="true" outlineLevel="0" collapsed="false">
      <c r="AA132" s="404" t="n">
        <v>2000</v>
      </c>
      <c r="AB132" s="404" t="s">
        <v>567</v>
      </c>
      <c r="AC132" s="405"/>
      <c r="AD132" s="406"/>
      <c r="AE132" s="407" t="n">
        <v>161086.20055</v>
      </c>
      <c r="AF132" s="408" t="n">
        <v>198917.21423</v>
      </c>
      <c r="AG132" s="407" t="n">
        <v>181194.23008</v>
      </c>
      <c r="AH132" s="407" t="n">
        <v>199011.51286</v>
      </c>
      <c r="AI132" s="407" t="n">
        <v>162268.8907</v>
      </c>
      <c r="AJ132" s="407" t="n">
        <v>178058.47805</v>
      </c>
      <c r="AK132" s="407" t="n">
        <v>171152.9386</v>
      </c>
      <c r="AL132" s="407" t="n">
        <v>172232.994</v>
      </c>
      <c r="AM132" s="407" t="n">
        <v>198705.165</v>
      </c>
      <c r="AN132" s="407" t="n">
        <v>172177.7926</v>
      </c>
      <c r="AO132" s="407" t="n">
        <v>161892.07263</v>
      </c>
      <c r="AP132" s="407"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09"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4" t="s">
        <v>568</v>
      </c>
      <c r="BC132" s="415"/>
      <c r="BD132" s="415"/>
      <c r="BE132" s="415"/>
      <c r="BF132" s="416" t="n">
        <v>8507.592</v>
      </c>
      <c r="BG132" s="416" t="n">
        <v>7788.936</v>
      </c>
      <c r="BH132" s="416" t="n">
        <v>7336.356</v>
      </c>
      <c r="BI132" s="416" t="n">
        <v>6368.952</v>
      </c>
      <c r="BJ132" s="416" t="n">
        <v>9134.82</v>
      </c>
      <c r="BK132" s="416" t="n">
        <v>7047.252</v>
      </c>
      <c r="BL132" s="416" t="n">
        <v>8432.808</v>
      </c>
      <c r="BM132" s="416" t="n">
        <v>8159.892</v>
      </c>
      <c r="BN132" s="416" t="n">
        <v>9179.28</v>
      </c>
      <c r="BO132" s="416" t="n">
        <v>7716.888</v>
      </c>
      <c r="BP132" s="416" t="n">
        <v>8482.74</v>
      </c>
      <c r="BQ132" s="417"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7" t="n">
        <f aca="false">IVA!BF186+IVA!BG186+IVA!BH186</f>
        <v>669995.413865198</v>
      </c>
      <c r="CK132" s="377" t="n">
        <f aca="false">IVA!BG186+IVA!BH186+IVA!BI186</f>
        <v>626815.123261681</v>
      </c>
      <c r="CL132" s="377" t="n">
        <f aca="false">IVA!BH186+IVA!BI186+IVA!BJ186</f>
        <v>750969.584066</v>
      </c>
      <c r="CM132" s="377" t="n">
        <f aca="false">IVA!BI186+IVA!BJ186+IVA!BK186</f>
        <v>840176.305249299</v>
      </c>
      <c r="CN132" s="378" t="n">
        <f aca="false">IVA!BJ186+IVA!BK186+IVA!BL186</f>
        <v>955921.26537098</v>
      </c>
      <c r="EJ132" s="31" t="n">
        <v>2080</v>
      </c>
      <c r="EK132" s="32" t="n">
        <v>19375.029</v>
      </c>
      <c r="EL132" s="33" t="n">
        <v>17805.099</v>
      </c>
    </row>
    <row r="133" customFormat="false" ht="12.75" hidden="false" customHeight="true" outlineLevel="0" collapsed="false">
      <c r="AA133" s="404" t="n">
        <v>2001</v>
      </c>
      <c r="AB133" s="404" t="s">
        <v>567</v>
      </c>
      <c r="AC133" s="405"/>
      <c r="AD133" s="406"/>
      <c r="AE133" s="407" t="n">
        <v>135348.76619</v>
      </c>
      <c r="AF133" s="408" t="n">
        <v>179894.98317</v>
      </c>
      <c r="AG133" s="407" t="n">
        <v>171768.95062</v>
      </c>
      <c r="AH133" s="407" t="n">
        <v>162569.13803</v>
      </c>
      <c r="AI133" s="407" t="n">
        <v>161931.24605</v>
      </c>
      <c r="AJ133" s="407" t="n">
        <v>132447.36613</v>
      </c>
      <c r="AK133" s="407" t="n">
        <v>138218.42764</v>
      </c>
      <c r="AL133" s="407" t="n">
        <v>151187.20162</v>
      </c>
      <c r="AM133" s="407" t="n">
        <v>155072.84972</v>
      </c>
      <c r="AN133" s="407" t="n">
        <v>144783.011</v>
      </c>
      <c r="AO133" s="407" t="n">
        <v>153528.38919</v>
      </c>
      <c r="AP133" s="407"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09"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4" t="s">
        <v>568</v>
      </c>
      <c r="BC133" s="415"/>
      <c r="BD133" s="415"/>
      <c r="BE133" s="415"/>
      <c r="BF133" s="416" t="n">
        <v>9055.73067144</v>
      </c>
      <c r="BG133" s="416" t="n">
        <v>7820.97332652</v>
      </c>
      <c r="BH133" s="416" t="n">
        <v>10081.55711556</v>
      </c>
      <c r="BI133" s="416" t="n">
        <v>9643.61551812</v>
      </c>
      <c r="BJ133" s="416" t="n">
        <v>6922.3460532</v>
      </c>
      <c r="BK133" s="416" t="n">
        <v>8537.22202044</v>
      </c>
      <c r="BL133" s="416" t="n">
        <v>7866.1713192</v>
      </c>
      <c r="BM133" s="416" t="n">
        <v>9409.6087008</v>
      </c>
      <c r="BN133" s="416" t="n">
        <v>8291.6453568</v>
      </c>
      <c r="BO133" s="416" t="n">
        <v>9879.9634668</v>
      </c>
      <c r="BP133" s="416" t="n">
        <v>7828.77784632</v>
      </c>
      <c r="BQ133" s="417"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7" t="n">
        <f aca="false">IVA!BF187+IVA!BG187+IVA!BH187</f>
        <v>1011330.0753159</v>
      </c>
      <c r="CK133" s="377" t="n">
        <f aca="false">IVA!BG187+IVA!BH187+IVA!BI187</f>
        <v>992649.273621492</v>
      </c>
      <c r="CL133" s="377" t="n">
        <f aca="false">IVA!BH187+IVA!BI187+IVA!BJ187</f>
        <v>1169909.19781843</v>
      </c>
      <c r="CM133" s="377" t="n">
        <f aca="false">IVA!BI187+IVA!BJ187+IVA!BK187</f>
        <v>1282457.4487678</v>
      </c>
      <c r="CN133" s="378" t="n">
        <f aca="false">IVA!BJ187+IVA!BK187+IVA!BL187</f>
        <v>1336403.68195881</v>
      </c>
      <c r="EJ133" s="31" t="n">
        <v>2081</v>
      </c>
      <c r="EK133" s="32" t="n">
        <v>19454.488</v>
      </c>
      <c r="EL133" s="33" t="n">
        <v>17890.817</v>
      </c>
    </row>
    <row r="134" customFormat="false" ht="12.75" hidden="false" customHeight="true" outlineLevel="0" collapsed="false">
      <c r="AA134" s="404" t="n">
        <v>2002</v>
      </c>
      <c r="AB134" s="404" t="s">
        <v>567</v>
      </c>
      <c r="AC134" s="405"/>
      <c r="AD134" s="406"/>
      <c r="AE134" s="407" t="n">
        <v>131568.77134</v>
      </c>
      <c r="AF134" s="408" t="n">
        <v>142488.43087</v>
      </c>
      <c r="AG134" s="407" t="n">
        <v>123083.36543</v>
      </c>
      <c r="AH134" s="407" t="n">
        <v>107579.05452</v>
      </c>
      <c r="AI134" s="407" t="n">
        <v>148699.03294</v>
      </c>
      <c r="AJ134" s="407" t="n">
        <v>130024.47144</v>
      </c>
      <c r="AK134" s="407" t="n">
        <v>147821.95089</v>
      </c>
      <c r="AL134" s="407" t="n">
        <v>179097.21404</v>
      </c>
      <c r="AM134" s="407" t="n">
        <v>142893.56492</v>
      </c>
      <c r="AN134" s="407" t="n">
        <v>153502.92101</v>
      </c>
      <c r="AO134" s="407" t="n">
        <v>118486.06577</v>
      </c>
      <c r="AP134" s="407"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09"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4" t="s">
        <v>568</v>
      </c>
      <c r="BC134" s="415"/>
      <c r="BD134" s="415"/>
      <c r="BE134" s="415"/>
      <c r="BF134" s="416" t="n">
        <v>9164.1239166</v>
      </c>
      <c r="BG134" s="416" t="n">
        <v>7867.73155056</v>
      </c>
      <c r="BH134" s="416" t="n">
        <v>8214.81743484</v>
      </c>
      <c r="BI134" s="416" t="n">
        <v>7099.56085668</v>
      </c>
      <c r="BJ134" s="416" t="n">
        <v>7291.50666036</v>
      </c>
      <c r="BK134" s="416" t="n">
        <v>7937.79182148</v>
      </c>
      <c r="BL134" s="416" t="n">
        <v>6974.2583016</v>
      </c>
      <c r="BM134" s="416" t="n">
        <v>6890.08608696</v>
      </c>
      <c r="BN134" s="416" t="n">
        <v>6698.27440428</v>
      </c>
      <c r="BO134" s="416" t="n">
        <v>5344.75774404</v>
      </c>
      <c r="BP134" s="416" t="n">
        <v>8201.3303958</v>
      </c>
      <c r="BQ134" s="417"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9.58742909190335E-005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7" t="n">
        <f aca="false">IVA!BF188+IVA!BG188+IVA!BH188</f>
        <v>1481666.68037576</v>
      </c>
      <c r="CK134" s="377" t="n">
        <f aca="false">IVA!BG188+IVA!BH188+IVA!BI188</f>
        <v>1437101.69294772</v>
      </c>
      <c r="CL134" s="377" t="n">
        <f aca="false">IVA!BH188+IVA!BI188+IVA!BJ188</f>
        <v>1907226.68296694</v>
      </c>
      <c r="CM134" s="377" t="n">
        <f aca="false">IVA!BI188+IVA!BJ188+IVA!BK188</f>
        <v>2163423.5377503</v>
      </c>
      <c r="CN134" s="378" t="n">
        <f aca="false">IVA!BJ188+IVA!BK188+IVA!BL188</f>
        <v>2283372.96026353</v>
      </c>
      <c r="CP134" s="418"/>
      <c r="EJ134" s="31" t="n">
        <v>2082</v>
      </c>
      <c r="EK134" s="32" t="n">
        <v>19532.496</v>
      </c>
      <c r="EL134" s="33" t="n">
        <v>17975.609</v>
      </c>
    </row>
    <row r="135" customFormat="false" ht="12.75" hidden="false" customHeight="true" outlineLevel="0" collapsed="false">
      <c r="AA135" s="404" t="n">
        <v>2003</v>
      </c>
      <c r="AB135" s="404" t="s">
        <v>567</v>
      </c>
      <c r="AC135" s="405"/>
      <c r="AD135" s="406"/>
      <c r="AE135" s="407" t="n">
        <v>123266.71459</v>
      </c>
      <c r="AF135" s="408" t="n">
        <v>161096.60114</v>
      </c>
      <c r="AG135" s="407" t="n">
        <v>155708.49701</v>
      </c>
      <c r="AH135" s="407" t="n">
        <v>126812.14303</v>
      </c>
      <c r="AI135" s="407" t="n">
        <v>114444.20982</v>
      </c>
      <c r="AJ135" s="407" t="n">
        <v>147513.13979</v>
      </c>
      <c r="AK135" s="407" t="n">
        <v>118523.65605</v>
      </c>
      <c r="AL135" s="407" t="n">
        <v>166149.19402</v>
      </c>
      <c r="AM135" s="407" t="n">
        <v>107680.48431</v>
      </c>
      <c r="AN135" s="407" t="n">
        <v>133091.60587</v>
      </c>
      <c r="AO135" s="407" t="n">
        <v>122125.34918</v>
      </c>
      <c r="AP135" s="407"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09"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4" t="s">
        <v>568</v>
      </c>
      <c r="BC135" s="415"/>
      <c r="BD135" s="415"/>
      <c r="BE135" s="415"/>
      <c r="BF135" s="416" t="n">
        <v>9180.61872252</v>
      </c>
      <c r="BG135" s="416" t="n">
        <v>6933.8773242</v>
      </c>
      <c r="BH135" s="416" t="n">
        <v>6303.05058588</v>
      </c>
      <c r="BI135" s="416" t="n">
        <v>5602.52160276</v>
      </c>
      <c r="BJ135" s="416" t="n">
        <v>11273.86025172</v>
      </c>
      <c r="BK135" s="416" t="n">
        <v>7031.67523152</v>
      </c>
      <c r="BL135" s="416" t="n">
        <v>7635.95043048</v>
      </c>
      <c r="BM135" s="416" t="n">
        <v>7635.91630344</v>
      </c>
      <c r="BN135" s="416" t="n">
        <v>6808.9793346</v>
      </c>
      <c r="BO135" s="416" t="n">
        <v>5964.00871944</v>
      </c>
      <c r="BP135" s="416" t="n">
        <v>6235.74907164</v>
      </c>
      <c r="BQ135" s="417"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7" t="n">
        <f aca="false">IVA!BF189+IVA!BG189+IVA!BH189</f>
        <v>1868108.28574391</v>
      </c>
      <c r="CK135" s="377" t="n">
        <f aca="false">IVA!BG189+IVA!BH189+IVA!BI189</f>
        <v>1897618.29598933</v>
      </c>
      <c r="CL135" s="377" t="n">
        <f aca="false">IVA!BH189+IVA!BI189+IVA!BJ189</f>
        <v>2166617.92086596</v>
      </c>
      <c r="CM135" s="377" t="n">
        <f aca="false">IVA!BI189+IVA!BJ189+IVA!BK189</f>
        <v>2387471.74330104</v>
      </c>
      <c r="CN135" s="378" t="n">
        <f aca="false">IVA!BJ189+IVA!BK189+IVA!BL189</f>
        <v>2396642.66541223</v>
      </c>
      <c r="CP135" s="418"/>
      <c r="EJ135" s="31" t="n">
        <v>2083</v>
      </c>
      <c r="EK135" s="32" t="n">
        <v>19610.259</v>
      </c>
      <c r="EL135" s="33" t="n">
        <v>18060.605</v>
      </c>
    </row>
    <row r="136" customFormat="false" ht="12.75" hidden="false" customHeight="true" outlineLevel="0" collapsed="false">
      <c r="AA136" s="404" t="n">
        <v>2004</v>
      </c>
      <c r="AB136" s="404" t="s">
        <v>567</v>
      </c>
      <c r="AC136" s="405"/>
      <c r="AD136" s="406"/>
      <c r="AE136" s="407" t="n">
        <v>101133.11747</v>
      </c>
      <c r="AF136" s="408" t="n">
        <v>155166.73914</v>
      </c>
      <c r="AG136" s="407" t="n">
        <v>175910.04009</v>
      </c>
      <c r="AH136" s="407" t="n">
        <v>128152.84766</v>
      </c>
      <c r="AI136" s="407" t="n">
        <v>136887.98318</v>
      </c>
      <c r="AJ136" s="407" t="n">
        <v>127368.80445</v>
      </c>
      <c r="AK136" s="407" t="n">
        <v>121098.1362</v>
      </c>
      <c r="AL136" s="407" t="n">
        <v>133378.68569</v>
      </c>
      <c r="AM136" s="407" t="n">
        <v>165539.45931</v>
      </c>
      <c r="AN136" s="407" t="n">
        <v>122466.06764</v>
      </c>
      <c r="AO136" s="407" t="n">
        <v>151470.62967</v>
      </c>
      <c r="AP136" s="407"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09"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4" t="s">
        <v>568</v>
      </c>
      <c r="BC136" s="415"/>
      <c r="BD136" s="415"/>
      <c r="BE136" s="415"/>
      <c r="BF136" s="416" t="n">
        <v>7684.61757768</v>
      </c>
      <c r="BG136" s="416" t="n">
        <v>6262.84252824</v>
      </c>
      <c r="BH136" s="416" t="n">
        <v>6074.44658196</v>
      </c>
      <c r="BI136" s="416" t="n">
        <v>7655.17119984</v>
      </c>
      <c r="BJ136" s="416" t="n">
        <v>7125.6306366</v>
      </c>
      <c r="BK136" s="416" t="n">
        <v>6388.5071382</v>
      </c>
      <c r="BL136" s="416" t="n">
        <v>7554.0228804</v>
      </c>
      <c r="BM136" s="416" t="n">
        <v>6307.40262024</v>
      </c>
      <c r="BN136" s="416" t="n">
        <v>7625.54627292</v>
      </c>
      <c r="BO136" s="416" t="n">
        <v>6979.05436596</v>
      </c>
      <c r="BP136" s="416" t="n">
        <v>7495.44914916</v>
      </c>
      <c r="BQ136" s="417"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7" t="n">
        <f aca="false">IVA!BF190+IVA!BG190+IVA!BH190</f>
        <v>2342233.2408672</v>
      </c>
      <c r="CK136" s="377" t="n">
        <f aca="false">IVA!BG190+IVA!BH190+IVA!BI190</f>
        <v>2233987.47813335</v>
      </c>
      <c r="CL136" s="377" t="n">
        <f aca="false">IVA!BH190+IVA!BI190+IVA!BJ190</f>
        <v>2487530.01273105</v>
      </c>
      <c r="CM136" s="377" t="n">
        <f aca="false">IVA!BI190+IVA!BJ190+IVA!BK190</f>
        <v>2768203.94383857</v>
      </c>
      <c r="CN136" s="378" t="n">
        <f aca="false">IVA!BJ190+IVA!BK190+IVA!BL190</f>
        <v>2917382.87557724</v>
      </c>
      <c r="CP136" s="418"/>
      <c r="EJ136" s="31" t="n">
        <v>2084</v>
      </c>
      <c r="EK136" s="32" t="n">
        <v>19688.407</v>
      </c>
      <c r="EL136" s="33" t="n">
        <v>18146.299</v>
      </c>
    </row>
    <row r="137" customFormat="false" ht="12.75" hidden="false" customHeight="true" outlineLevel="0" collapsed="false">
      <c r="AA137" s="404" t="n">
        <v>2005</v>
      </c>
      <c r="AB137" s="404" t="s">
        <v>567</v>
      </c>
      <c r="AC137" s="405"/>
      <c r="AD137" s="406"/>
      <c r="AE137" s="407" t="n">
        <v>129862.34425</v>
      </c>
      <c r="AF137" s="408" t="n">
        <v>199065.58659</v>
      </c>
      <c r="AG137" s="407" t="n">
        <v>137249.22286</v>
      </c>
      <c r="AH137" s="407" t="n">
        <v>90520.50799</v>
      </c>
      <c r="AI137" s="407" t="n">
        <v>151719.8528</v>
      </c>
      <c r="AJ137" s="407" t="n">
        <v>144389.12723</v>
      </c>
      <c r="AK137" s="407" t="n">
        <v>131662.14336</v>
      </c>
      <c r="AL137" s="407" t="n">
        <v>134496.12736</v>
      </c>
      <c r="AM137" s="407" t="n">
        <v>136117.69051</v>
      </c>
      <c r="AN137" s="407" t="n">
        <v>179696.25785</v>
      </c>
      <c r="AO137" s="407" t="n">
        <v>144529.41655</v>
      </c>
      <c r="AP137" s="407"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09" t="n">
        <f aca="false">IVA!AQ137+IVA!AR137+IVA!AS137+IVA!AT137</f>
        <v>1769036.43513</v>
      </c>
      <c r="AV137" s="130" t="n">
        <f aca="false">IVA!AQ137/IVA!CJ14</f>
        <v>0.00102060835289121</v>
      </c>
      <c r="AW137" s="130" t="n">
        <f aca="false">IVA!AR137/IVA!CK14</f>
        <v>0.000699893570795192</v>
      </c>
      <c r="AX137" s="130" t="n">
        <f aca="false">IVA!AS137/IVA!CL14</f>
        <v>0.000739167844889098</v>
      </c>
      <c r="AY137" s="130" t="n">
        <f aca="false">IVA!AT137/IVA!CM14</f>
        <v>0.000894842516697008</v>
      </c>
      <c r="AZ137" s="271" t="n">
        <f aca="false">IVA!AU137/IVA!CN14</f>
        <v>0.00332563951632057</v>
      </c>
      <c r="BA137" s="266" t="n">
        <v>2004</v>
      </c>
      <c r="BB137" s="414" t="s">
        <v>568</v>
      </c>
      <c r="BC137" s="415"/>
      <c r="BD137" s="415"/>
      <c r="BE137" s="415"/>
      <c r="BF137" s="416" t="n">
        <v>7974.18606384</v>
      </c>
      <c r="BG137" s="416" t="n">
        <v>7278.57411276</v>
      </c>
      <c r="BH137" s="416" t="n">
        <v>7277.58716232</v>
      </c>
      <c r="BI137" s="416" t="n">
        <v>7597.08540456</v>
      </c>
      <c r="BJ137" s="416" t="n">
        <v>7778.2138782</v>
      </c>
      <c r="BK137" s="416" t="n">
        <v>7534.30631136</v>
      </c>
      <c r="BL137" s="416" t="n">
        <v>8058.19271172</v>
      </c>
      <c r="BM137" s="416" t="n">
        <v>8733.40140792</v>
      </c>
      <c r="BN137" s="416" t="n">
        <v>8181.89169036</v>
      </c>
      <c r="BO137" s="416" t="n">
        <v>7657.42342488</v>
      </c>
      <c r="BP137" s="416" t="n">
        <v>8071.9538706</v>
      </c>
      <c r="BQ137" s="417"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7" t="n">
        <f aca="false">IVA!BF191+IVA!BG191+IVA!BH191</f>
        <v>2933075.15770828</v>
      </c>
      <c r="CK137" s="377" t="n">
        <f aca="false">IVA!BG191+IVA!BH191+IVA!BI191</f>
        <v>2811271.78751296</v>
      </c>
      <c r="CL137" s="377" t="n">
        <f aca="false">IVA!BH191+IVA!BI191+IVA!BJ191</f>
        <v>3185197.37582439</v>
      </c>
      <c r="CM137" s="377" t="n">
        <f aca="false">IVA!BI191+IVA!BJ191+IVA!BK191</f>
        <v>3554836.7520001</v>
      </c>
      <c r="CN137" s="378" t="n">
        <f aca="false">IVA!BJ191+IVA!BK191+IVA!BL191</f>
        <v>3846194.78887245</v>
      </c>
      <c r="CP137" s="418"/>
      <c r="EJ137" s="31" t="n">
        <v>2085</v>
      </c>
      <c r="EK137" s="32" t="n">
        <v>19767.972</v>
      </c>
      <c r="EL137" s="33" t="n">
        <v>18233.643</v>
      </c>
    </row>
    <row r="138" customFormat="false" ht="12.75" hidden="false" customHeight="true" outlineLevel="0" collapsed="false">
      <c r="AA138" s="404" t="n">
        <v>2006</v>
      </c>
      <c r="AB138" s="404" t="s">
        <v>567</v>
      </c>
      <c r="AC138" s="405"/>
      <c r="AD138" s="406"/>
      <c r="AE138" s="407" t="n">
        <v>132766.32096</v>
      </c>
      <c r="AF138" s="408" t="n">
        <v>183308.22036</v>
      </c>
      <c r="AG138" s="407" t="n">
        <v>156602.74113</v>
      </c>
      <c r="AH138" s="407" t="n">
        <v>172473.66739</v>
      </c>
      <c r="AI138" s="407" t="n">
        <v>158532.69333</v>
      </c>
      <c r="AJ138" s="407" t="n">
        <v>157744.0494</v>
      </c>
      <c r="AK138" s="407" t="n">
        <v>185156.4544</v>
      </c>
      <c r="AL138" s="407" t="n">
        <v>181061.78449</v>
      </c>
      <c r="AM138" s="407" t="n">
        <v>180848.68547</v>
      </c>
      <c r="AN138" s="407" t="n">
        <v>188448.30807</v>
      </c>
      <c r="AO138" s="407" t="n">
        <v>179517.89047</v>
      </c>
      <c r="AP138" s="407"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09" t="n">
        <f aca="false">IVA!AQ138+IVA!AR138+IVA!AS138+IVA!AT138</f>
        <v>2051793.14905</v>
      </c>
      <c r="AV138" s="130" t="n">
        <f aca="false">IVA!AQ138/IVA!CJ15</f>
        <v>0.00083218710488139</v>
      </c>
      <c r="AW138" s="130" t="n">
        <f aca="false">IVA!AR138/IVA!CK15</f>
        <v>0.000720574849312398</v>
      </c>
      <c r="AX138" s="130" t="n">
        <f aca="false">IVA!AS138/IVA!CL15</f>
        <v>0.000818720731667751</v>
      </c>
      <c r="AY138" s="130" t="n">
        <f aca="false">IVA!AT138/IVA!CM15</f>
        <v>0.000772514444014815</v>
      </c>
      <c r="AZ138" s="271" t="n">
        <f aca="false">IVA!AU138/IVA!CN15</f>
        <v>0.00313519395283342</v>
      </c>
      <c r="BA138" s="266" t="n">
        <v>2005</v>
      </c>
      <c r="BB138" s="414" t="s">
        <v>568</v>
      </c>
      <c r="BC138" s="415"/>
      <c r="BD138" s="415"/>
      <c r="BE138" s="415"/>
      <c r="BF138" s="416" t="n">
        <v>9936.14159</v>
      </c>
      <c r="BG138" s="416" t="n">
        <v>5546.07523</v>
      </c>
      <c r="BH138" s="416" t="n">
        <v>6595.26321</v>
      </c>
      <c r="BI138" s="416" t="n">
        <v>8979.67947</v>
      </c>
      <c r="BJ138" s="416" t="n">
        <v>9240.8666</v>
      </c>
      <c r="BK138" s="416" t="n">
        <v>9854.55242</v>
      </c>
      <c r="BL138" s="416" t="n">
        <v>10403.32372</v>
      </c>
      <c r="BM138" s="416" t="n">
        <v>9610.33401</v>
      </c>
      <c r="BN138" s="416" t="n">
        <v>11908.4281</v>
      </c>
      <c r="BO138" s="416" t="n">
        <v>10699.06343</v>
      </c>
      <c r="BP138" s="416" t="n">
        <v>10294.92408</v>
      </c>
      <c r="BQ138" s="417"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7" t="n">
        <f aca="false">IVA!BF192+IVA!BG192+IVA!BH192</f>
        <v>3938989.95224166</v>
      </c>
      <c r="CK138" s="377" t="n">
        <f aca="false">IVA!BG192+IVA!BH192+IVA!BI192</f>
        <v>3827913.73739121</v>
      </c>
      <c r="CL138" s="377" t="n">
        <f aca="false">IVA!BH192+IVA!BI192+IVA!BJ192</f>
        <v>4097426.23206624</v>
      </c>
      <c r="CM138" s="377" t="n">
        <f aca="false">IVA!BI192+IVA!BJ192+IVA!BK192</f>
        <v>4574882.23668905</v>
      </c>
      <c r="CN138" s="378" t="n">
        <f aca="false">IVA!BJ192+IVA!BK192+IVA!BL192</f>
        <v>4779307.69525376</v>
      </c>
      <c r="EJ138" s="31" t="n">
        <v>2086</v>
      </c>
      <c r="EK138" s="32" t="n">
        <v>19830.966</v>
      </c>
      <c r="EL138" s="33" t="n">
        <v>18304.447</v>
      </c>
    </row>
    <row r="139" customFormat="false" ht="12.75" hidden="false" customHeight="true" outlineLevel="0" collapsed="false">
      <c r="AA139" s="404" t="n">
        <v>2007</v>
      </c>
      <c r="AB139" s="404" t="s">
        <v>567</v>
      </c>
      <c r="AC139" s="405"/>
      <c r="AD139" s="406"/>
      <c r="AE139" s="407" t="n">
        <v>128628.16019</v>
      </c>
      <c r="AF139" s="408" t="n">
        <v>273530.47635</v>
      </c>
      <c r="AG139" s="407" t="n">
        <v>196594.16765</v>
      </c>
      <c r="AH139" s="407" t="n">
        <v>214498.78505</v>
      </c>
      <c r="AI139" s="407" t="n">
        <v>153933.24154</v>
      </c>
      <c r="AJ139" s="407" t="n">
        <v>165289.5369</v>
      </c>
      <c r="AK139" s="407" t="n">
        <v>195082.05701</v>
      </c>
      <c r="AL139" s="407" t="n">
        <v>181846.789</v>
      </c>
      <c r="AM139" s="407" t="n">
        <v>294833.95275</v>
      </c>
      <c r="AN139" s="407" t="n">
        <v>246349.5731</v>
      </c>
      <c r="AO139" s="407" t="n">
        <v>237850.37022</v>
      </c>
      <c r="AP139" s="407"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09" t="n">
        <f aca="false">IVA!AQ139+IVA!AR139+IVA!AS139+IVA!AT139</f>
        <v>2537763.23831</v>
      </c>
      <c r="AV139" s="130" t="n">
        <f aca="false">IVA!AQ139/IVA!CJ16</f>
        <v>0.000879070948129551</v>
      </c>
      <c r="AW139" s="130" t="n">
        <f aca="false">IVA!AR139/IVA!CK16</f>
        <v>0.000639091621895706</v>
      </c>
      <c r="AX139" s="130" t="n">
        <f aca="false">IVA!AS139/IVA!CL16</f>
        <v>0.000811834243658025</v>
      </c>
      <c r="AY139" s="130" t="n">
        <f aca="false">IVA!AT139/IVA!CM16</f>
        <v>0.000809528739446196</v>
      </c>
      <c r="AZ139" s="271" t="n">
        <f aca="false">IVA!AU139/IVA!CN16</f>
        <v>0.0031235707222742</v>
      </c>
      <c r="BA139" s="266" t="n">
        <v>2006</v>
      </c>
      <c r="BB139" s="414" t="s">
        <v>568</v>
      </c>
      <c r="BC139" s="415"/>
      <c r="BD139" s="415"/>
      <c r="BE139" s="415"/>
      <c r="BF139" s="416" t="n">
        <v>13540.17725</v>
      </c>
      <c r="BG139" s="416" t="n">
        <v>7038.37858</v>
      </c>
      <c r="BH139" s="416" t="n">
        <v>9586.0643</v>
      </c>
      <c r="BI139" s="416" t="n">
        <v>9487.13185</v>
      </c>
      <c r="BJ139" s="416" t="n">
        <v>10624.66492</v>
      </c>
      <c r="BK139" s="416" t="n">
        <v>12234.99642</v>
      </c>
      <c r="BL139" s="416" t="n">
        <v>13486.41693</v>
      </c>
      <c r="BM139" s="416" t="n">
        <v>12679.10266</v>
      </c>
      <c r="BN139" s="416" t="n">
        <v>13306.34235</v>
      </c>
      <c r="BO139" s="416" t="n">
        <v>13096.96185</v>
      </c>
      <c r="BP139" s="416" t="n">
        <v>18748.38223</v>
      </c>
      <c r="BQ139" s="417"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7" t="n">
        <f aca="false">IVA!BF193+IVA!BG193+IVA!BH193</f>
        <v>4263143.541225</v>
      </c>
      <c r="CK139" s="377" t="n">
        <f aca="false">IVA!BG193+IVA!BH193+IVA!BI193</f>
        <v>4211943.9418275</v>
      </c>
      <c r="CL139" s="377" t="n">
        <f aca="false">IVA!BH193+IVA!BI193+IVA!BJ193</f>
        <v>4483976.9857725</v>
      </c>
      <c r="CM139" s="377" t="n">
        <f aca="false">IVA!BI193+IVA!BJ193+IVA!BK193</f>
        <v>4833507.1681875</v>
      </c>
      <c r="CN139" s="378" t="n">
        <f aca="false">IVA!BJ193+IVA!BK193+IVA!BL193</f>
        <v>5070829.7384475</v>
      </c>
      <c r="EJ139" s="31" t="n">
        <v>2087</v>
      </c>
      <c r="EK139" s="32" t="n">
        <v>19900.306</v>
      </c>
      <c r="EL139" s="33" t="n">
        <v>18381.552</v>
      </c>
    </row>
    <row r="140" customFormat="false" ht="12.75" hidden="false" customHeight="true" outlineLevel="0" collapsed="false">
      <c r="AA140" s="404" t="n">
        <v>2008</v>
      </c>
      <c r="AB140" s="404" t="s">
        <v>567</v>
      </c>
      <c r="AC140" s="405"/>
      <c r="AD140" s="406"/>
      <c r="AE140" s="407" t="n">
        <v>226619.43358</v>
      </c>
      <c r="AF140" s="408" t="n">
        <v>390355.48842</v>
      </c>
      <c r="AG140" s="407" t="n">
        <v>329055.24959</v>
      </c>
      <c r="AH140" s="407" t="n">
        <v>258449.70827</v>
      </c>
      <c r="AI140" s="407" t="n">
        <v>249854.60314</v>
      </c>
      <c r="AJ140" s="407" t="n">
        <v>277319.46309</v>
      </c>
      <c r="AK140" s="407" t="n">
        <v>274657.96828</v>
      </c>
      <c r="AL140" s="407" t="n">
        <v>295239.13744</v>
      </c>
      <c r="AM140" s="407" t="n">
        <v>279017.17374</v>
      </c>
      <c r="AN140" s="407" t="n">
        <v>286958.53954</v>
      </c>
      <c r="AO140" s="407" t="n">
        <v>289599.61993</v>
      </c>
      <c r="AP140" s="407"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09"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4" t="s">
        <v>568</v>
      </c>
      <c r="BC140" s="415"/>
      <c r="BD140" s="415"/>
      <c r="BE140" s="415"/>
      <c r="BF140" s="416" t="n">
        <v>32798.95445</v>
      </c>
      <c r="BG140" s="416" t="n">
        <v>19232.3435</v>
      </c>
      <c r="BH140" s="416" t="n">
        <v>26479.09467</v>
      </c>
      <c r="BI140" s="416" t="n">
        <v>25842.93885</v>
      </c>
      <c r="BJ140" s="416" t="n">
        <v>29889.54139</v>
      </c>
      <c r="BK140" s="416" t="n">
        <v>32558.8016</v>
      </c>
      <c r="BL140" s="416" t="n">
        <v>34041.85635</v>
      </c>
      <c r="BM140" s="416" t="n">
        <v>35601.5381</v>
      </c>
      <c r="BN140" s="416" t="n">
        <v>36736.69611</v>
      </c>
      <c r="BO140" s="416" t="n">
        <v>36018.93242</v>
      </c>
      <c r="BP140" s="416" t="n">
        <v>37355.55789</v>
      </c>
      <c r="BQ140" s="417"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7" t="n">
        <f aca="false">IVA!BF194+IVA!BG194+IVA!BH194</f>
        <v>5364454.419495</v>
      </c>
      <c r="CK140" s="377" t="n">
        <f aca="false">IVA!BG194+IVA!BH194+IVA!BI194</f>
        <v>5382818.0478525</v>
      </c>
      <c r="CL140" s="377" t="n">
        <f aca="false">IVA!BH194+IVA!BI194+IVA!BJ194</f>
        <v>6144941.1713925</v>
      </c>
      <c r="CM140" s="377" t="n">
        <f aca="false">IVA!BI194+IVA!BJ194+IVA!BK194</f>
        <v>6803520.7305</v>
      </c>
      <c r="CN140" s="378" t="n">
        <f aca="false">IVA!BJ194+IVA!BK194+IVA!BL194</f>
        <v>7177106.68296</v>
      </c>
      <c r="EJ140" s="31" t="n">
        <v>2088</v>
      </c>
      <c r="EK140" s="32" t="n">
        <v>19974.296</v>
      </c>
      <c r="EL140" s="33" t="n">
        <v>18463.168</v>
      </c>
    </row>
    <row r="141" customFormat="false" ht="12.75" hidden="false" customHeight="true" outlineLevel="0" collapsed="false">
      <c r="AA141" s="404" t="n">
        <v>2009</v>
      </c>
      <c r="AB141" s="404" t="s">
        <v>567</v>
      </c>
      <c r="AC141" s="405"/>
      <c r="AD141" s="406"/>
      <c r="AE141" s="407" t="n">
        <v>268323</v>
      </c>
      <c r="AF141" s="408" t="n">
        <v>432790</v>
      </c>
      <c r="AG141" s="407" t="n">
        <v>330795</v>
      </c>
      <c r="AH141" s="407" t="n">
        <v>328558</v>
      </c>
      <c r="AI141" s="407" t="n">
        <v>337656</v>
      </c>
      <c r="AJ141" s="407" t="n">
        <v>345150</v>
      </c>
      <c r="AK141" s="407" t="n">
        <v>350322</v>
      </c>
      <c r="AL141" s="407" t="n">
        <v>347398</v>
      </c>
      <c r="AM141" s="407" t="n">
        <v>414110</v>
      </c>
      <c r="AN141" s="407" t="n">
        <v>426994</v>
      </c>
      <c r="AO141" s="407" t="n">
        <v>472468</v>
      </c>
      <c r="AP141" s="407"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09"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4" t="s">
        <v>568</v>
      </c>
      <c r="BC141" s="415"/>
      <c r="BD141" s="415"/>
      <c r="BE141" s="415"/>
      <c r="BF141" s="416" t="n">
        <v>31730.75701</v>
      </c>
      <c r="BG141" s="416" t="n">
        <v>31146.77093</v>
      </c>
      <c r="BH141" s="416" t="n">
        <v>37486.53094</v>
      </c>
      <c r="BI141" s="416" t="n">
        <v>33799.19081</v>
      </c>
      <c r="BJ141" s="416" t="n">
        <v>37626.37482</v>
      </c>
      <c r="BK141" s="416" t="n">
        <v>40899.85411</v>
      </c>
      <c r="BL141" s="416" t="n">
        <v>38736.93667</v>
      </c>
      <c r="BM141" s="416" t="n">
        <v>39109.54441</v>
      </c>
      <c r="BN141" s="416" t="n">
        <v>33994.88432</v>
      </c>
      <c r="BO141" s="416" t="n">
        <v>37693.62032</v>
      </c>
      <c r="BP141" s="416" t="n">
        <v>39805.493</v>
      </c>
      <c r="BQ141" s="417"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7" t="n">
        <f aca="false">IVA!BF195+IVA!BG195+IVA!BH195</f>
        <v>7315484.9676375</v>
      </c>
      <c r="CK141" s="377" t="n">
        <f aca="false">IVA!BG195+IVA!BH195+IVA!BI195</f>
        <v>7229481.5311575</v>
      </c>
      <c r="CL141" s="377" t="n">
        <f aca="false">IVA!BH195+IVA!BI195+IVA!BJ195</f>
        <v>8238958.835565</v>
      </c>
      <c r="CM141" s="377" t="n">
        <f aca="false">IVA!BI195+IVA!BJ195+IVA!BK195</f>
        <v>9038753.2865925</v>
      </c>
      <c r="CN141" s="378" t="n">
        <f aca="false">IVA!BJ195+IVA!BK195+IVA!BL195</f>
        <v>9464945.6154675</v>
      </c>
      <c r="EJ141" s="31" t="n">
        <v>2089</v>
      </c>
      <c r="EK141" s="32" t="n">
        <v>20049.647</v>
      </c>
      <c r="EL141" s="33" t="n">
        <v>18545.828</v>
      </c>
    </row>
    <row r="142" customFormat="false" ht="12.75" hidden="false" customHeight="true" outlineLevel="0" collapsed="false">
      <c r="AA142" s="404" t="n">
        <v>2010</v>
      </c>
      <c r="AB142" s="404" t="s">
        <v>567</v>
      </c>
      <c r="AC142" s="405"/>
      <c r="AD142" s="406"/>
      <c r="AE142" s="407" t="n">
        <v>335333</v>
      </c>
      <c r="AF142" s="408" t="n">
        <v>519842</v>
      </c>
      <c r="AG142" s="407" t="n">
        <v>533167</v>
      </c>
      <c r="AH142" s="407" t="n">
        <v>465856</v>
      </c>
      <c r="AI142" s="407" t="n">
        <v>590097</v>
      </c>
      <c r="AJ142" s="407" t="n">
        <v>501237</v>
      </c>
      <c r="AK142" s="407" t="n">
        <v>499716</v>
      </c>
      <c r="AL142" s="407" t="n">
        <v>495111</v>
      </c>
      <c r="AM142" s="407" t="n">
        <v>578882</v>
      </c>
      <c r="AN142" s="407" t="n">
        <v>574644</v>
      </c>
      <c r="AO142" s="407" t="n">
        <v>598734</v>
      </c>
      <c r="AP142" s="407"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09"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4" t="s">
        <v>568</v>
      </c>
      <c r="BC142" s="415"/>
      <c r="BD142" s="415"/>
      <c r="BE142" s="415"/>
      <c r="BF142" s="416" t="n">
        <v>30886</v>
      </c>
      <c r="BG142" s="416" t="n">
        <v>17708</v>
      </c>
      <c r="BH142" s="416" t="n">
        <v>21394</v>
      </c>
      <c r="BI142" s="416" t="n">
        <v>23205</v>
      </c>
      <c r="BJ142" s="416" t="n">
        <v>26767</v>
      </c>
      <c r="BK142" s="416" t="n">
        <v>28029</v>
      </c>
      <c r="BL142" s="416" t="n">
        <v>32055</v>
      </c>
      <c r="BM142" s="416" t="n">
        <v>31751</v>
      </c>
      <c r="BN142" s="416" t="n">
        <v>41474</v>
      </c>
      <c r="BO142" s="416" t="n">
        <v>35958</v>
      </c>
      <c r="BP142" s="416" t="n">
        <v>36349</v>
      </c>
      <c r="BQ142" s="417"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6" t="n">
        <f aca="false">IVA!BF196+IVA!BG196+IVA!BH196</f>
        <v>9169093.42180653</v>
      </c>
      <c r="CK142" s="396" t="n">
        <f aca="false">IVA!BG196+IVA!BH196+IVA!BI196</f>
        <v>8803742.79163554</v>
      </c>
      <c r="CL142" s="396" t="n">
        <f aca="false">IVA!BH196+IVA!BI196+IVA!BJ196</f>
        <v>9681151.99691396</v>
      </c>
      <c r="CM142" s="396" t="n">
        <f aca="false">IVA!BI196+IVA!BJ196+IVA!BK196</f>
        <v>10703006.2391423</v>
      </c>
      <c r="CN142" s="397" t="n">
        <f aca="false">IVA!BJ196+IVA!BK196+IVA!BL196</f>
        <v>11268197.4317205</v>
      </c>
      <c r="EJ142" s="31" t="n">
        <v>2090</v>
      </c>
      <c r="EK142" s="32" t="n">
        <v>20125.167</v>
      </c>
      <c r="EL142" s="33" t="n">
        <v>18628.261</v>
      </c>
    </row>
    <row r="143" customFormat="false" ht="12.75" hidden="false" customHeight="true" outlineLevel="0" collapsed="false">
      <c r="AA143" s="404" t="n">
        <v>2011</v>
      </c>
      <c r="AB143" s="404" t="s">
        <v>567</v>
      </c>
      <c r="AC143" s="405"/>
      <c r="AD143" s="406"/>
      <c r="AE143" s="407" t="n">
        <v>516535</v>
      </c>
      <c r="AF143" s="408" t="n">
        <v>689058</v>
      </c>
      <c r="AG143" s="407" t="n">
        <v>652679</v>
      </c>
      <c r="AH143" s="407" t="n">
        <v>605515</v>
      </c>
      <c r="AI143" s="407" t="n">
        <v>655350</v>
      </c>
      <c r="AJ143" s="407" t="n">
        <v>529559</v>
      </c>
      <c r="AK143" s="407" t="n">
        <v>486288</v>
      </c>
      <c r="AL143" s="407" t="n">
        <v>708807</v>
      </c>
      <c r="AM143" s="407" t="n">
        <v>643152</v>
      </c>
      <c r="AN143" s="407" t="n">
        <v>813944</v>
      </c>
      <c r="AO143" s="407" t="n">
        <v>778886</v>
      </c>
      <c r="AP143" s="407"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09"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4" t="s">
        <v>568</v>
      </c>
      <c r="BC143" s="415"/>
      <c r="BD143" s="415"/>
      <c r="BE143" s="415"/>
      <c r="BF143" s="416" t="n">
        <v>42508</v>
      </c>
      <c r="BG143" s="416" t="n">
        <v>25786</v>
      </c>
      <c r="BH143" s="416" t="n">
        <v>34598</v>
      </c>
      <c r="BI143" s="416" t="n">
        <v>38082</v>
      </c>
      <c r="BJ143" s="416" t="n">
        <v>41126</v>
      </c>
      <c r="BK143" s="416" t="n">
        <v>43351</v>
      </c>
      <c r="BL143" s="416" t="n">
        <v>47746</v>
      </c>
      <c r="BM143" s="416" t="n">
        <v>46823</v>
      </c>
      <c r="BN143" s="416" t="n">
        <v>50811</v>
      </c>
      <c r="BO143" s="416" t="n">
        <v>50292</v>
      </c>
      <c r="BP143" s="416" t="n">
        <v>53628</v>
      </c>
      <c r="BQ143" s="417"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19" t="n">
        <v>2012</v>
      </c>
      <c r="AB144" s="419" t="s">
        <v>567</v>
      </c>
      <c r="AC144" s="420"/>
      <c r="AD144" s="421"/>
      <c r="AE144" s="422" t="n">
        <v>764608.20873</v>
      </c>
      <c r="AF144" s="423" t="n">
        <v>962961.67161</v>
      </c>
      <c r="AG144" s="422" t="n">
        <v>938057.42905</v>
      </c>
      <c r="AH144" s="422" t="n">
        <v>865606.15182</v>
      </c>
      <c r="AI144" s="422" t="n">
        <v>792309.53088</v>
      </c>
      <c r="AJ144" s="422" t="n">
        <v>746910.43284</v>
      </c>
      <c r="AK144" s="422" t="n">
        <v>1092541.88861</v>
      </c>
      <c r="AL144" s="422" t="n">
        <v>1004213.78066</v>
      </c>
      <c r="AM144" s="422" t="n">
        <v>1005332.56639</v>
      </c>
      <c r="AN144" s="422" t="n">
        <v>947419.32437</v>
      </c>
      <c r="AO144" s="422" t="n">
        <v>958304.29098</v>
      </c>
      <c r="AP144" s="422" t="n">
        <v>1271300.69224</v>
      </c>
      <c r="AQ144" s="326" t="n">
        <f aca="false">IVA!AE144+IVA!AF144+IVA!AG144</f>
        <v>2665627.30939</v>
      </c>
      <c r="AR144" s="326" t="n">
        <f aca="false">IVA!AH144+IVA!AI144+IVA!AJ144</f>
        <v>2404826.11554</v>
      </c>
      <c r="AS144" s="326" t="n">
        <f aca="false">IVA!AK144+IVA!AL144+IVA!AM144</f>
        <v>3102088.23566</v>
      </c>
      <c r="AT144" s="326" t="n">
        <f aca="false">IVA!AN144+IVA!AO144+IVA!AP144</f>
        <v>3177024.30759</v>
      </c>
      <c r="AU144" s="424"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4" t="s">
        <v>568</v>
      </c>
      <c r="BC144" s="415"/>
      <c r="BD144" s="415"/>
      <c r="BE144" s="415"/>
      <c r="BF144" s="416" t="n">
        <v>61944</v>
      </c>
      <c r="BG144" s="416" t="n">
        <v>35009</v>
      </c>
      <c r="BH144" s="416" t="n">
        <v>47163</v>
      </c>
      <c r="BI144" s="416" t="n">
        <v>57352</v>
      </c>
      <c r="BJ144" s="416" t="n">
        <v>51610</v>
      </c>
      <c r="BK144" s="416" t="n">
        <v>69736</v>
      </c>
      <c r="BL144" s="416" t="n">
        <v>70803</v>
      </c>
      <c r="BM144" s="416" t="n">
        <v>67205</v>
      </c>
      <c r="BN144" s="416" t="n">
        <v>76174</v>
      </c>
      <c r="BO144" s="416" t="n">
        <v>75309</v>
      </c>
      <c r="BP144" s="416" t="n">
        <v>79522</v>
      </c>
      <c r="BQ144" s="417"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4" t="n">
        <v>1996</v>
      </c>
      <c r="AB145" s="404" t="s">
        <v>569</v>
      </c>
      <c r="AC145" s="405"/>
      <c r="AD145" s="406"/>
      <c r="AE145" s="407" t="n">
        <f aca="false">IVA!AE128*0.21</f>
        <v>28841.61</v>
      </c>
      <c r="AF145" s="408" t="n">
        <f aca="false">IVA!AF128*0.21</f>
        <v>37840.53</v>
      </c>
      <c r="AG145" s="407" t="n">
        <f aca="false">IVA!AG128*0.21</f>
        <v>24315.27</v>
      </c>
      <c r="AH145" s="407" t="n">
        <f aca="false">IVA!AH128*0.21</f>
        <v>36825.18</v>
      </c>
      <c r="AI145" s="407" t="n">
        <f aca="false">IVA!AI128*0.21</f>
        <v>36491.07</v>
      </c>
      <c r="AJ145" s="407" t="n">
        <f aca="false">IVA!AJ128*0.21</f>
        <v>34655.25</v>
      </c>
      <c r="AK145" s="407" t="n">
        <f aca="false">IVA!AK128*0.21</f>
        <v>2848.86</v>
      </c>
      <c r="AL145" s="407" t="n">
        <f aca="false">IVA!AL128*0.21</f>
        <v>35512.26</v>
      </c>
      <c r="AM145" s="407" t="n">
        <f aca="false">IVA!AM128*0.21</f>
        <v>41414.31</v>
      </c>
      <c r="AN145" s="407" t="n">
        <f aca="false">IVA!AN128*0.21</f>
        <v>44693.25</v>
      </c>
      <c r="AO145" s="407" t="n">
        <f aca="false">IVA!AO128*0.21</f>
        <v>48555.15</v>
      </c>
      <c r="AP145" s="407"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09" t="n">
        <f aca="false">IVA!AQ145+IVA!AR145+IVA!AS145+IVA!AT145</f>
        <v>378424.41</v>
      </c>
      <c r="AV145" s="252"/>
      <c r="AW145" s="252"/>
      <c r="AX145" s="252"/>
      <c r="AY145" s="252"/>
      <c r="AZ145" s="296"/>
      <c r="BA145" s="297" t="n">
        <v>2012</v>
      </c>
      <c r="BB145" s="425" t="s">
        <v>568</v>
      </c>
      <c r="BC145" s="426"/>
      <c r="BD145" s="426"/>
      <c r="BE145" s="426"/>
      <c r="BF145" s="427" t="n">
        <v>78373.57334</v>
      </c>
      <c r="BG145" s="427" t="n">
        <v>42793.61363</v>
      </c>
      <c r="BH145" s="427" t="n">
        <v>53223.30718</v>
      </c>
      <c r="BI145" s="427" t="n">
        <v>54447.24716</v>
      </c>
      <c r="BJ145" s="427" t="n">
        <v>63825.01324</v>
      </c>
      <c r="BK145" s="427" t="n">
        <v>69855.05312</v>
      </c>
      <c r="BL145" s="427" t="n">
        <v>59146.43843</v>
      </c>
      <c r="BM145" s="427" t="n">
        <v>55154.22126</v>
      </c>
      <c r="BN145" s="427" t="n">
        <v>60502.60352</v>
      </c>
      <c r="BO145" s="427" t="n">
        <v>54113.51352</v>
      </c>
      <c r="BP145" s="427" t="n">
        <v>60898.41291</v>
      </c>
      <c r="BQ145" s="428"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4" t="n">
        <v>1997</v>
      </c>
      <c r="AB146" s="404" t="s">
        <v>569</v>
      </c>
      <c r="AC146" s="405"/>
      <c r="AD146" s="406"/>
      <c r="AE146" s="407" t="n">
        <f aca="false">IVA!AE129*0.21</f>
        <v>29180.34</v>
      </c>
      <c r="AF146" s="408" t="n">
        <f aca="false">IVA!AF129*0.21</f>
        <v>48874.98</v>
      </c>
      <c r="AG146" s="407" t="n">
        <f aca="false">IVA!AG129*0.21</f>
        <v>40594.26</v>
      </c>
      <c r="AH146" s="407" t="n">
        <f aca="false">IVA!AH129*0.21</f>
        <v>49032.69</v>
      </c>
      <c r="AI146" s="407" t="n">
        <f aca="false">IVA!AI129*0.21</f>
        <v>47383.56</v>
      </c>
      <c r="AJ146" s="407" t="n">
        <f aca="false">IVA!AJ129*0.21</f>
        <v>44453.43</v>
      </c>
      <c r="AK146" s="407" t="n">
        <f aca="false">IVA!AK129*0.21</f>
        <v>42681.03</v>
      </c>
      <c r="AL146" s="407" t="n">
        <f aca="false">IVA!AL129*0.21</f>
        <v>35784.42</v>
      </c>
      <c r="AM146" s="407" t="n">
        <f aca="false">IVA!AM129*0.21</f>
        <v>40863.9</v>
      </c>
      <c r="AN146" s="407" t="n">
        <f aca="false">IVA!AN129*0.21</f>
        <v>41477.31</v>
      </c>
      <c r="AO146" s="407" t="n">
        <f aca="false">IVA!AO129*0.21</f>
        <v>40571.37</v>
      </c>
      <c r="AP146" s="407"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09"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5"/>
      <c r="BC146" s="426"/>
      <c r="BD146" s="426"/>
      <c r="BE146" s="429"/>
      <c r="BF146" s="427"/>
      <c r="BG146" s="427"/>
      <c r="BH146" s="427"/>
      <c r="BI146" s="427"/>
      <c r="BJ146" s="427"/>
      <c r="BK146" s="427"/>
      <c r="BL146" s="427"/>
      <c r="BM146" s="427"/>
      <c r="BN146" s="427"/>
      <c r="BO146" s="427"/>
      <c r="BP146" s="427"/>
      <c r="BQ146" s="428"/>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4" t="n">
        <v>1998</v>
      </c>
      <c r="AB147" s="404" t="s">
        <v>569</v>
      </c>
      <c r="AC147" s="405"/>
      <c r="AD147" s="406"/>
      <c r="AE147" s="407" t="n">
        <f aca="false">IVA!AE130*0.21</f>
        <v>31807.86</v>
      </c>
      <c r="AF147" s="408" t="n">
        <f aca="false">IVA!AF130*0.21</f>
        <v>48263.46</v>
      </c>
      <c r="AG147" s="407" t="n">
        <f aca="false">IVA!AG130*0.21</f>
        <v>39838.89</v>
      </c>
      <c r="AH147" s="407" t="n">
        <f aca="false">IVA!AH130*0.21</f>
        <v>36153.6</v>
      </c>
      <c r="AI147" s="407" t="n">
        <f aca="false">IVA!AI130*0.21</f>
        <v>42376.11</v>
      </c>
      <c r="AJ147" s="407" t="n">
        <f aca="false">IVA!AJ130*0.21</f>
        <v>40305.72</v>
      </c>
      <c r="AK147" s="407" t="n">
        <f aca="false">IVA!AK130*0.21</f>
        <v>39566.1</v>
      </c>
      <c r="AL147" s="407" t="n">
        <f aca="false">IVA!AL130*0.21</f>
        <v>39372.27</v>
      </c>
      <c r="AM147" s="407" t="n">
        <f aca="false">IVA!AM130*0.21</f>
        <v>41069.07</v>
      </c>
      <c r="AN147" s="407" t="n">
        <f aca="false">IVA!AN130*0.21</f>
        <v>40400.85</v>
      </c>
      <c r="AO147" s="407" t="n">
        <f aca="false">IVA!AO130*0.21</f>
        <v>41691.51</v>
      </c>
      <c r="AP147" s="407"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09"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0" t="s">
        <v>571</v>
      </c>
      <c r="BC147" s="431"/>
      <c r="BD147" s="431"/>
      <c r="BE147" s="431"/>
      <c r="BF147" s="432" t="n">
        <v>3010.4501645715</v>
      </c>
      <c r="BG147" s="432" t="n">
        <v>2698.7732395395</v>
      </c>
      <c r="BH147" s="432" t="n">
        <v>3356.2331504235</v>
      </c>
      <c r="BI147" s="432" t="n">
        <v>927.7504428825</v>
      </c>
      <c r="BJ147" s="432" t="n">
        <v>2510.4028420875</v>
      </c>
      <c r="BK147" s="432" t="n">
        <v>2655.812720622</v>
      </c>
      <c r="BL147" s="432" t="n">
        <v>3004.350426771</v>
      </c>
      <c r="BM147" s="432" t="n">
        <v>2929.1203272315</v>
      </c>
      <c r="BN147" s="432" t="n">
        <v>2763.377989362</v>
      </c>
      <c r="BO147" s="432" t="n">
        <v>2416.7423519895</v>
      </c>
      <c r="BP147" s="432" t="n">
        <v>3008.416918638</v>
      </c>
      <c r="BQ147" s="433"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4" t="n">
        <v>1999</v>
      </c>
      <c r="AB148" s="404" t="s">
        <v>569</v>
      </c>
      <c r="AC148" s="405"/>
      <c r="AD148" s="406"/>
      <c r="AE148" s="407" t="n">
        <f aca="false">IVA!AE131*0.21</f>
        <v>32245.08</v>
      </c>
      <c r="AF148" s="408" t="n">
        <f aca="false">IVA!AF131*0.21</f>
        <v>43790.04</v>
      </c>
      <c r="AG148" s="407" t="n">
        <f aca="false">IVA!AG131*0.21</f>
        <v>37431.03</v>
      </c>
      <c r="AH148" s="407" t="n">
        <f aca="false">IVA!AH131*0.21</f>
        <v>35906.01</v>
      </c>
      <c r="AI148" s="407" t="n">
        <f aca="false">IVA!AI131*0.21</f>
        <v>39748.8</v>
      </c>
      <c r="AJ148" s="407" t="n">
        <f aca="false">IVA!AJ131*0.21</f>
        <v>35386.47</v>
      </c>
      <c r="AK148" s="407" t="n">
        <f aca="false">IVA!AK131*0.21</f>
        <v>35662.62</v>
      </c>
      <c r="AL148" s="407" t="n">
        <f aca="false">IVA!AL131*0.21</f>
        <v>37575.93</v>
      </c>
      <c r="AM148" s="407" t="n">
        <f aca="false">IVA!AM131*0.21</f>
        <v>37695</v>
      </c>
      <c r="AN148" s="407" t="n">
        <f aca="false">IVA!AN131*0.21</f>
        <v>36904.56</v>
      </c>
      <c r="AO148" s="407" t="n">
        <f aca="false">IVA!AO131*0.21</f>
        <v>37355.22</v>
      </c>
      <c r="AP148" s="407"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09"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0" t="s">
        <v>571</v>
      </c>
      <c r="BC148" s="431"/>
      <c r="BD148" s="431"/>
      <c r="BE148" s="431"/>
      <c r="BF148" s="432" t="n">
        <v>3168.7809930705</v>
      </c>
      <c r="BG148" s="432" t="n">
        <v>2565.562836606</v>
      </c>
      <c r="BH148" s="432" t="n">
        <v>2110.9683990225</v>
      </c>
      <c r="BI148" s="432" t="n">
        <v>1958.999662638</v>
      </c>
      <c r="BJ148" s="432" t="n">
        <v>2550.1495206585</v>
      </c>
      <c r="BK148" s="432" t="n">
        <v>2071.2217204515</v>
      </c>
      <c r="BL148" s="432" t="n">
        <v>2369.715341205</v>
      </c>
      <c r="BM148" s="432" t="n">
        <v>2553.6913038975</v>
      </c>
      <c r="BN148" s="432" t="n">
        <v>2844.9045924375</v>
      </c>
      <c r="BO148" s="432" t="n">
        <v>2506.4675273775</v>
      </c>
      <c r="BP148" s="432" t="n">
        <v>2517.2240542515</v>
      </c>
      <c r="BQ148" s="433"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4" t="n">
        <v>2000</v>
      </c>
      <c r="AB149" s="404" t="s">
        <v>569</v>
      </c>
      <c r="AC149" s="405"/>
      <c r="AD149" s="406"/>
      <c r="AE149" s="407" t="n">
        <f aca="false">IVA!AE132*0.21</f>
        <v>33828.1021155</v>
      </c>
      <c r="AF149" s="408" t="n">
        <f aca="false">IVA!AF132*0.21</f>
        <v>41772.6149883</v>
      </c>
      <c r="AG149" s="407" t="n">
        <f aca="false">IVA!AG132*0.21</f>
        <v>38050.7883168</v>
      </c>
      <c r="AH149" s="407" t="n">
        <f aca="false">IVA!AH132*0.21</f>
        <v>41792.4177006</v>
      </c>
      <c r="AI149" s="407" t="n">
        <f aca="false">IVA!AI132*0.21</f>
        <v>34076.467047</v>
      </c>
      <c r="AJ149" s="407" t="n">
        <f aca="false">IVA!AJ132*0.21</f>
        <v>37392.2803905</v>
      </c>
      <c r="AK149" s="407" t="n">
        <f aca="false">IVA!AK132*0.21</f>
        <v>35942.117106</v>
      </c>
      <c r="AL149" s="407" t="n">
        <f aca="false">IVA!AL132*0.21</f>
        <v>36168.92874</v>
      </c>
      <c r="AM149" s="407" t="n">
        <f aca="false">IVA!AM132*0.21</f>
        <v>41728.08465</v>
      </c>
      <c r="AN149" s="407" t="n">
        <f aca="false">IVA!AN132*0.21</f>
        <v>36157.336446</v>
      </c>
      <c r="AO149" s="407" t="n">
        <f aca="false">IVA!AO132*0.21</f>
        <v>33997.3352523</v>
      </c>
      <c r="AP149" s="407"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09"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0" t="s">
        <v>571</v>
      </c>
      <c r="BC149" s="431"/>
      <c r="BD149" s="431"/>
      <c r="BE149" s="431"/>
      <c r="BF149" s="432" t="n">
        <v>2447.372218149</v>
      </c>
      <c r="BG149" s="432" t="n">
        <v>2240.637018717</v>
      </c>
      <c r="BH149" s="432" t="n">
        <v>2110.4436903945</v>
      </c>
      <c r="BI149" s="432" t="n">
        <v>1832.151351819</v>
      </c>
      <c r="BJ149" s="432" t="n">
        <v>2627.8063976025</v>
      </c>
      <c r="BK149" s="432" t="n">
        <v>2027.2773728565</v>
      </c>
      <c r="BL149" s="432" t="n">
        <v>2425.859164401</v>
      </c>
      <c r="BM149" s="432" t="n">
        <v>2347.3496359365</v>
      </c>
      <c r="BN149" s="432" t="n">
        <v>2640.59617041</v>
      </c>
      <c r="BO149" s="432" t="n">
        <v>2219.911027911</v>
      </c>
      <c r="BP149" s="432" t="n">
        <v>2440.2230630925</v>
      </c>
      <c r="BQ149" s="433"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4" t="n">
        <v>2001</v>
      </c>
      <c r="AB150" s="404" t="s">
        <v>569</v>
      </c>
      <c r="AC150" s="405"/>
      <c r="AD150" s="406"/>
      <c r="AE150" s="407" t="n">
        <f aca="false">IVA!AE133*0.21</f>
        <v>28423.2408999</v>
      </c>
      <c r="AF150" s="408" t="n">
        <f aca="false">IVA!AF133*0.21</f>
        <v>37777.9464657</v>
      </c>
      <c r="AG150" s="407" t="n">
        <f aca="false">IVA!AG133*0.21</f>
        <v>36071.4796302</v>
      </c>
      <c r="AH150" s="407" t="n">
        <f aca="false">IVA!AH133*0.21</f>
        <v>34139.5189863</v>
      </c>
      <c r="AI150" s="407" t="n">
        <f aca="false">IVA!AI133*0.21</f>
        <v>34005.5616705</v>
      </c>
      <c r="AJ150" s="407" t="n">
        <f aca="false">IVA!AJ133*0.21</f>
        <v>27813.9468873</v>
      </c>
      <c r="AK150" s="407" t="n">
        <f aca="false">IVA!AK133*0.21</f>
        <v>29025.8698044</v>
      </c>
      <c r="AL150" s="407" t="n">
        <f aca="false">IVA!AL133*0.21</f>
        <v>31749.3123402</v>
      </c>
      <c r="AM150" s="407" t="n">
        <f aca="false">IVA!AM133*0.21</f>
        <v>32565.2984412</v>
      </c>
      <c r="AN150" s="407" t="n">
        <f aca="false">IVA!AN133*0.21</f>
        <v>30404.43231</v>
      </c>
      <c r="AO150" s="407" t="n">
        <f aca="false">IVA!AO133*0.21</f>
        <v>32240.9617299</v>
      </c>
      <c r="AP150" s="407"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09" t="n">
        <f aca="false">IVA!AQ150+IVA!AR150+IVA!AS150+IVA!AT150</f>
        <v>382374.7447653</v>
      </c>
      <c r="AV150" s="130" t="n">
        <f aca="false">IVA!AQ150/IVA!CJ10</f>
        <v>0.000388380657787347</v>
      </c>
      <c r="AW150" s="130" t="n">
        <f aca="false">IVA!AR150/IVA!CK10</f>
        <v>0.000333160903808926</v>
      </c>
      <c r="AX150" s="130" t="n">
        <f aca="false">IVA!AS150/IVA!CL10</f>
        <v>0.000343963718772112</v>
      </c>
      <c r="AY150" s="130" t="n">
        <f aca="false">IVA!AT150/IVA!CM10</f>
        <v>0.000360237677473793</v>
      </c>
      <c r="AZ150" s="271" t="n">
        <f aca="false">IVA!AU150/IVA!CN10</f>
        <v>0.00142307193275342</v>
      </c>
      <c r="BA150" s="266" t="n">
        <v>2000</v>
      </c>
      <c r="BB150" s="430" t="s">
        <v>571</v>
      </c>
      <c r="BC150" s="431"/>
      <c r="BD150" s="431"/>
      <c r="BE150" s="431"/>
      <c r="BF150" s="432" t="n">
        <v>2605.05483341491</v>
      </c>
      <c r="BG150" s="432" t="n">
        <v>2249.85317093361</v>
      </c>
      <c r="BH150" s="432" t="n">
        <v>2900.15350998307</v>
      </c>
      <c r="BI150" s="432" t="n">
        <v>2774.17119927207</v>
      </c>
      <c r="BJ150" s="432" t="n">
        <v>1991.34577857225</v>
      </c>
      <c r="BK150" s="432" t="n">
        <v>2455.89586254192</v>
      </c>
      <c r="BL150" s="432" t="n">
        <v>2262.85524150788</v>
      </c>
      <c r="BM150" s="432" t="n">
        <v>2706.85464441537</v>
      </c>
      <c r="BN150" s="432" t="n">
        <v>2385.25101920455</v>
      </c>
      <c r="BO150" s="432" t="n">
        <v>2842.16122552344</v>
      </c>
      <c r="BP150" s="432" t="n">
        <v>2252.09829093167</v>
      </c>
      <c r="BQ150" s="433"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3"/>
      <c r="CP150" s="373"/>
      <c r="CQ150" s="373"/>
      <c r="EJ150" s="31" t="n">
        <v>2098</v>
      </c>
      <c r="EK150" s="32" t="n">
        <v>20560.706</v>
      </c>
      <c r="EL150" s="33" t="n">
        <v>19103.785</v>
      </c>
    </row>
    <row r="151" customFormat="false" ht="12.75" hidden="false" customHeight="true" outlineLevel="0" collapsed="false">
      <c r="AA151" s="404" t="n">
        <v>2002</v>
      </c>
      <c r="AB151" s="404" t="s">
        <v>569</v>
      </c>
      <c r="AC151" s="405"/>
      <c r="AD151" s="406"/>
      <c r="AE151" s="407" t="n">
        <f aca="false">IVA!AE134*0.21</f>
        <v>27629.4419814</v>
      </c>
      <c r="AF151" s="408" t="n">
        <f aca="false">IVA!AF134*0.21</f>
        <v>29922.5704827</v>
      </c>
      <c r="AG151" s="407" t="n">
        <f aca="false">IVA!AG134*0.21</f>
        <v>25847.5067403</v>
      </c>
      <c r="AH151" s="407" t="n">
        <f aca="false">IVA!AH134*0.21</f>
        <v>22591.6014492</v>
      </c>
      <c r="AI151" s="407" t="n">
        <f aca="false">IVA!AI134*0.21</f>
        <v>31226.7969174</v>
      </c>
      <c r="AJ151" s="407" t="n">
        <f aca="false">IVA!AJ134*0.21</f>
        <v>27305.1390024</v>
      </c>
      <c r="AK151" s="407" t="n">
        <f aca="false">IVA!AK134*0.21</f>
        <v>31042.6096869</v>
      </c>
      <c r="AL151" s="407" t="n">
        <f aca="false">IVA!AL134*0.21</f>
        <v>37610.4149484</v>
      </c>
      <c r="AM151" s="407" t="n">
        <f aca="false">IVA!AM134*0.21</f>
        <v>30007.6486332</v>
      </c>
      <c r="AN151" s="407" t="n">
        <f aca="false">IVA!AN134*0.21</f>
        <v>32235.6134121</v>
      </c>
      <c r="AO151" s="407" t="n">
        <f aca="false">IVA!AO134*0.21</f>
        <v>24882.0738117</v>
      </c>
      <c r="AP151" s="407"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09"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0" t="s">
        <v>571</v>
      </c>
      <c r="BC151" s="431"/>
      <c r="BD151" s="431"/>
      <c r="BE151" s="431"/>
      <c r="BF151" s="432" t="n">
        <v>2636.23623196336</v>
      </c>
      <c r="BG151" s="432" t="n">
        <v>2263.30407202119</v>
      </c>
      <c r="BH151" s="432" t="n">
        <v>2363.14999205339</v>
      </c>
      <c r="BI151" s="432" t="n">
        <v>2042.32502001703</v>
      </c>
      <c r="BJ151" s="432" t="n">
        <v>2097.5419165627</v>
      </c>
      <c r="BK151" s="432" t="n">
        <v>2283.45825438508</v>
      </c>
      <c r="BL151" s="432" t="n">
        <v>2006.2793337446</v>
      </c>
      <c r="BM151" s="432" t="n">
        <v>1982.06557976462</v>
      </c>
      <c r="BN151" s="432" t="n">
        <v>1926.88726570026</v>
      </c>
      <c r="BO151" s="432" t="n">
        <v>1537.52220551952</v>
      </c>
      <c r="BP151" s="432" t="n">
        <v>2359.27018626914</v>
      </c>
      <c r="BQ151" s="433"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9.10046269584392E-005</v>
      </c>
      <c r="CI151" s="53" t="n">
        <v>1997</v>
      </c>
      <c r="CJ151" s="374" t="n">
        <f aca="false">IVA!CJ127+IVA!CJ103</f>
        <v>6196261.72808718</v>
      </c>
      <c r="CK151" s="374" t="n">
        <f aca="false">IVA!CK127+IVA!CK103</f>
        <v>5872379.61567693</v>
      </c>
      <c r="CL151" s="374" t="n">
        <f aca="false">IVA!CL127+IVA!CL103</f>
        <v>6456497.25795431</v>
      </c>
      <c r="CM151" s="374" t="n">
        <f aca="false">IVA!CM127+IVA!CM103</f>
        <v>6359149.53874784</v>
      </c>
      <c r="CN151" s="375" t="n">
        <f aca="false">IVA!CN127+IVA!CN103</f>
        <v>22245665.5514904</v>
      </c>
      <c r="CO151" s="376"/>
      <c r="CP151" s="377"/>
      <c r="CQ151" s="377"/>
      <c r="EJ151" s="31" t="n">
        <v>2099</v>
      </c>
      <c r="EK151" s="32" t="n">
        <v>20609.864</v>
      </c>
      <c r="EL151" s="33" t="n">
        <v>19157.194</v>
      </c>
    </row>
    <row r="152" customFormat="false" ht="12.75" hidden="false" customHeight="true" outlineLevel="0" collapsed="false">
      <c r="AA152" s="404" t="n">
        <v>2003</v>
      </c>
      <c r="AB152" s="404" t="s">
        <v>569</v>
      </c>
      <c r="AC152" s="405"/>
      <c r="AD152" s="406"/>
      <c r="AE152" s="407" t="n">
        <f aca="false">IVA!AE135*0.21</f>
        <v>25886.0100639</v>
      </c>
      <c r="AF152" s="408" t="n">
        <f aca="false">IVA!AF135*0.21</f>
        <v>33830.2862394</v>
      </c>
      <c r="AG152" s="407" t="n">
        <f aca="false">IVA!AG135*0.21</f>
        <v>32698.7843721</v>
      </c>
      <c r="AH152" s="407" t="n">
        <f aca="false">IVA!AH135*0.21</f>
        <v>26630.5500363</v>
      </c>
      <c r="AI152" s="407" t="n">
        <f aca="false">IVA!AI135*0.21</f>
        <v>24033.2840622</v>
      </c>
      <c r="AJ152" s="407" t="n">
        <f aca="false">IVA!AJ135*0.21</f>
        <v>30977.7593559</v>
      </c>
      <c r="AK152" s="407" t="n">
        <f aca="false">IVA!AK135*0.21</f>
        <v>24889.9677705</v>
      </c>
      <c r="AL152" s="407" t="n">
        <f aca="false">IVA!AL135*0.21</f>
        <v>34891.3307442</v>
      </c>
      <c r="AM152" s="407" t="n">
        <f aca="false">IVA!AM135*0.21</f>
        <v>22612.9017051</v>
      </c>
      <c r="AN152" s="407" t="n">
        <f aca="false">IVA!AN135*0.21</f>
        <v>27949.2372327</v>
      </c>
      <c r="AO152" s="407" t="n">
        <f aca="false">IVA!AO135*0.21</f>
        <v>25646.3233278</v>
      </c>
      <c r="AP152" s="407"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09"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0.000898920576618586</v>
      </c>
      <c r="BA152" s="266" t="n">
        <v>2002</v>
      </c>
      <c r="BB152" s="430" t="s">
        <v>571</v>
      </c>
      <c r="BC152" s="431"/>
      <c r="BD152" s="431"/>
      <c r="BE152" s="431"/>
      <c r="BF152" s="432" t="n">
        <v>2640.98127965164</v>
      </c>
      <c r="BG152" s="432" t="n">
        <v>1994.66297012132</v>
      </c>
      <c r="BH152" s="432" t="n">
        <v>1813.19354448009</v>
      </c>
      <c r="BI152" s="432" t="n">
        <v>1611.6729295639</v>
      </c>
      <c r="BJ152" s="432" t="n">
        <v>3243.14240402617</v>
      </c>
      <c r="BK152" s="432" t="n">
        <v>2022.79641626779</v>
      </c>
      <c r="BL152" s="432" t="n">
        <v>2196.62778171775</v>
      </c>
      <c r="BM152" s="432" t="n">
        <v>2196.61796441932</v>
      </c>
      <c r="BN152" s="432" t="n">
        <v>1958.73366487846</v>
      </c>
      <c r="BO152" s="432" t="n">
        <v>1715.66164065647</v>
      </c>
      <c r="BP152" s="432" t="n">
        <v>1793.83297145422</v>
      </c>
      <c r="BQ152" s="433"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7" t="n">
        <f aca="false">IVA!CJ128+IVA!CJ104</f>
        <v>6348841.41962931</v>
      </c>
      <c r="CK152" s="377" t="n">
        <f aca="false">IVA!CK128+IVA!CK104</f>
        <v>6289435.88195374</v>
      </c>
      <c r="CL152" s="377" t="n">
        <f aca="false">IVA!CL128+IVA!CL104</f>
        <v>6683919.98331835</v>
      </c>
      <c r="CM152" s="377" t="n">
        <f aca="false">IVA!CM128+IVA!CM104</f>
        <v>6371952.12517856</v>
      </c>
      <c r="CN152" s="378" t="n">
        <f aca="false">IVA!CN128+IVA!CN104</f>
        <v>22907881.4978253</v>
      </c>
      <c r="CO152" s="376"/>
      <c r="CP152" s="377"/>
      <c r="CQ152" s="377"/>
      <c r="EJ152" s="31" t="n">
        <v>2100</v>
      </c>
      <c r="EK152" s="32" t="n">
        <v>20660.789</v>
      </c>
      <c r="EL152" s="33" t="n">
        <v>19212.478</v>
      </c>
    </row>
    <row r="153" customFormat="false" ht="12.75" hidden="false" customHeight="true" outlineLevel="0" collapsed="false">
      <c r="AA153" s="404" t="n">
        <v>2004</v>
      </c>
      <c r="AB153" s="404" t="s">
        <v>569</v>
      </c>
      <c r="AC153" s="405"/>
      <c r="AD153" s="406"/>
      <c r="AE153" s="407" t="n">
        <f aca="false">IVA!AE136*0.21</f>
        <v>21237.9546687</v>
      </c>
      <c r="AF153" s="408" t="n">
        <f aca="false">IVA!AF136*0.21</f>
        <v>32585.0152194</v>
      </c>
      <c r="AG153" s="407" t="n">
        <f aca="false">IVA!AG136*0.21</f>
        <v>36941.1084189</v>
      </c>
      <c r="AH153" s="407" t="n">
        <f aca="false">IVA!AH136*0.21</f>
        <v>26912.0980086</v>
      </c>
      <c r="AI153" s="407" t="n">
        <f aca="false">IVA!AI136*0.21</f>
        <v>28746.4764678</v>
      </c>
      <c r="AJ153" s="407" t="n">
        <f aca="false">IVA!AJ136*0.21</f>
        <v>26747.4489345</v>
      </c>
      <c r="AK153" s="407" t="n">
        <f aca="false">IVA!AK136*0.21</f>
        <v>25430.608602</v>
      </c>
      <c r="AL153" s="407" t="n">
        <f aca="false">IVA!AL136*0.21</f>
        <v>28009.5239949</v>
      </c>
      <c r="AM153" s="407" t="n">
        <f aca="false">IVA!AM136*0.21</f>
        <v>34763.2864551</v>
      </c>
      <c r="AN153" s="407" t="n">
        <f aca="false">IVA!AN136*0.21</f>
        <v>25717.8742044</v>
      </c>
      <c r="AO153" s="407" t="n">
        <f aca="false">IVA!AO136*0.21</f>
        <v>31808.8322307</v>
      </c>
      <c r="AP153" s="407"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09"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0" t="s">
        <v>571</v>
      </c>
      <c r="BC153" s="431"/>
      <c r="BD153" s="431"/>
      <c r="BE153" s="431"/>
      <c r="BF153" s="432" t="n">
        <v>2210.62782121116</v>
      </c>
      <c r="BG153" s="432" t="n">
        <v>1801.62692454653</v>
      </c>
      <c r="BH153" s="432" t="n">
        <v>1747.43121265325</v>
      </c>
      <c r="BI153" s="432" t="n">
        <v>2202.15700513879</v>
      </c>
      <c r="BJ153" s="432" t="n">
        <v>2049.8244928537</v>
      </c>
      <c r="BK153" s="432" t="n">
        <v>1837.77676285807</v>
      </c>
      <c r="BL153" s="432" t="n">
        <v>2173.05974860487</v>
      </c>
      <c r="BM153" s="432" t="n">
        <v>1814.44549073999</v>
      </c>
      <c r="BN153" s="432" t="n">
        <v>2193.63482599472</v>
      </c>
      <c r="BO153" s="432" t="n">
        <v>2007.65901376112</v>
      </c>
      <c r="BP153" s="432" t="n">
        <v>2156.20988996684</v>
      </c>
      <c r="BQ153" s="433"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6.55719121005861E-005</v>
      </c>
      <c r="CI153" s="53" t="n">
        <v>1999</v>
      </c>
      <c r="CJ153" s="377" t="n">
        <f aca="false">IVA!CJ129+IVA!CJ105</f>
        <v>6443366.72500409</v>
      </c>
      <c r="CK153" s="377" t="n">
        <f aca="false">IVA!CK129+IVA!CK105</f>
        <v>5863876.78424314</v>
      </c>
      <c r="CL153" s="377" t="n">
        <f aca="false">IVA!CL129+IVA!CL105</f>
        <v>6240613.87520597</v>
      </c>
      <c r="CM153" s="377" t="n">
        <f aca="false">IVA!CM129+IVA!CM105</f>
        <v>5758389.18726034</v>
      </c>
      <c r="CN153" s="378" t="n">
        <f aca="false">IVA!CN129+IVA!CN105</f>
        <v>21583027.7059212</v>
      </c>
      <c r="CO153" s="376"/>
      <c r="CP153" s="377"/>
      <c r="CQ153" s="377"/>
    </row>
    <row r="154" customFormat="false" ht="12.75" hidden="false" customHeight="true" outlineLevel="0" collapsed="false">
      <c r="AA154" s="404" t="n">
        <v>2005</v>
      </c>
      <c r="AB154" s="404" t="s">
        <v>569</v>
      </c>
      <c r="AC154" s="405"/>
      <c r="AD154" s="406"/>
      <c r="AE154" s="407" t="n">
        <f aca="false">IVA!AE137*0.21</f>
        <v>27271.0922925</v>
      </c>
      <c r="AF154" s="408" t="n">
        <f aca="false">IVA!AF137*0.21</f>
        <v>41803.7731839</v>
      </c>
      <c r="AG154" s="407" t="n">
        <f aca="false">IVA!AG137*0.21</f>
        <v>28822.3368006</v>
      </c>
      <c r="AH154" s="407" t="n">
        <f aca="false">IVA!AH137*0.21</f>
        <v>19009.3066779</v>
      </c>
      <c r="AI154" s="407" t="n">
        <f aca="false">IVA!AI137*0.21</f>
        <v>31861.169088</v>
      </c>
      <c r="AJ154" s="407" t="n">
        <f aca="false">IVA!AJ137*0.21</f>
        <v>30321.7167183</v>
      </c>
      <c r="AK154" s="407" t="n">
        <f aca="false">IVA!AK137*0.21</f>
        <v>27649.0501056</v>
      </c>
      <c r="AL154" s="407" t="n">
        <f aca="false">IVA!AL137*0.21</f>
        <v>28244.1867456</v>
      </c>
      <c r="AM154" s="407" t="n">
        <f aca="false">IVA!AM137*0.21</f>
        <v>28584.7150071</v>
      </c>
      <c r="AN154" s="407" t="n">
        <f aca="false">IVA!AN137*0.21</f>
        <v>37736.2141485</v>
      </c>
      <c r="AO154" s="407" t="n">
        <f aca="false">IVA!AO137*0.21</f>
        <v>30351.1774755</v>
      </c>
      <c r="AP154" s="407"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09"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0" t="s">
        <v>571</v>
      </c>
      <c r="BC154" s="431"/>
      <c r="BD154" s="431"/>
      <c r="BE154" s="431"/>
      <c r="BF154" s="432" t="n">
        <v>2293.92775711305</v>
      </c>
      <c r="BG154" s="432" t="n">
        <v>2093.82162088959</v>
      </c>
      <c r="BH154" s="432" t="n">
        <v>2093.53770564218</v>
      </c>
      <c r="BI154" s="432" t="n">
        <v>2185.44751064995</v>
      </c>
      <c r="BJ154" s="432" t="n">
        <v>2237.55259447417</v>
      </c>
      <c r="BK154" s="432" t="n">
        <v>2167.38789888456</v>
      </c>
      <c r="BL154" s="432" t="n">
        <v>2318.09388263498</v>
      </c>
      <c r="BM154" s="432" t="n">
        <v>2512.33063076917</v>
      </c>
      <c r="BN154" s="432" t="n">
        <v>2353.67826934945</v>
      </c>
      <c r="BO154" s="432" t="n">
        <v>2202.80490092316</v>
      </c>
      <c r="BP154" s="432" t="n">
        <v>2322.05254425538</v>
      </c>
      <c r="BQ154" s="433"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7" t="n">
        <f aca="false">IVA!CJ130+IVA!CJ106</f>
        <v>6105053.41195249</v>
      </c>
      <c r="CK154" s="377" t="n">
        <f aca="false">IVA!CK130+IVA!CK106</f>
        <v>6052336.7262936</v>
      </c>
      <c r="CL154" s="377" t="n">
        <f aca="false">IVA!CL130+IVA!CL106</f>
        <v>6422641.88117635</v>
      </c>
      <c r="CM154" s="377" t="n">
        <f aca="false">IVA!CM130+IVA!CM106</f>
        <v>5961749.48482447</v>
      </c>
      <c r="CN154" s="378" t="n">
        <f aca="false">IVA!CN130+IVA!CN106</f>
        <v>21820404.6901112</v>
      </c>
      <c r="CO154" s="376"/>
      <c r="CP154" s="377"/>
      <c r="CQ154" s="377"/>
    </row>
    <row r="155" customFormat="false" ht="12.75" hidden="false" customHeight="true" outlineLevel="0" collapsed="false">
      <c r="AA155" s="404" t="n">
        <v>2006</v>
      </c>
      <c r="AB155" s="404" t="s">
        <v>569</v>
      </c>
      <c r="AC155" s="405"/>
      <c r="AD155" s="406"/>
      <c r="AE155" s="407" t="n">
        <f aca="false">IVA!AE138*0.21</f>
        <v>27880.9274016</v>
      </c>
      <c r="AF155" s="408" t="n">
        <f aca="false">IVA!AF138*0.21</f>
        <v>38494.7262756</v>
      </c>
      <c r="AG155" s="407" t="n">
        <f aca="false">IVA!AG138*0.21</f>
        <v>32886.5756373</v>
      </c>
      <c r="AH155" s="407" t="n">
        <f aca="false">IVA!AH138*0.21</f>
        <v>36219.4701519</v>
      </c>
      <c r="AI155" s="407" t="n">
        <f aca="false">IVA!AI138*0.21</f>
        <v>33291.8655993</v>
      </c>
      <c r="AJ155" s="407" t="n">
        <f aca="false">IVA!AJ138*0.21</f>
        <v>33126.250374</v>
      </c>
      <c r="AK155" s="407" t="n">
        <f aca="false">IVA!AK138*0.21</f>
        <v>38882.855424</v>
      </c>
      <c r="AL155" s="407" t="n">
        <f aca="false">IVA!AL138*0.21</f>
        <v>38022.9747429</v>
      </c>
      <c r="AM155" s="407" t="n">
        <f aca="false">IVA!AM138*0.21</f>
        <v>37978.2239487</v>
      </c>
      <c r="AN155" s="407" t="n">
        <f aca="false">IVA!AN138*0.21</f>
        <v>39574.1446947</v>
      </c>
      <c r="AO155" s="407" t="n">
        <f aca="false">IVA!AO138*0.21</f>
        <v>37698.7569987</v>
      </c>
      <c r="AP155" s="407"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09"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0" t="s">
        <v>571</v>
      </c>
      <c r="BC155" s="431"/>
      <c r="BD155" s="431"/>
      <c r="BE155" s="431"/>
      <c r="BF155" s="432" t="n">
        <v>5901.244310391</v>
      </c>
      <c r="BG155" s="432" t="n">
        <v>1842.3367588675</v>
      </c>
      <c r="BH155" s="432" t="n">
        <v>1763.923552791</v>
      </c>
      <c r="BI155" s="432" t="n">
        <v>4179.3422622665</v>
      </c>
      <c r="BJ155" s="432" t="n">
        <v>2264.7218495795</v>
      </c>
      <c r="BK155" s="432" t="n">
        <v>2570.734664972</v>
      </c>
      <c r="BL155" s="432" t="n">
        <v>2744.758236279</v>
      </c>
      <c r="BM155" s="432" t="n">
        <v>1629.7106034755</v>
      </c>
      <c r="BN155" s="432" t="n">
        <v>2696.453897404</v>
      </c>
      <c r="BO155" s="432" t="n">
        <v>2924.55366701</v>
      </c>
      <c r="BP155" s="432" t="n">
        <v>2485.771125222</v>
      </c>
      <c r="BQ155" s="433"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6.28027747060365E-005</v>
      </c>
      <c r="CI155" s="53" t="n">
        <v>2001</v>
      </c>
      <c r="CJ155" s="377" t="n">
        <f aca="false">IVA!CJ131+IVA!CJ107</f>
        <v>6094752.03180975</v>
      </c>
      <c r="CK155" s="377" t="n">
        <f aca="false">IVA!CK131+IVA!CK107</f>
        <v>5694573.06121968</v>
      </c>
      <c r="CL155" s="377" t="n">
        <f aca="false">IVA!CL131+IVA!CL107</f>
        <v>5925464.94293571</v>
      </c>
      <c r="CM155" s="377" t="n">
        <f aca="false">IVA!CM131+IVA!CM107</f>
        <v>4990245.59610622</v>
      </c>
      <c r="CN155" s="378" t="n">
        <f aca="false">IVA!CN131+IVA!CN107</f>
        <v>20023230.2031046</v>
      </c>
      <c r="CO155" s="376" t="n">
        <f aca="false">22236478800/1000</f>
        <v>22236478.8</v>
      </c>
      <c r="CP155" s="377" t="n">
        <v>19791816.8</v>
      </c>
      <c r="CQ155" s="377" t="n">
        <f aca="false">IVA!CN155-IVA!CP155</f>
        <v>231413.403104559</v>
      </c>
    </row>
    <row r="156" customFormat="false" ht="12.75" hidden="false" customHeight="true" outlineLevel="0" collapsed="false">
      <c r="AA156" s="404" t="n">
        <v>2007</v>
      </c>
      <c r="AB156" s="404" t="s">
        <v>569</v>
      </c>
      <c r="AC156" s="405"/>
      <c r="AD156" s="406"/>
      <c r="AE156" s="407" t="n">
        <f aca="false">IVA!AE139*0.21</f>
        <v>27011.9136399</v>
      </c>
      <c r="AF156" s="408" t="n">
        <f aca="false">IVA!AF139*0.21</f>
        <v>57441.4000335</v>
      </c>
      <c r="AG156" s="407" t="n">
        <f aca="false">IVA!AG139*0.21</f>
        <v>41284.7752065</v>
      </c>
      <c r="AH156" s="407" t="n">
        <f aca="false">IVA!AH139*0.21</f>
        <v>45044.7448605</v>
      </c>
      <c r="AI156" s="407" t="n">
        <f aca="false">IVA!AI139*0.21</f>
        <v>32325.9807234</v>
      </c>
      <c r="AJ156" s="407" t="n">
        <f aca="false">IVA!AJ139*0.21</f>
        <v>34710.802749</v>
      </c>
      <c r="AK156" s="407" t="n">
        <f aca="false">IVA!AK139*0.21</f>
        <v>40967.2319721</v>
      </c>
      <c r="AL156" s="407" t="n">
        <f aca="false">IVA!AL139*0.21</f>
        <v>38187.82569</v>
      </c>
      <c r="AM156" s="407" t="n">
        <f aca="false">IVA!AM139*0.21</f>
        <v>61915.1300775</v>
      </c>
      <c r="AN156" s="407" t="n">
        <f aca="false">IVA!AN139*0.21</f>
        <v>51733.410351</v>
      </c>
      <c r="AO156" s="407" t="n">
        <f aca="false">IVA!AO139*0.21</f>
        <v>49948.5777462</v>
      </c>
      <c r="AP156" s="407"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09"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0" t="s">
        <v>571</v>
      </c>
      <c r="BC156" s="431"/>
      <c r="BD156" s="431"/>
      <c r="BE156" s="431"/>
      <c r="BF156" s="432" t="n">
        <v>2920.1863934865</v>
      </c>
      <c r="BG156" s="432" t="n">
        <v>7661.6140235155</v>
      </c>
      <c r="BH156" s="432" t="n">
        <v>1802.827797563</v>
      </c>
      <c r="BI156" s="432" t="n">
        <v>3657.533088145</v>
      </c>
      <c r="BJ156" s="432" t="n">
        <v>1470.5688411145</v>
      </c>
      <c r="BK156" s="432" t="n">
        <v>3669.5001045335</v>
      </c>
      <c r="BL156" s="432" t="n">
        <v>3420.7643278125</v>
      </c>
      <c r="BM156" s="432" t="n">
        <v>5062.241794851</v>
      </c>
      <c r="BN156" s="432" t="n">
        <v>3406.5088563235</v>
      </c>
      <c r="BO156" s="432" t="n">
        <v>3984.086031812</v>
      </c>
      <c r="BP156" s="432" t="n">
        <v>3053.10760345</v>
      </c>
      <c r="BQ156" s="433"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7" t="n">
        <f aca="false">IVA!CJ132+IVA!CJ108</f>
        <v>4471849.38003785</v>
      </c>
      <c r="CK156" s="377" t="n">
        <f aca="false">IVA!CK132+IVA!CK108</f>
        <v>4623502.73871798</v>
      </c>
      <c r="CL156" s="377" t="n">
        <f aca="false">IVA!CL132+IVA!CL108</f>
        <v>5336266.16662915</v>
      </c>
      <c r="CM156" s="377" t="n">
        <f aca="false">IVA!CM132+IVA!CM108</f>
        <v>5341264.58581931</v>
      </c>
      <c r="CN156" s="378" t="n">
        <f aca="false">IVA!CN132+IVA!CN108</f>
        <v>17840847.7101331</v>
      </c>
      <c r="CO156" s="376" t="n">
        <f aca="false">22421189021/1000</f>
        <v>22421189.021</v>
      </c>
      <c r="CP156" s="377" t="n">
        <v>20114831.021</v>
      </c>
      <c r="CQ156" s="377" t="n">
        <f aca="false">IVA!CN156-IVA!CP156</f>
        <v>-2273983.31086691</v>
      </c>
    </row>
    <row r="157" customFormat="false" ht="12.75" hidden="false" customHeight="true" outlineLevel="0" collapsed="false">
      <c r="AA157" s="404" t="n">
        <v>2008</v>
      </c>
      <c r="AB157" s="404" t="s">
        <v>569</v>
      </c>
      <c r="AC157" s="405"/>
      <c r="AD157" s="406"/>
      <c r="AE157" s="407" t="n">
        <f aca="false">IVA!AE140*0.21</f>
        <v>47590.0810518</v>
      </c>
      <c r="AF157" s="408" t="n">
        <f aca="false">IVA!AF140*0.21</f>
        <v>81974.6525682</v>
      </c>
      <c r="AG157" s="407" t="n">
        <f aca="false">IVA!AG140*0.21</f>
        <v>69101.6024139</v>
      </c>
      <c r="AH157" s="407" t="n">
        <f aca="false">IVA!AH140*0.21</f>
        <v>54274.4387367</v>
      </c>
      <c r="AI157" s="407" t="n">
        <f aca="false">IVA!AI140*0.21</f>
        <v>52469.4666594</v>
      </c>
      <c r="AJ157" s="407" t="n">
        <f aca="false">IVA!AJ140*0.21</f>
        <v>58237.0872489</v>
      </c>
      <c r="AK157" s="407" t="n">
        <f aca="false">IVA!AK140*0.21</f>
        <v>57678.1733388</v>
      </c>
      <c r="AL157" s="407" t="n">
        <f aca="false">IVA!AL140*0.21</f>
        <v>62000.2188624</v>
      </c>
      <c r="AM157" s="407" t="n">
        <f aca="false">IVA!AM140*0.21</f>
        <v>58593.6064854</v>
      </c>
      <c r="AN157" s="407" t="n">
        <f aca="false">IVA!AN140*0.21</f>
        <v>60261.2933034</v>
      </c>
      <c r="AO157" s="407" t="n">
        <f aca="false">IVA!AO140*0.21</f>
        <v>60815.9201853</v>
      </c>
      <c r="AP157" s="407"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09"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0" t="s">
        <v>571</v>
      </c>
      <c r="BC157" s="431"/>
      <c r="BD157" s="431"/>
      <c r="BE157" s="431"/>
      <c r="BF157" s="432" t="n">
        <v>5030.601858131</v>
      </c>
      <c r="BG157" s="432" t="n">
        <v>5443.354032625</v>
      </c>
      <c r="BH157" s="432" t="n">
        <v>2505.466698734</v>
      </c>
      <c r="BI157" s="432" t="n">
        <v>2306.3515889005</v>
      </c>
      <c r="BJ157" s="432" t="n">
        <v>3040.263064623</v>
      </c>
      <c r="BK157" s="432" t="n">
        <v>6078.9204308445</v>
      </c>
      <c r="BL157" s="432" t="n">
        <v>3108.617831139</v>
      </c>
      <c r="BM157" s="432" t="n">
        <v>4089.9835055005</v>
      </c>
      <c r="BN157" s="432" t="n">
        <v>2888.13986887</v>
      </c>
      <c r="BO157" s="432" t="n">
        <v>2145.3878624415</v>
      </c>
      <c r="BP157" s="432" t="n">
        <v>5644.731823417</v>
      </c>
      <c r="BQ157" s="433"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7" t="n">
        <f aca="false">IVA!CJ133+IVA!CJ109</f>
        <v>5759990.1267723</v>
      </c>
      <c r="CK157" s="377" t="n">
        <f aca="false">IVA!CK133+IVA!CK109</f>
        <v>6134236.05070128</v>
      </c>
      <c r="CL157" s="377" t="n">
        <f aca="false">IVA!CL133+IVA!CL109</f>
        <v>6763017.30305904</v>
      </c>
      <c r="CM157" s="377" t="n">
        <f aca="false">IVA!CM133+IVA!CM109</f>
        <v>6945699.72883141</v>
      </c>
      <c r="CN157" s="378" t="n">
        <f aca="false">IVA!CN133+IVA!CN109</f>
        <v>22483000.8957992</v>
      </c>
      <c r="CO157" s="376" t="n">
        <f aca="false">23924364413/1000</f>
        <v>23924364.413</v>
      </c>
      <c r="CP157" s="377" t="n">
        <v>21457283.032</v>
      </c>
      <c r="CQ157" s="377" t="n">
        <f aca="false">IVA!CN157-IVA!CP157</f>
        <v>1025717.86379922</v>
      </c>
    </row>
    <row r="158" customFormat="false" ht="12.75" hidden="false" customHeight="true" outlineLevel="0" collapsed="false">
      <c r="AA158" s="404" t="n">
        <v>2009</v>
      </c>
      <c r="AB158" s="404" t="s">
        <v>569</v>
      </c>
      <c r="AC158" s="405"/>
      <c r="AD158" s="406"/>
      <c r="AE158" s="407" t="n">
        <f aca="false">IVA!AE141*0.21</f>
        <v>56347.83</v>
      </c>
      <c r="AF158" s="408" t="n">
        <f aca="false">IVA!AF141*0.21</f>
        <v>90885.9</v>
      </c>
      <c r="AG158" s="407" t="n">
        <f aca="false">IVA!AG141*0.21</f>
        <v>69466.95</v>
      </c>
      <c r="AH158" s="407" t="n">
        <f aca="false">IVA!AH141*0.21</f>
        <v>68997.18</v>
      </c>
      <c r="AI158" s="407" t="n">
        <f aca="false">IVA!AI141*0.21</f>
        <v>70907.76</v>
      </c>
      <c r="AJ158" s="407" t="n">
        <f aca="false">IVA!AJ141*0.21</f>
        <v>72481.5</v>
      </c>
      <c r="AK158" s="407" t="n">
        <f aca="false">IVA!AK141*0.21</f>
        <v>73567.62</v>
      </c>
      <c r="AL158" s="407" t="n">
        <f aca="false">IVA!AL141*0.21</f>
        <v>72953.58</v>
      </c>
      <c r="AM158" s="407" t="n">
        <f aca="false">IVA!AM141*0.21</f>
        <v>86963.1</v>
      </c>
      <c r="AN158" s="407" t="n">
        <f aca="false">IVA!AN141*0.21</f>
        <v>89668.74</v>
      </c>
      <c r="AO158" s="407" t="n">
        <f aca="false">IVA!AO141*0.21</f>
        <v>99218.28</v>
      </c>
      <c r="AP158" s="407"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09"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0" t="s">
        <v>571</v>
      </c>
      <c r="BC158" s="431"/>
      <c r="BD158" s="431"/>
      <c r="BE158" s="431"/>
      <c r="BF158" s="432" t="n">
        <v>8288.422826347</v>
      </c>
      <c r="BG158" s="432" t="n">
        <v>3036.029137607</v>
      </c>
      <c r="BH158" s="432" t="n">
        <v>2158.6640616955</v>
      </c>
      <c r="BI158" s="432" t="n">
        <v>5517.3833281145</v>
      </c>
      <c r="BJ158" s="432" t="n">
        <v>7497.1140783225</v>
      </c>
      <c r="BK158" s="432" t="n">
        <v>4284.674027409</v>
      </c>
      <c r="BL158" s="432" t="n">
        <v>2215.9023988315</v>
      </c>
      <c r="BM158" s="432" t="n">
        <v>5074.183577419</v>
      </c>
      <c r="BN158" s="432" t="n">
        <v>4918.6316062655</v>
      </c>
      <c r="BO158" s="432" t="n">
        <v>9315.6580863885</v>
      </c>
      <c r="BP158" s="432" t="n">
        <v>6893.334229433</v>
      </c>
      <c r="BQ158" s="433"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7" t="n">
        <f aca="false">IVA!CJ134+IVA!CJ110</f>
        <v>7805169.01673481</v>
      </c>
      <c r="CK158" s="377" t="n">
        <f aca="false">IVA!CK134+IVA!CK110</f>
        <v>8910459.35943813</v>
      </c>
      <c r="CL158" s="377" t="n">
        <f aca="false">IVA!CL134+IVA!CL110</f>
        <v>9306541.29447308</v>
      </c>
      <c r="CM158" s="377" t="n">
        <f aca="false">IVA!CM134+IVA!CM110</f>
        <v>9182265.51925381</v>
      </c>
      <c r="CN158" s="378" t="n">
        <f aca="false">IVA!CN134+IVA!CN110</f>
        <v>30498389.5561226</v>
      </c>
      <c r="CO158" s="376" t="n">
        <f aca="false">24571037720/1000</f>
        <v>24571037.72</v>
      </c>
      <c r="CP158" s="377" t="n">
        <v>21483727.846</v>
      </c>
      <c r="CQ158" s="377" t="n">
        <f aca="false">IVA!CN158-IVA!CP158</f>
        <v>9014661.71012263</v>
      </c>
    </row>
    <row r="159" customFormat="false" ht="12.75" hidden="false" customHeight="true" outlineLevel="0" collapsed="false">
      <c r="AA159" s="404" t="n">
        <v>2010</v>
      </c>
      <c r="AB159" s="404" t="s">
        <v>569</v>
      </c>
      <c r="AC159" s="405"/>
      <c r="AD159" s="406"/>
      <c r="AE159" s="407" t="n">
        <f aca="false">IVA!AE142*0.21</f>
        <v>70419.93</v>
      </c>
      <c r="AF159" s="408" t="n">
        <f aca="false">IVA!AF142*0.21</f>
        <v>109166.82</v>
      </c>
      <c r="AG159" s="407" t="n">
        <f aca="false">IVA!AG142*0.21</f>
        <v>111965.07</v>
      </c>
      <c r="AH159" s="407" t="n">
        <f aca="false">IVA!AH142*0.21</f>
        <v>97829.76</v>
      </c>
      <c r="AI159" s="407" t="n">
        <f aca="false">IVA!AI142*0.21</f>
        <v>123920.37</v>
      </c>
      <c r="AJ159" s="407" t="n">
        <f aca="false">IVA!AJ142*0.21</f>
        <v>105259.77</v>
      </c>
      <c r="AK159" s="407" t="n">
        <f aca="false">IVA!AK142*0.21</f>
        <v>104940.36</v>
      </c>
      <c r="AL159" s="407" t="n">
        <f aca="false">IVA!AL142*0.21</f>
        <v>103973.31</v>
      </c>
      <c r="AM159" s="407" t="n">
        <f aca="false">IVA!AM142*0.21</f>
        <v>121565.22</v>
      </c>
      <c r="AN159" s="407" t="n">
        <f aca="false">IVA!AN142*0.21</f>
        <v>120675.24</v>
      </c>
      <c r="AO159" s="407" t="n">
        <f aca="false">IVA!AO142*0.21</f>
        <v>125734.14</v>
      </c>
      <c r="AP159" s="407"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09"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0" t="s">
        <v>571</v>
      </c>
      <c r="BC159" s="431"/>
      <c r="BD159" s="431"/>
      <c r="BE159" s="431"/>
      <c r="BF159" s="432" t="n">
        <v>18407.22125</v>
      </c>
      <c r="BG159" s="432" t="n">
        <v>9754.8192</v>
      </c>
      <c r="BH159" s="432" t="n">
        <v>2902.41355</v>
      </c>
      <c r="BI159" s="432" t="n">
        <v>5822.569</v>
      </c>
      <c r="BJ159" s="432" t="n">
        <v>5895.1495</v>
      </c>
      <c r="BK159" s="432" t="n">
        <v>4481.44265</v>
      </c>
      <c r="BL159" s="432" t="n">
        <v>3714.5087</v>
      </c>
      <c r="BM159" s="432" t="n">
        <v>13321.74755</v>
      </c>
      <c r="BN159" s="432" t="n">
        <v>6223.37465</v>
      </c>
      <c r="BO159" s="432" t="n">
        <v>4908.0547</v>
      </c>
      <c r="BP159" s="432" t="n">
        <v>11974.97605</v>
      </c>
      <c r="BQ159" s="433"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7" t="n">
        <f aca="false">IVA!CJ135+IVA!CJ111</f>
        <v>9733954.8374663</v>
      </c>
      <c r="CK159" s="377" t="n">
        <f aca="false">IVA!CK135+IVA!CK111</f>
        <v>10449634.6105799</v>
      </c>
      <c r="CL159" s="377" t="n">
        <f aca="false">IVA!CL135+IVA!CL111</f>
        <v>11435679.6419169</v>
      </c>
      <c r="CM159" s="377" t="n">
        <f aca="false">IVA!CM135+IVA!CM111</f>
        <v>12052330.6390758</v>
      </c>
      <c r="CN159" s="378" t="n">
        <f aca="false">IVA!CN135+IVA!CN111</f>
        <v>37748426.1485509</v>
      </c>
      <c r="CO159" s="376" t="n">
        <f aca="false">28965287000/1000</f>
        <v>28965287</v>
      </c>
      <c r="CP159" s="377" t="n">
        <v>25267808</v>
      </c>
      <c r="CQ159" s="377" t="n">
        <f aca="false">IVA!CN159-IVA!CP159</f>
        <v>12480618.1485509</v>
      </c>
    </row>
    <row r="160" customFormat="false" ht="12.75" hidden="false" customHeight="true" outlineLevel="0" collapsed="false">
      <c r="AA160" s="404" t="n">
        <v>2011</v>
      </c>
      <c r="AB160" s="404" t="s">
        <v>569</v>
      </c>
      <c r="AC160" s="405"/>
      <c r="AD160" s="406"/>
      <c r="AE160" s="407" t="n">
        <f aca="false">IVA!AE143*0.21</f>
        <v>108472.35</v>
      </c>
      <c r="AF160" s="408" t="n">
        <f aca="false">IVA!AF143*0.21</f>
        <v>144702.18</v>
      </c>
      <c r="AG160" s="407" t="n">
        <f aca="false">IVA!AG143*0.21</f>
        <v>137062.59</v>
      </c>
      <c r="AH160" s="407" t="n">
        <f aca="false">IVA!AH143*0.21</f>
        <v>127158.15</v>
      </c>
      <c r="AI160" s="407" t="n">
        <f aca="false">IVA!AI143*0.21</f>
        <v>137623.5</v>
      </c>
      <c r="AJ160" s="407" t="n">
        <f aca="false">IVA!AJ143*0.21</f>
        <v>111207.39</v>
      </c>
      <c r="AK160" s="407" t="n">
        <f aca="false">IVA!AK143*0.21</f>
        <v>102120.48</v>
      </c>
      <c r="AL160" s="407" t="n">
        <f aca="false">IVA!AL143*0.21</f>
        <v>148849.47</v>
      </c>
      <c r="AM160" s="407" t="n">
        <f aca="false">IVA!AM143*0.21</f>
        <v>135061.92</v>
      </c>
      <c r="AN160" s="407" t="n">
        <f aca="false">IVA!AN143*0.21</f>
        <v>170928.24</v>
      </c>
      <c r="AO160" s="407" t="n">
        <f aca="false">IVA!AO143*0.21</f>
        <v>163566.06</v>
      </c>
      <c r="AP160" s="407"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09"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0.000919153368502565</v>
      </c>
      <c r="BA160" s="266" t="n">
        <v>2010</v>
      </c>
      <c r="BB160" s="430" t="s">
        <v>571</v>
      </c>
      <c r="BC160" s="431"/>
      <c r="BD160" s="431"/>
      <c r="BE160" s="431"/>
      <c r="BF160" s="432" t="n">
        <v>15047.55055</v>
      </c>
      <c r="BG160" s="432" t="n">
        <v>4676.60355</v>
      </c>
      <c r="BH160" s="432" t="n">
        <v>6296.7616</v>
      </c>
      <c r="BI160" s="432" t="n">
        <v>8877.4016</v>
      </c>
      <c r="BJ160" s="432" t="n">
        <v>7670.14595</v>
      </c>
      <c r="BK160" s="432" t="n">
        <v>7344.34015</v>
      </c>
      <c r="BL160" s="432" t="n">
        <v>5401.6021</v>
      </c>
      <c r="BM160" s="432" t="n">
        <v>7995.95175</v>
      </c>
      <c r="BN160" s="432" t="n">
        <v>9571.75505</v>
      </c>
      <c r="BO160" s="432" t="n">
        <v>7015.30855</v>
      </c>
      <c r="BP160" s="432" t="n">
        <v>10281.43105</v>
      </c>
      <c r="BQ160" s="433"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7" t="n">
        <f aca="false">IVA!CJ136+IVA!CJ112</f>
        <v>12938651.8985852</v>
      </c>
      <c r="CK160" s="377" t="n">
        <f aca="false">IVA!CK136+IVA!CK112</f>
        <v>13437576.7811616</v>
      </c>
      <c r="CL160" s="377" t="n">
        <f aca="false">IVA!CL136+IVA!CL112</f>
        <v>14811905.6148522</v>
      </c>
      <c r="CM160" s="377" t="n">
        <f aca="false">IVA!CM136+IVA!CM112</f>
        <v>15421988.8257665</v>
      </c>
      <c r="CN160" s="378" t="n">
        <f aca="false">IVA!CN136+IVA!CN112</f>
        <v>49695551.3203725</v>
      </c>
      <c r="CO160" s="376" t="n">
        <f aca="false">35609272116/1000</f>
        <v>35609272.116</v>
      </c>
      <c r="CP160" s="377" t="n">
        <v>31684381.116</v>
      </c>
      <c r="CQ160" s="377" t="n">
        <f aca="false">IVA!CN160-IVA!CP160</f>
        <v>18011170.2043725</v>
      </c>
    </row>
    <row r="161" customFormat="false" ht="12.75" hidden="false" customHeight="true" outlineLevel="0" collapsed="false">
      <c r="AA161" s="419" t="n">
        <v>2012</v>
      </c>
      <c r="AB161" s="419" t="s">
        <v>569</v>
      </c>
      <c r="AC161" s="420"/>
      <c r="AD161" s="421"/>
      <c r="AE161" s="422" t="n">
        <f aca="false">IVA!AE144*0.21</f>
        <v>160567.7238333</v>
      </c>
      <c r="AF161" s="423" t="n">
        <f aca="false">IVA!AF144*0.21</f>
        <v>202221.9510381</v>
      </c>
      <c r="AG161" s="422" t="n">
        <f aca="false">IVA!AG144*0.21</f>
        <v>196992.0601005</v>
      </c>
      <c r="AH161" s="422" t="n">
        <f aca="false">IVA!AH144*0.21</f>
        <v>181777.2918822</v>
      </c>
      <c r="AI161" s="422" t="n">
        <f aca="false">IVA!AI144*0.21</f>
        <v>166385.0014848</v>
      </c>
      <c r="AJ161" s="422" t="n">
        <f aca="false">IVA!AJ144*0.21</f>
        <v>156851.1908964</v>
      </c>
      <c r="AK161" s="422" t="n">
        <f aca="false">IVA!AK144*0.21</f>
        <v>229433.7966081</v>
      </c>
      <c r="AL161" s="422" t="n">
        <f aca="false">IVA!AL144*0.21</f>
        <v>210884.8939386</v>
      </c>
      <c r="AM161" s="422" t="n">
        <f aca="false">IVA!AM144*0.21</f>
        <v>211119.8389419</v>
      </c>
      <c r="AN161" s="422" t="n">
        <f aca="false">IVA!AN144*0.21</f>
        <v>198958.0581177</v>
      </c>
      <c r="AO161" s="422" t="n">
        <f aca="false">IVA!AO144*0.21</f>
        <v>201243.9011058</v>
      </c>
      <c r="AP161" s="422" t="n">
        <f aca="false">IVA!AP144*0.21</f>
        <v>266973.1453704</v>
      </c>
      <c r="AQ161" s="326" t="n">
        <f aca="false">IVA!AE161+IVA!AF161+IVA!AG161</f>
        <v>559781.7349719</v>
      </c>
      <c r="AR161" s="326" t="n">
        <f aca="false">IVA!AH161+IVA!AI161+IVA!AJ161</f>
        <v>505013.4842634</v>
      </c>
      <c r="AS161" s="326" t="n">
        <f aca="false">IVA!AK161+IVA!AL161+IVA!AM161</f>
        <v>651438.5294886</v>
      </c>
      <c r="AT161" s="326" t="n">
        <f aca="false">IVA!AN161+IVA!AO161+IVA!AP161</f>
        <v>667175.1045939</v>
      </c>
      <c r="AU161" s="424"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0" t="s">
        <v>571</v>
      </c>
      <c r="BC161" s="431"/>
      <c r="BD161" s="431"/>
      <c r="BE161" s="431"/>
      <c r="BF161" s="432" t="n">
        <v>10487.88225</v>
      </c>
      <c r="BG161" s="432" t="n">
        <v>14872.5509</v>
      </c>
      <c r="BH161" s="432" t="n">
        <v>8312.8866</v>
      </c>
      <c r="BI161" s="432" t="n">
        <v>7460.46895</v>
      </c>
      <c r="BJ161" s="432" t="n">
        <v>8542.72485</v>
      </c>
      <c r="BK161" s="432" t="n">
        <v>12120.13705</v>
      </c>
      <c r="BL161" s="432" t="n">
        <v>7768.53285</v>
      </c>
      <c r="BM161" s="432" t="n">
        <v>13259.6509</v>
      </c>
      <c r="BN161" s="432" t="n">
        <v>7158.85665</v>
      </c>
      <c r="BO161" s="432" t="n">
        <v>15080.615</v>
      </c>
      <c r="BP161" s="432" t="n">
        <v>9231.43315</v>
      </c>
      <c r="BQ161" s="433"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7" t="n">
        <f aca="false">IVA!CJ137+IVA!CJ113</f>
        <v>17486356.3114502</v>
      </c>
      <c r="CK161" s="377" t="n">
        <f aca="false">IVA!CK137+IVA!CK113</f>
        <v>18034151.6121972</v>
      </c>
      <c r="CL161" s="377" t="n">
        <f aca="false">IVA!CL137+IVA!CL113</f>
        <v>20314563.9982094</v>
      </c>
      <c r="CM161" s="377" t="n">
        <f aca="false">IVA!CM137+IVA!CM113</f>
        <v>20479853.5116435</v>
      </c>
      <c r="CN161" s="378" t="n">
        <f aca="false">IVA!CN137+IVA!CN113</f>
        <v>67676739.149327</v>
      </c>
      <c r="CO161" s="376" t="n">
        <f aca="false">47175129941/1000</f>
        <v>47175129.941</v>
      </c>
      <c r="CP161" s="377" t="n">
        <v>41908535.7</v>
      </c>
      <c r="CQ161" s="377" t="n">
        <f aca="false">IVA!CN161-IVA!CP161</f>
        <v>25768203.449327</v>
      </c>
    </row>
    <row r="162" customFormat="false" ht="12.75" hidden="false" customHeight="true" outlineLevel="0" collapsed="false">
      <c r="AA162" s="123" t="n">
        <v>1996</v>
      </c>
      <c r="AB162" s="123" t="s">
        <v>575</v>
      </c>
      <c r="AC162" s="124"/>
      <c r="AD162" s="125"/>
      <c r="AE162" s="434" t="n">
        <v>0</v>
      </c>
      <c r="AF162" s="434" t="n">
        <v>0</v>
      </c>
      <c r="AG162" s="434" t="n">
        <v>0</v>
      </c>
      <c r="AH162" s="434" t="n">
        <v>0</v>
      </c>
      <c r="AI162" s="434" t="n">
        <v>0</v>
      </c>
      <c r="AJ162" s="434" t="n">
        <v>0</v>
      </c>
      <c r="AK162" s="434" t="n">
        <v>0</v>
      </c>
      <c r="AL162" s="434" t="n">
        <v>0</v>
      </c>
      <c r="AM162" s="434" t="n">
        <v>0</v>
      </c>
      <c r="AN162" s="434" t="n">
        <v>0</v>
      </c>
      <c r="AO162" s="434" t="n">
        <v>0</v>
      </c>
      <c r="AP162" s="434"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5" t="s">
        <v>571</v>
      </c>
      <c r="BC162" s="436"/>
      <c r="BD162" s="436"/>
      <c r="BE162" s="436"/>
      <c r="BF162" s="437" t="n">
        <v>17678.466336545</v>
      </c>
      <c r="BG162" s="437" t="n">
        <v>16721.446589298</v>
      </c>
      <c r="BH162" s="437" t="n">
        <v>11467.1767994715</v>
      </c>
      <c r="BI162" s="437" t="n">
        <v>13354.3534122075</v>
      </c>
      <c r="BJ162" s="437" t="n">
        <v>12513.1593849215</v>
      </c>
      <c r="BK162" s="437" t="n">
        <v>13936.799126346</v>
      </c>
      <c r="BL162" s="437" t="n">
        <v>10872.93002829</v>
      </c>
      <c r="BM162" s="437" t="n">
        <v>15701.524709791</v>
      </c>
      <c r="BN162" s="437" t="n">
        <v>15108.4564039945</v>
      </c>
      <c r="BO162" s="437" t="n">
        <v>14713.6095646575</v>
      </c>
      <c r="BP162" s="437" t="n">
        <v>18048.7167815265</v>
      </c>
      <c r="BQ162" s="438"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1.75105501945956E-005</v>
      </c>
      <c r="BY162" s="264" t="n">
        <f aca="false">IVA!BT162/IVA!CL21</f>
        <v>1.90951173699739E-005</v>
      </c>
      <c r="BZ162" s="264" t="n">
        <f aca="false">IVA!BU162/IVA!CM21</f>
        <v>1.99006254120589E-005</v>
      </c>
      <c r="CA162" s="303" t="n">
        <f aca="false">IVA!BV162/IVA!CN21</f>
        <v>8.02324354757556E-005</v>
      </c>
      <c r="CI162" s="53" t="n">
        <v>2008</v>
      </c>
      <c r="CJ162" s="377" t="n">
        <f aca="false">IVA!CJ138+IVA!CJ114</f>
        <v>23532743.9821917</v>
      </c>
      <c r="CK162" s="377" t="n">
        <f aca="false">IVA!CK138+IVA!CK114</f>
        <v>24943262.756579</v>
      </c>
      <c r="CL162" s="377" t="n">
        <f aca="false">IVA!CL138+IVA!CL114</f>
        <v>27816278.7210366</v>
      </c>
      <c r="CM162" s="377" t="n">
        <f aca="false">IVA!CM138+IVA!CM114</f>
        <v>27557139.2697316</v>
      </c>
      <c r="CN162" s="378" t="n">
        <f aca="false">IVA!CN138+IVA!CN114</f>
        <v>92189520.2664046</v>
      </c>
      <c r="CO162" s="376" t="n">
        <f aca="false">68300033000/1000</f>
        <v>68300033</v>
      </c>
      <c r="CP162" s="377" t="n">
        <v>60508991.805</v>
      </c>
      <c r="CQ162" s="377" t="n">
        <f aca="false">IVA!CN162-IVA!CP162</f>
        <v>31680528.4614046</v>
      </c>
    </row>
    <row r="163" customFormat="false" ht="12.75" hidden="false" customHeight="true" outlineLevel="0" collapsed="false">
      <c r="AA163" s="123" t="n">
        <v>1997</v>
      </c>
      <c r="AB163" s="123" t="s">
        <v>575</v>
      </c>
      <c r="AC163" s="124"/>
      <c r="AD163" s="125"/>
      <c r="AE163" s="434" t="n">
        <v>0</v>
      </c>
      <c r="AF163" s="434" t="n">
        <v>0</v>
      </c>
      <c r="AG163" s="434" t="n">
        <v>0</v>
      </c>
      <c r="AH163" s="434" t="n">
        <v>0</v>
      </c>
      <c r="AI163" s="434" t="n">
        <v>0</v>
      </c>
      <c r="AJ163" s="434" t="n">
        <v>0</v>
      </c>
      <c r="AK163" s="434" t="n">
        <v>0</v>
      </c>
      <c r="AL163" s="434" t="n">
        <v>0</v>
      </c>
      <c r="AM163" s="434" t="n">
        <v>0</v>
      </c>
      <c r="AN163" s="434" t="n">
        <v>0</v>
      </c>
      <c r="AO163" s="434" t="n">
        <v>0</v>
      </c>
      <c r="AP163" s="434"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69" t="s">
        <v>576</v>
      </c>
      <c r="BC163" s="370"/>
      <c r="BD163" s="370"/>
      <c r="BE163" s="370"/>
      <c r="BF163" s="371" t="n">
        <f aca="false">IVA!BF146+IVA!BF129+IVA!BF112+IVA!BF95+IVA!BF78+IVA!BF43+IVA!BF26+IVA!BF9</f>
        <v>1793336.16666667</v>
      </c>
      <c r="BG163" s="371" t="n">
        <f aca="false">IVA!BG146+IVA!BG129+IVA!BG112+IVA!BG95+IVA!BG78+IVA!BG43+IVA!BG26+IVA!BG9</f>
        <v>1809247.81666667</v>
      </c>
      <c r="BH163" s="371" t="n">
        <f aca="false">IVA!BH146+IVA!BH129+IVA!BH112+IVA!BH95+IVA!BH78+IVA!BH43+IVA!BH26+IVA!BH9</f>
        <v>1795922.58666667</v>
      </c>
      <c r="BI163" s="371" t="n">
        <f aca="false">IVA!BI146+IVA!BI129+IVA!BI112+IVA!BI95+IVA!BI78+IVA!BI43+IVA!BI26+IVA!BI9</f>
        <v>1723692.11666667</v>
      </c>
      <c r="BJ163" s="371" t="n">
        <f aca="false">IVA!BJ146+IVA!BJ129+IVA!BJ112+IVA!BJ95+IVA!BJ78+IVA!BJ43+IVA!BJ26+IVA!BJ9</f>
        <v>1912376.31666667</v>
      </c>
      <c r="BK163" s="371" t="n">
        <f aca="false">IVA!BK146+IVA!BK129+IVA!BK112+IVA!BK95+IVA!BK78+IVA!BK43+IVA!BK26+IVA!BK9</f>
        <v>1995148.84666667</v>
      </c>
      <c r="BL163" s="371" t="n">
        <f aca="false">IVA!BL146+IVA!BL129+IVA!BL112+IVA!BL95+IVA!BL78+IVA!BL43+IVA!BL26+IVA!BL9</f>
        <v>1831660.27666667</v>
      </c>
      <c r="BM163" s="371" t="n">
        <f aca="false">IVA!BM146+IVA!BM129+IVA!BM112+IVA!BM95+IVA!BM78+IVA!BM43+IVA!BM26+IVA!BM9</f>
        <v>1845048.08666667</v>
      </c>
      <c r="BN163" s="371" t="n">
        <f aca="false">IVA!BN146+IVA!BN129+IVA!BN112+IVA!BN95+IVA!BN78+IVA!BN43+IVA!BN26+IVA!BN9</f>
        <v>1636161.84666667</v>
      </c>
      <c r="BO163" s="371" t="n">
        <f aca="false">IVA!BO146+IVA!BO129+IVA!BO112+IVA!BO95+IVA!BO78+IVA!BO43+IVA!BO26+IVA!BO9</f>
        <v>1977331.63666667</v>
      </c>
      <c r="BP163" s="371" t="n">
        <f aca="false">IVA!BP146+IVA!BP129+IVA!BP112+IVA!BP95+IVA!BP78+IVA!BP43+IVA!BP26+IVA!BP9</f>
        <v>1930706.94666667</v>
      </c>
      <c r="BQ163" s="372"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v>
      </c>
      <c r="BV163" s="137" t="n">
        <f aca="false">IVA!BR163+IVA!BS163+IVA!BT163+IVA!BU163</f>
        <v>22041261.09</v>
      </c>
      <c r="BW163" s="264"/>
      <c r="BX163" s="263"/>
      <c r="BY163" s="264"/>
      <c r="BZ163" s="264"/>
      <c r="CA163" s="303"/>
      <c r="CI163" s="53" t="n">
        <v>2009</v>
      </c>
      <c r="CJ163" s="377" t="n">
        <f aca="false">IVA!CJ139+IVA!CJ115</f>
        <v>28818934.14788</v>
      </c>
      <c r="CK163" s="377" t="n">
        <f aca="false">IVA!CK139+IVA!CK115</f>
        <v>28542380.6210925</v>
      </c>
      <c r="CL163" s="377" t="n">
        <f aca="false">IVA!CL139+IVA!CL115</f>
        <v>31973733.4891095</v>
      </c>
      <c r="CM163" s="377" t="n">
        <f aca="false">IVA!CM139+IVA!CM115</f>
        <v>31929621.4784295</v>
      </c>
      <c r="CN163" s="378" t="n">
        <f aca="false">IVA!CN139+IVA!CN115</f>
        <v>108542927.837947</v>
      </c>
      <c r="CO163" s="376" t="n">
        <f aca="false">97630595000/1000</f>
        <v>97630595</v>
      </c>
      <c r="CP163" s="377" t="n">
        <v>86799722.063</v>
      </c>
      <c r="CQ163" s="377" t="n">
        <f aca="false">IVA!CN163-IVA!CP163</f>
        <v>21743205.7749465</v>
      </c>
    </row>
    <row r="164" customFormat="false" ht="12.75" hidden="false" customHeight="true" outlineLevel="0" collapsed="false">
      <c r="AA164" s="123" t="n">
        <v>1998</v>
      </c>
      <c r="AB164" s="123" t="s">
        <v>575</v>
      </c>
      <c r="AC164" s="124"/>
      <c r="AD164" s="125"/>
      <c r="AE164" s="434" t="n">
        <v>0</v>
      </c>
      <c r="AF164" s="434" t="n">
        <v>0</v>
      </c>
      <c r="AG164" s="434" t="n">
        <v>0</v>
      </c>
      <c r="AH164" s="434" t="n">
        <v>0</v>
      </c>
      <c r="AI164" s="434" t="n">
        <v>0</v>
      </c>
      <c r="AJ164" s="434" t="n">
        <v>0</v>
      </c>
      <c r="AK164" s="434" t="n">
        <v>0</v>
      </c>
      <c r="AL164" s="434" t="n">
        <v>0</v>
      </c>
      <c r="AM164" s="434" t="n">
        <v>0</v>
      </c>
      <c r="AN164" s="434" t="n">
        <v>15349</v>
      </c>
      <c r="AO164" s="434" t="n">
        <v>24646</v>
      </c>
      <c r="AP164" s="434"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69" t="s">
        <v>576</v>
      </c>
      <c r="BC164" s="370"/>
      <c r="BD164" s="370"/>
      <c r="BE164" s="370"/>
      <c r="BF164" s="371" t="n">
        <f aca="false">IVA!BF147+IVA!BF130+IVA!BF113+IVA!BF96+IVA!BF79+IVA!BF44+IVA!BF27+IVA!BF10</f>
        <v>2078488.23883124</v>
      </c>
      <c r="BG164" s="371" t="n">
        <f aca="false">IVA!BG147+IVA!BG130+IVA!BG113+IVA!BG96+IVA!BG79+IVA!BG44+IVA!BG27+IVA!BG10</f>
        <v>1819904.74590621</v>
      </c>
      <c r="BH164" s="371" t="n">
        <f aca="false">IVA!BH147+IVA!BH130+IVA!BH113+IVA!BH96+IVA!BH79+IVA!BH44+IVA!BH27+IVA!BH10</f>
        <v>1828072.82781709</v>
      </c>
      <c r="BI164" s="371" t="n">
        <f aca="false">IVA!BI147+IVA!BI130+IVA!BI113+IVA!BI96+IVA!BI79+IVA!BI44+IVA!BI27+IVA!BI10</f>
        <v>1947960.69710955</v>
      </c>
      <c r="BJ164" s="371" t="n">
        <f aca="false">IVA!BJ147+IVA!BJ130+IVA!BJ113+IVA!BJ96+IVA!BJ79+IVA!BJ44+IVA!BJ27+IVA!BJ10</f>
        <v>2448618.86950875</v>
      </c>
      <c r="BK164" s="371" t="n">
        <f aca="false">IVA!BK147+IVA!BK130+IVA!BK113+IVA!BK96+IVA!BK79+IVA!BK44+IVA!BK27+IVA!BK10</f>
        <v>1989191.69538729</v>
      </c>
      <c r="BL164" s="371" t="n">
        <f aca="false">IVA!BL147+IVA!BL130+IVA!BL113+IVA!BL96+IVA!BL79+IVA!BL44+IVA!BL27+IVA!BL10</f>
        <v>1904199.91509344</v>
      </c>
      <c r="BM164" s="371" t="n">
        <f aca="false">IVA!BM147+IVA!BM130+IVA!BM113+IVA!BM96+IVA!BM79+IVA!BM44+IVA!BM27+IVA!BM10</f>
        <v>2046901.7589939</v>
      </c>
      <c r="BN164" s="371" t="n">
        <f aca="false">IVA!BN147+IVA!BN130+IVA!BN113+IVA!BN96+IVA!BN79+IVA!BN44+IVA!BN27+IVA!BN10</f>
        <v>2153386.48065603</v>
      </c>
      <c r="BO164" s="371" t="n">
        <f aca="false">IVA!BO147+IVA!BO130+IVA!BO113+IVA!BO96+IVA!BO79+IVA!BO44+IVA!BO27+IVA!BO10</f>
        <v>1956793.38501866</v>
      </c>
      <c r="BP164" s="371" t="n">
        <f aca="false">IVA!BP147+IVA!BP130+IVA!BP113+IVA!BP96+IVA!BP79+IVA!BP44+IVA!BP27+IVA!BP10</f>
        <v>2088710.4875853</v>
      </c>
      <c r="BQ164" s="372"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7" t="n">
        <f aca="false">IVA!CJ140+IVA!CJ116</f>
        <v>36120896.608842</v>
      </c>
      <c r="CK164" s="377" t="n">
        <f aca="false">IVA!CK140+IVA!CK116</f>
        <v>38654024.4693215</v>
      </c>
      <c r="CL164" s="377" t="n">
        <f aca="false">IVA!CL140+IVA!CL116</f>
        <v>42845471.7993985</v>
      </c>
      <c r="CM164" s="377" t="n">
        <f aca="false">IVA!CM140+IVA!CM116</f>
        <v>43901945.939339</v>
      </c>
      <c r="CN164" s="378" t="n">
        <f aca="false">IVA!CN140+IVA!CN116</f>
        <v>145003711.130621</v>
      </c>
      <c r="CO164" s="376" t="n">
        <f aca="false">114995896000/1000</f>
        <v>114995896</v>
      </c>
      <c r="CP164" s="377" t="n">
        <v>101813838</v>
      </c>
      <c r="CQ164" s="377" t="n">
        <f aca="false">IVA!CN164-IVA!CP164</f>
        <v>43189873.130621</v>
      </c>
    </row>
    <row r="165" customFormat="false" ht="12.75" hidden="false" customHeight="true" outlineLevel="0" collapsed="false">
      <c r="AA165" s="123" t="n">
        <v>1999</v>
      </c>
      <c r="AB165" s="123" t="s">
        <v>575</v>
      </c>
      <c r="AC165" s="124"/>
      <c r="AD165" s="125"/>
      <c r="AE165" s="434" t="n">
        <v>22983</v>
      </c>
      <c r="AF165" s="434" t="n">
        <v>24849</v>
      </c>
      <c r="AG165" s="434" t="n">
        <v>24929</v>
      </c>
      <c r="AH165" s="434" t="n">
        <v>22542</v>
      </c>
      <c r="AI165" s="434" t="n">
        <v>22536</v>
      </c>
      <c r="AJ165" s="434" t="n">
        <v>21377</v>
      </c>
      <c r="AK165" s="434" t="n">
        <v>23345</v>
      </c>
      <c r="AL165" s="434" t="n">
        <v>22808</v>
      </c>
      <c r="AM165" s="434" t="n">
        <v>23244</v>
      </c>
      <c r="AN165" s="434" t="n">
        <v>21985</v>
      </c>
      <c r="AO165" s="434" t="n">
        <v>23370</v>
      </c>
      <c r="AP165" s="434"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69" t="s">
        <v>576</v>
      </c>
      <c r="BC165" s="370"/>
      <c r="BD165" s="370"/>
      <c r="BE165" s="370"/>
      <c r="BF165" s="371" t="n">
        <f aca="false">IVA!BF148+IVA!BF131+IVA!BF114+IVA!BF97+IVA!BF80+IVA!BF45+IVA!BF28+IVA!BF11</f>
        <v>2032067.04165974</v>
      </c>
      <c r="BG165" s="371" t="n">
        <f aca="false">IVA!BG148+IVA!BG131+IVA!BG114+IVA!BG97+IVA!BG80+IVA!BG45+IVA!BG28+IVA!BG11</f>
        <v>2026559.42750327</v>
      </c>
      <c r="BH165" s="371" t="n">
        <f aca="false">IVA!BH148+IVA!BH131+IVA!BH114+IVA!BH97+IVA!BH80+IVA!BH45+IVA!BH28+IVA!BH11</f>
        <v>2070187.36506569</v>
      </c>
      <c r="BI165" s="371" t="n">
        <f aca="false">IVA!BI148+IVA!BI131+IVA!BI114+IVA!BI97+IVA!BI80+IVA!BI45+IVA!BI28+IVA!BI11</f>
        <v>1963396.2803293</v>
      </c>
      <c r="BJ165" s="371" t="n">
        <f aca="false">IVA!BJ148+IVA!BJ131+IVA!BJ114+IVA!BJ97+IVA!BJ80+IVA!BJ45+IVA!BJ28+IVA!BJ11</f>
        <v>2487428.20418733</v>
      </c>
      <c r="BK165" s="371" t="n">
        <f aca="false">IVA!BK148+IVA!BK131+IVA!BK114+IVA!BK97+IVA!BK80+IVA!BK45+IVA!BK28+IVA!BK11</f>
        <v>2388548.16038712</v>
      </c>
      <c r="BL165" s="371" t="n">
        <f aca="false">IVA!BL148+IVA!BL131+IVA!BL114+IVA!BL97+IVA!BL80+IVA!BL45+IVA!BL28+IVA!BL11</f>
        <v>2098245.62200787</v>
      </c>
      <c r="BM165" s="371" t="n">
        <f aca="false">IVA!BM148+IVA!BM131+IVA!BM114+IVA!BM97+IVA!BM80+IVA!BM45+IVA!BM28+IVA!BM11</f>
        <v>2131347.01797056</v>
      </c>
      <c r="BN165" s="371" t="n">
        <f aca="false">IVA!BN148+IVA!BN131+IVA!BN114+IVA!BN97+IVA!BN80+IVA!BN45+IVA!BN28+IVA!BN11</f>
        <v>2099591.0212591</v>
      </c>
      <c r="BO165" s="371" t="n">
        <f aca="false">IVA!BO148+IVA!BO131+IVA!BO114+IVA!BO97+IVA!BO80+IVA!BO45+IVA!BO28+IVA!BO11</f>
        <v>1953804.51419404</v>
      </c>
      <c r="BP165" s="371" t="n">
        <f aca="false">IVA!BP148+IVA!BP131+IVA!BP114+IVA!BP97+IVA!BP80+IVA!BP45+IVA!BP28+IVA!BP11</f>
        <v>2085171.87272092</v>
      </c>
      <c r="BQ165" s="372"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7" t="n">
        <f aca="false">IVA!CJ141+IVA!CJ117</f>
        <v>48904053.1875385</v>
      </c>
      <c r="CK165" s="377" t="n">
        <f aca="false">IVA!CK141+IVA!CK117</f>
        <v>52228818.5102085</v>
      </c>
      <c r="CL165" s="377" t="n">
        <f aca="false">IVA!CL141+IVA!CL117</f>
        <v>57697834.32708</v>
      </c>
      <c r="CM165" s="377" t="n">
        <f aca="false">IVA!CM141+IVA!CM117</f>
        <v>57681733.2475295</v>
      </c>
      <c r="CN165" s="378" t="n">
        <f aca="false">IVA!CN141+IVA!CN117</f>
        <v>194154706.266871</v>
      </c>
      <c r="CO165" s="376" t="n">
        <f aca="false">160948903483/1000</f>
        <v>160948903.483</v>
      </c>
      <c r="CP165" s="377" t="n">
        <v>190817640</v>
      </c>
      <c r="CQ165" s="377" t="n">
        <f aca="false">IVA!CN165-IVA!CP165</f>
        <v>3337066.26687148</v>
      </c>
    </row>
    <row r="166" customFormat="false" ht="12.75" hidden="false" customHeight="true" outlineLevel="0" collapsed="false">
      <c r="AA166" s="123" t="n">
        <v>2000</v>
      </c>
      <c r="AB166" s="123" t="s">
        <v>575</v>
      </c>
      <c r="AC166" s="124"/>
      <c r="AD166" s="125"/>
      <c r="AE166" s="434" t="n">
        <v>23077.31492</v>
      </c>
      <c r="AF166" s="434" t="n">
        <v>22004.09653</v>
      </c>
      <c r="AG166" s="434" t="n">
        <v>28295.59597</v>
      </c>
      <c r="AH166" s="434" t="n">
        <v>25012.08298</v>
      </c>
      <c r="AI166" s="434" t="n">
        <v>28934.5642</v>
      </c>
      <c r="AJ166" s="434" t="n">
        <v>28291.59928</v>
      </c>
      <c r="AK166" s="434" t="n">
        <v>27680.8406</v>
      </c>
      <c r="AL166" s="434" t="n">
        <v>28615.4063</v>
      </c>
      <c r="AM166" s="434" t="n">
        <v>27199.8885</v>
      </c>
      <c r="AN166" s="434" t="n">
        <v>27592.4577</v>
      </c>
      <c r="AO166" s="434" t="n">
        <v>29494.9881</v>
      </c>
      <c r="AP166" s="434"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69" t="s">
        <v>576</v>
      </c>
      <c r="BC166" s="370"/>
      <c r="BD166" s="370"/>
      <c r="BE166" s="370"/>
      <c r="BF166" s="371" t="n">
        <f aca="false">IVA!BF149+IVA!BF132+IVA!BF115+IVA!BF98+IVA!BF81+IVA!BF46+IVA!BF29+IVA!BF12</f>
        <v>2041300.74088482</v>
      </c>
      <c r="BG166" s="371" t="n">
        <f aca="false">IVA!BG149+IVA!BG132+IVA!BG115+IVA!BG98+IVA!BG81+IVA!BG46+IVA!BG29+IVA!BG12</f>
        <v>1912416.28968538</v>
      </c>
      <c r="BH166" s="371" t="n">
        <f aca="false">IVA!BH149+IVA!BH132+IVA!BH115+IVA!BH98+IVA!BH81+IVA!BH46+IVA!BH29+IVA!BH12</f>
        <v>2069521.05635706</v>
      </c>
      <c r="BI166" s="371" t="n">
        <f aca="false">IVA!BI149+IVA!BI132+IVA!BI115+IVA!BI98+IVA!BI81+IVA!BI46+IVA!BI29+IVA!BI12</f>
        <v>1938783.79001849</v>
      </c>
      <c r="BJ166" s="371" t="n">
        <f aca="false">IVA!BJ149+IVA!BJ132+IVA!BJ115+IVA!BJ98+IVA!BJ81+IVA!BJ46+IVA!BJ29+IVA!BJ12</f>
        <v>2144413.79306427</v>
      </c>
      <c r="BK166" s="371" t="n">
        <f aca="false">IVA!BK149+IVA!BK132+IVA!BK115+IVA!BK98+IVA!BK81+IVA!BK46+IVA!BK29+IVA!BK12</f>
        <v>2044238.53603952</v>
      </c>
      <c r="BL166" s="371" t="n">
        <f aca="false">IVA!BL149+IVA!BL132+IVA!BL115+IVA!BL98+IVA!BL81+IVA!BL46+IVA!BL29+IVA!BL12</f>
        <v>1880669.21383107</v>
      </c>
      <c r="BM166" s="371" t="n">
        <f aca="false">IVA!BM149+IVA!BM132+IVA!BM115+IVA!BM98+IVA!BM81+IVA!BM46+IVA!BM29+IVA!BM12</f>
        <v>2048020.7083026</v>
      </c>
      <c r="BN166" s="371" t="n">
        <f aca="false">IVA!BN149+IVA!BN132+IVA!BN115+IVA!BN98+IVA!BN81+IVA!BN46+IVA!BN29+IVA!BN12</f>
        <v>2028879.56283708</v>
      </c>
      <c r="BO166" s="371" t="n">
        <f aca="false">IVA!BO149+IVA!BO132+IVA!BO115+IVA!BO98+IVA!BO81+IVA!BO46+IVA!BO29+IVA!BO12</f>
        <v>1979506.14569458</v>
      </c>
      <c r="BP166" s="371" t="n">
        <f aca="false">IVA!BP149+IVA!BP132+IVA!BP115+IVA!BP98+IVA!BP81+IVA!BP46+IVA!BP29+IVA!BP12</f>
        <v>2089213.00972976</v>
      </c>
      <c r="BQ166" s="372"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6" t="n">
        <f aca="false">IVA!CJ142+IVA!CJ118</f>
        <v>63679753.9289152</v>
      </c>
      <c r="CK166" s="396" t="n">
        <f aca="false">IVA!CK142+IVA!CK118</f>
        <v>65432242.9938196</v>
      </c>
      <c r="CL166" s="396" t="n">
        <f aca="false">IVA!CL142+IVA!CL118</f>
        <v>73811909.4879669</v>
      </c>
      <c r="CM166" s="396" t="n">
        <f aca="false">IVA!CM142+IVA!CM118</f>
        <v>75345835.7796662</v>
      </c>
      <c r="CN166" s="397" t="n">
        <f aca="false">IVA!CN142+IVA!CN118</f>
        <v>251180945.17259</v>
      </c>
      <c r="CO166" s="399" t="n">
        <f aca="false">218058376000/1000</f>
        <v>218058376</v>
      </c>
      <c r="CP166" s="396" t="n">
        <v>249602518.071</v>
      </c>
      <c r="CQ166" s="396" t="n">
        <f aca="false">IVA!CN166-IVA!CP166</f>
        <v>1578427.10159007</v>
      </c>
    </row>
    <row r="167" customFormat="false" ht="12.75" hidden="false" customHeight="true" outlineLevel="0" collapsed="false">
      <c r="AA167" s="123" t="n">
        <v>2001</v>
      </c>
      <c r="AB167" s="123" t="s">
        <v>575</v>
      </c>
      <c r="AC167" s="124"/>
      <c r="AD167" s="125"/>
      <c r="AE167" s="434" t="n">
        <v>30561.94416</v>
      </c>
      <c r="AF167" s="434" t="n">
        <v>25605.32993</v>
      </c>
      <c r="AG167" s="434" t="n">
        <v>28897.48781</v>
      </c>
      <c r="AH167" s="434" t="n">
        <v>24571.33096</v>
      </c>
      <c r="AI167" s="434" t="n">
        <v>29063.85766</v>
      </c>
      <c r="AJ167" s="434" t="n">
        <v>26832.42746</v>
      </c>
      <c r="AK167" s="434" t="n">
        <v>26181.7887</v>
      </c>
      <c r="AL167" s="434" t="n">
        <v>25700.01504</v>
      </c>
      <c r="AM167" s="434" t="n">
        <v>23506.6303</v>
      </c>
      <c r="AN167" s="434" t="n">
        <v>24317.6293</v>
      </c>
      <c r="AO167" s="434" t="n">
        <v>22879.36648</v>
      </c>
      <c r="AP167" s="434"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69" t="s">
        <v>576</v>
      </c>
      <c r="BC167" s="370"/>
      <c r="BD167" s="370"/>
      <c r="BE167" s="370"/>
      <c r="BF167" s="371" t="n">
        <f aca="false">IVA!BF150+IVA!BF133+IVA!BF116+IVA!BF99+IVA!BF82+IVA!BF47+IVA!BF30+IVA!BF13</f>
        <v>2150520.59907562</v>
      </c>
      <c r="BG167" s="371" t="n">
        <f aca="false">IVA!BG150+IVA!BG133+IVA!BG116+IVA!BG99+IVA!BG82+IVA!BG47+IVA!BG30+IVA!BG13</f>
        <v>1799177.48235852</v>
      </c>
      <c r="BH167" s="371" t="n">
        <f aca="false">IVA!BH150+IVA!BH133+IVA!BH116+IVA!BH99+IVA!BH82+IVA!BH47+IVA!BH30+IVA!BH13</f>
        <v>2030985.62544081</v>
      </c>
      <c r="BI167" s="371" t="n">
        <f aca="false">IVA!BI150+IVA!BI133+IVA!BI116+IVA!BI99+IVA!BI82+IVA!BI47+IVA!BI30+IVA!BI13</f>
        <v>2043850.89263006</v>
      </c>
      <c r="BJ167" s="371" t="n">
        <f aca="false">IVA!BJ150+IVA!BJ133+IVA!BJ116+IVA!BJ99+IVA!BJ82+IVA!BJ47+IVA!BJ30+IVA!BJ13</f>
        <v>2283238.11466904</v>
      </c>
      <c r="BK167" s="371" t="n">
        <f aca="false">IVA!BK150+IVA!BK133+IVA!BK116+IVA!BK99+IVA!BK82+IVA!BK47+IVA!BK30+IVA!BK13</f>
        <v>2536763.82618685</v>
      </c>
      <c r="BL167" s="371" t="n">
        <f aca="false">IVA!BL150+IVA!BL133+IVA!BL116+IVA!BL99+IVA!BL82+IVA!BL47+IVA!BL30+IVA!BL13</f>
        <v>2114111.13843637</v>
      </c>
      <c r="BM167" s="371" t="n">
        <f aca="false">IVA!BM150+IVA!BM133+IVA!BM116+IVA!BM99+IVA!BM82+IVA!BM47+IVA!BM30+IVA!BM13</f>
        <v>2193647.33003388</v>
      </c>
      <c r="BN167" s="371" t="n">
        <f aca="false">IVA!BN150+IVA!BN133+IVA!BN116+IVA!BN99+IVA!BN82+IVA!BN47+IVA!BN30+IVA!BN13</f>
        <v>2101985.25936167</v>
      </c>
      <c r="BO167" s="371" t="n">
        <f aca="false">IVA!BO150+IVA!BO133+IVA!BO116+IVA!BO99+IVA!BO82+IVA!BO47+IVA!BO30+IVA!BO13</f>
        <v>2073297.69459099</v>
      </c>
      <c r="BP167" s="371" t="n">
        <f aca="false">IVA!BP150+IVA!BP133+IVA!BP116+IVA!BP99+IVA!BP82+IVA!BP47+IVA!BP30+IVA!BP13</f>
        <v>2056523.66318332</v>
      </c>
      <c r="BQ167" s="372"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399" t="n">
        <f aca="false">287022501303/1000</f>
        <v>287022501.303</v>
      </c>
      <c r="CP167" s="28"/>
    </row>
    <row r="168" customFormat="false" ht="12.75" hidden="false" customHeight="true" outlineLevel="0" collapsed="false">
      <c r="AA168" s="123" t="n">
        <v>2002</v>
      </c>
      <c r="AB168" s="123" t="s">
        <v>575</v>
      </c>
      <c r="AC168" s="124"/>
      <c r="AD168" s="125"/>
      <c r="AE168" s="434" t="n">
        <v>18300.8126</v>
      </c>
      <c r="AF168" s="434" t="n">
        <v>16718.32806</v>
      </c>
      <c r="AG168" s="434" t="n">
        <v>17077.13961</v>
      </c>
      <c r="AH168" s="434" t="n">
        <v>15635.67386</v>
      </c>
      <c r="AI168" s="434" t="n">
        <v>23381.06751</v>
      </c>
      <c r="AJ168" s="434" t="n">
        <v>18417.64028</v>
      </c>
      <c r="AK168" s="434" t="n">
        <v>21558.05376</v>
      </c>
      <c r="AL168" s="434" t="n">
        <v>19823.59799</v>
      </c>
      <c r="AM168" s="434" t="n">
        <v>19376.90781</v>
      </c>
      <c r="AN168" s="434" t="n">
        <v>20510.92993</v>
      </c>
      <c r="AO168" s="434" t="n">
        <v>19869.42714</v>
      </c>
      <c r="AP168" s="434"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69" t="s">
        <v>576</v>
      </c>
      <c r="BC168" s="370"/>
      <c r="BD168" s="370"/>
      <c r="BE168" s="370"/>
      <c r="BF168" s="371" t="n">
        <f aca="false">IVA!BF151+IVA!BF134+IVA!BF117+IVA!BF100+IVA!BF83+IVA!BF48+IVA!BF31+IVA!BF14</f>
        <v>2160629.71742103</v>
      </c>
      <c r="BG168" s="371" t="n">
        <f aca="false">IVA!BG151+IVA!BG134+IVA!BG117+IVA!BG100+IVA!BG83+IVA!BG48+IVA!BG31+IVA!BG14</f>
        <v>1901574.62522405</v>
      </c>
      <c r="BH168" s="371" t="n">
        <f aca="false">IVA!BH151+IVA!BH134+IVA!BH117+IVA!BH100+IVA!BH83+IVA!BH48+IVA!BH31+IVA!BH14</f>
        <v>1887176.13697646</v>
      </c>
      <c r="BI168" s="371" t="n">
        <f aca="false">IVA!BI151+IVA!BI134+IVA!BI117+IVA!BI100+IVA!BI83+IVA!BI48+IVA!BI31+IVA!BI14</f>
        <v>1855963.51962236</v>
      </c>
      <c r="BJ168" s="371" t="n">
        <f aca="false">IVA!BJ151+IVA!BJ134+IVA!BJ117+IVA!BJ100+IVA!BJ83+IVA!BJ48+IVA!BJ31+IVA!BJ14</f>
        <v>2485027.78309399</v>
      </c>
      <c r="BK168" s="371" t="n">
        <f aca="false">IVA!BK151+IVA!BK134+IVA!BK117+IVA!BK100+IVA!BK83+IVA!BK48+IVA!BK31+IVA!BK14</f>
        <v>2459236.85540243</v>
      </c>
      <c r="BL168" s="371" t="n">
        <f aca="false">IVA!BL151+IVA!BL134+IVA!BL117+IVA!BL100+IVA!BL83+IVA!BL48+IVA!BL31+IVA!BL14</f>
        <v>1799522.86098091</v>
      </c>
      <c r="BM168" s="371" t="n">
        <f aca="false">IVA!BM151+IVA!BM134+IVA!BM117+IVA!BM100+IVA!BM83+IVA!BM48+IVA!BM31+IVA!BM14</f>
        <v>1973058.92113219</v>
      </c>
      <c r="BN168" s="371" t="n">
        <f aca="false">IVA!BN151+IVA!BN134+IVA!BN117+IVA!BN100+IVA!BN83+IVA!BN48+IVA!BN31+IVA!BN14</f>
        <v>1698273.66849825</v>
      </c>
      <c r="BO168" s="371" t="n">
        <f aca="false">IVA!BO151+IVA!BO134+IVA!BO117+IVA!BO100+IVA!BO83+IVA!BO48+IVA!BO31+IVA!BO14</f>
        <v>1662021.65414193</v>
      </c>
      <c r="BP168" s="371" t="n">
        <f aca="false">IVA!BP151+IVA!BP134+IVA!BP117+IVA!BP100+IVA!BP83+IVA!BP48+IVA!BP31+IVA!BP14</f>
        <v>1684297.96387064</v>
      </c>
      <c r="BQ168" s="372"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4" t="n">
        <v>22805.92199</v>
      </c>
      <c r="AF169" s="434" t="n">
        <v>20776.22496</v>
      </c>
      <c r="AG169" s="434" t="n">
        <v>21614.69926</v>
      </c>
      <c r="AH169" s="434" t="n">
        <v>23841.8064</v>
      </c>
      <c r="AI169" s="434" t="n">
        <v>23694.17091</v>
      </c>
      <c r="AJ169" s="434" t="n">
        <v>24309.51928</v>
      </c>
      <c r="AK169" s="434" t="n">
        <v>26143.01568</v>
      </c>
      <c r="AL169" s="434" t="n">
        <v>26051.87777</v>
      </c>
      <c r="AM169" s="434" t="n">
        <v>26782.81029</v>
      </c>
      <c r="AN169" s="434" t="n">
        <v>27752.50103</v>
      </c>
      <c r="AO169" s="434" t="n">
        <v>26400.52989</v>
      </c>
      <c r="AP169" s="434"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69" t="s">
        <v>576</v>
      </c>
      <c r="BC169" s="370"/>
      <c r="BD169" s="370"/>
      <c r="BE169" s="370"/>
      <c r="BF169" s="371" t="n">
        <f aca="false">IVA!BF152+IVA!BF135+IVA!BF118+IVA!BF101+IVA!BF84+IVA!BF49+IVA!BF32+IVA!BF15</f>
        <v>1572585.84980774</v>
      </c>
      <c r="BG169" s="371" t="n">
        <f aca="false">IVA!BG152+IVA!BG135+IVA!BG118+IVA!BG101+IVA!BG84+IVA!BG49+IVA!BG32+IVA!BG15</f>
        <v>1433479.52251189</v>
      </c>
      <c r="BH169" s="371" t="n">
        <f aca="false">IVA!BH152+IVA!BH135+IVA!BH118+IVA!BH101+IVA!BH84+IVA!BH49+IVA!BH32+IVA!BH15</f>
        <v>1460570.72011503</v>
      </c>
      <c r="BI169" s="371" t="n">
        <f aca="false">IVA!BI152+IVA!BI135+IVA!BI118+IVA!BI101+IVA!BI84+IVA!BI49+IVA!BI32+IVA!BI15</f>
        <v>1284717.24578429</v>
      </c>
      <c r="BJ169" s="371" t="n">
        <f aca="false">IVA!BJ152+IVA!BJ135+IVA!BJ118+IVA!BJ101+IVA!BJ84+IVA!BJ49+IVA!BJ32+IVA!BJ15</f>
        <v>2261175.92787401</v>
      </c>
      <c r="BK169" s="371" t="n">
        <f aca="false">IVA!BK152+IVA!BK135+IVA!BK118+IVA!BK101+IVA!BK84+IVA!BK49+IVA!BK32+IVA!BK15</f>
        <v>2055282.19467035</v>
      </c>
      <c r="BL169" s="371" t="n">
        <f aca="false">IVA!BL152+IVA!BL135+IVA!BL118+IVA!BL101+IVA!BL84+IVA!BL49+IVA!BL32+IVA!BL15</f>
        <v>2056350.31326216</v>
      </c>
      <c r="BM169" s="371" t="n">
        <f aca="false">IVA!BM152+IVA!BM135+IVA!BM118+IVA!BM101+IVA!BM84+IVA!BM49+IVA!BM32+IVA!BM15</f>
        <v>2052170.82460293</v>
      </c>
      <c r="BN169" s="371" t="n">
        <f aca="false">IVA!BN152+IVA!BN135+IVA!BN118+IVA!BN101+IVA!BN84+IVA!BN49+IVA!BN32+IVA!BN15</f>
        <v>1959688.65034995</v>
      </c>
      <c r="BO169" s="371" t="n">
        <f aca="false">IVA!BO152+IVA!BO135+IVA!BO118+IVA!BO101+IVA!BO84+IVA!BO49+IVA!BO32+IVA!BO15</f>
        <v>2117418.19500366</v>
      </c>
      <c r="BP169" s="371" t="n">
        <f aca="false">IVA!BP152+IVA!BP135+IVA!BP118+IVA!BP101+IVA!BP84+IVA!BP49+IVA!BP32+IVA!BP15</f>
        <v>2371598.25714796</v>
      </c>
      <c r="BQ169" s="372"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4" t="n">
        <v>31126.51097</v>
      </c>
      <c r="AF170" s="434" t="n">
        <v>27265.86991</v>
      </c>
      <c r="AG170" s="434" t="n">
        <v>31162.1054</v>
      </c>
      <c r="AH170" s="434" t="n">
        <v>29575.20761</v>
      </c>
      <c r="AI170" s="434" t="n">
        <v>29739.13007</v>
      </c>
      <c r="AJ170" s="434" t="n">
        <v>12682.60671</v>
      </c>
      <c r="AK170" s="434" t="n">
        <v>56883.57163</v>
      </c>
      <c r="AL170" s="434" t="n">
        <v>41088.98008</v>
      </c>
      <c r="AM170" s="434" t="n">
        <v>60674.34972</v>
      </c>
      <c r="AN170" s="434" t="n">
        <v>47500.16945</v>
      </c>
      <c r="AO170" s="434" t="n">
        <v>44329.85805</v>
      </c>
      <c r="AP170" s="434"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69" t="s">
        <v>576</v>
      </c>
      <c r="BC170" s="370"/>
      <c r="BD170" s="370"/>
      <c r="BE170" s="370"/>
      <c r="BF170" s="371" t="n">
        <f aca="false">IVA!BF153+IVA!BF136+IVA!BF119+IVA!BF102+IVA!BF85+IVA!BF50+IVA!BF33+IVA!BF16</f>
        <v>2569086.84893246</v>
      </c>
      <c r="BG170" s="371" t="n">
        <f aca="false">IVA!BG153+IVA!BG136+IVA!BG119+IVA!BG102+IVA!BG85+IVA!BG50+IVA!BG33+IVA!BG16</f>
        <v>2016932.39613305</v>
      </c>
      <c r="BH170" s="371" t="n">
        <f aca="false">IVA!BH153+IVA!BH136+IVA!BH119+IVA!BH102+IVA!BH85+IVA!BH50+IVA!BH33+IVA!BH16</f>
        <v>2156181.25704048</v>
      </c>
      <c r="BI170" s="371" t="n">
        <f aca="false">IVA!BI153+IVA!BI136+IVA!BI119+IVA!BI102+IVA!BI85+IVA!BI50+IVA!BI33+IVA!BI16</f>
        <v>2444548.17096975</v>
      </c>
      <c r="BJ170" s="371" t="n">
        <f aca="false">IVA!BJ153+IVA!BJ136+IVA!BJ119+IVA!BJ102+IVA!BJ85+IVA!BJ50+IVA!BJ33+IVA!BJ16</f>
        <v>3198665.22411262</v>
      </c>
      <c r="BK170" s="371" t="n">
        <f aca="false">IVA!BK153+IVA!BK136+IVA!BK119+IVA!BK102+IVA!BK85+IVA!BK50+IVA!BK33+IVA!BK16</f>
        <v>2906502.93003632</v>
      </c>
      <c r="BL170" s="371" t="n">
        <f aca="false">IVA!BL153+IVA!BL136+IVA!BL119+IVA!BL102+IVA!BL85+IVA!BL50+IVA!BL33+IVA!BL16</f>
        <v>2804189.72557647</v>
      </c>
      <c r="BM170" s="371" t="n">
        <f aca="false">IVA!BM153+IVA!BM136+IVA!BM119+IVA!BM102+IVA!BM85+IVA!BM50+IVA!BM33+IVA!BM16</f>
        <v>2911929.70747825</v>
      </c>
      <c r="BN170" s="371" t="n">
        <f aca="false">IVA!BN153+IVA!BN136+IVA!BN119+IVA!BN102+IVA!BN85+IVA!BN50+IVA!BN33+IVA!BN16</f>
        <v>2940368.85084958</v>
      </c>
      <c r="BO170" s="371" t="n">
        <f aca="false">IVA!BO153+IVA!BO136+IVA!BO119+IVA!BO102+IVA!BO85+IVA!BO50+IVA!BO33+IVA!BO16</f>
        <v>2879329.38371819</v>
      </c>
      <c r="BP170" s="371" t="n">
        <f aca="false">IVA!BP153+IVA!BP136+IVA!BP119+IVA!BP102+IVA!BP85+IVA!BP50+IVA!BP33+IVA!BP16</f>
        <v>3147457.36961189</v>
      </c>
      <c r="BQ170" s="372"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4" t="n">
        <v>45601.78642</v>
      </c>
      <c r="AF171" s="434" t="n">
        <v>47707.92971</v>
      </c>
      <c r="AG171" s="434" t="n">
        <v>47679.19811</v>
      </c>
      <c r="AH171" s="434" t="n">
        <v>47259.00879</v>
      </c>
      <c r="AI171" s="434" t="n">
        <v>52142.99351</v>
      </c>
      <c r="AJ171" s="434" t="n">
        <v>49143.22132</v>
      </c>
      <c r="AK171" s="434" t="n">
        <v>48630.01673</v>
      </c>
      <c r="AL171" s="434" t="n">
        <v>50428.13831</v>
      </c>
      <c r="AM171" s="434" t="n">
        <v>50710.53523</v>
      </c>
      <c r="AN171" s="434" t="n">
        <v>49445.42583</v>
      </c>
      <c r="AO171" s="434" t="n">
        <v>51272.49695</v>
      </c>
      <c r="AP171" s="434"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69" t="s">
        <v>576</v>
      </c>
      <c r="BC171" s="370"/>
      <c r="BD171" s="370"/>
      <c r="BE171" s="370"/>
      <c r="BF171" s="371" t="n">
        <f aca="false">IVA!BF154+IVA!BF137+IVA!BF120+IVA!BF103+IVA!BF86+IVA!BF51+IVA!BF34+IVA!BF17</f>
        <v>3559521.19951312</v>
      </c>
      <c r="BG171" s="371" t="n">
        <f aca="false">IVA!BG154+IVA!BG137+IVA!BG120+IVA!BG103+IVA!BG86+IVA!BG51+IVA!BG34+IVA!BG17</f>
        <v>3075256.68849282</v>
      </c>
      <c r="BH171" s="371" t="n">
        <f aca="false">IVA!BH154+IVA!BH137+IVA!BH120+IVA!BH103+IVA!BH86+IVA!BH51+IVA!BH34+IVA!BH17</f>
        <v>3242999.98116583</v>
      </c>
      <c r="BI171" s="371" t="n">
        <f aca="false">IVA!BI154+IVA!BI137+IVA!BI120+IVA!BI103+IVA!BI86+IVA!BI51+IVA!BI34+IVA!BI17</f>
        <v>3262421.28332618</v>
      </c>
      <c r="BJ171" s="371" t="n">
        <f aca="false">IVA!BJ154+IVA!BJ137+IVA!BJ120+IVA!BJ103+IVA!BJ86+IVA!BJ51+IVA!BJ34+IVA!BJ17</f>
        <v>6209423.28862094</v>
      </c>
      <c r="BK171" s="371" t="n">
        <f aca="false">IVA!BK154+IVA!BK137+IVA!BK120+IVA!BK103+IVA!BK86+IVA!BK51+IVA!BK34+IVA!BK17</f>
        <v>4950979.01305491</v>
      </c>
      <c r="BL171" s="371" t="n">
        <f aca="false">IVA!BL154+IVA!BL137+IVA!BL120+IVA!BL103+IVA!BL86+IVA!BL51+IVA!BL34+IVA!BL17</f>
        <v>4062084.10008102</v>
      </c>
      <c r="BM171" s="371" t="n">
        <f aca="false">IVA!BM154+IVA!BM137+IVA!BM120+IVA!BM103+IVA!BM86+IVA!BM51+IVA!BM34+IVA!BM17</f>
        <v>4183601.38026556</v>
      </c>
      <c r="BN171" s="371" t="n">
        <f aca="false">IVA!BN154+IVA!BN137+IVA!BN120+IVA!BN103+IVA!BN86+IVA!BN51+IVA!BN34+IVA!BN17</f>
        <v>3945516.22730648</v>
      </c>
      <c r="BO171" s="371" t="n">
        <f aca="false">IVA!BO154+IVA!BO137+IVA!BO120+IVA!BO103+IVA!BO86+IVA!BO51+IVA!BO34+IVA!BO17</f>
        <v>3901192.71138157</v>
      </c>
      <c r="BP171" s="371" t="n">
        <f aca="false">IVA!BP154+IVA!BP137+IVA!BP120+IVA!BP103+IVA!BP86+IVA!BP51+IVA!BP34+IVA!BP17</f>
        <v>4063378.33190612</v>
      </c>
      <c r="BQ171" s="372"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4" t="n">
        <v>51206.93983</v>
      </c>
      <c r="AF172" s="434" t="n">
        <v>49437.95877</v>
      </c>
      <c r="AG172" s="434" t="n">
        <v>53532.34771</v>
      </c>
      <c r="AH172" s="434" t="n">
        <v>51280.20601</v>
      </c>
      <c r="AI172" s="434" t="n">
        <v>55127.0063</v>
      </c>
      <c r="AJ172" s="434" t="n">
        <v>54846.24322</v>
      </c>
      <c r="AK172" s="434" t="n">
        <v>55669.40509</v>
      </c>
      <c r="AL172" s="434" t="n">
        <v>56713.64324</v>
      </c>
      <c r="AM172" s="434" t="n">
        <v>57244.42531</v>
      </c>
      <c r="AN172" s="434" t="n">
        <v>59594.55639</v>
      </c>
      <c r="AO172" s="434" t="n">
        <v>58341.96366</v>
      </c>
      <c r="AP172" s="434"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69" t="s">
        <v>576</v>
      </c>
      <c r="BC172" s="370"/>
      <c r="BD172" s="370"/>
      <c r="BE172" s="370"/>
      <c r="BF172" s="371" t="n">
        <f aca="false">IVA!BF155+IVA!BF138+IVA!BF121+IVA!BF104+IVA!BF87+IVA!BF52+IVA!BF35+IVA!BF18</f>
        <v>4348102.75503125</v>
      </c>
      <c r="BG172" s="371" t="n">
        <f aca="false">IVA!BG155+IVA!BG138+IVA!BG121+IVA!BG104+IVA!BG87+IVA!BG52+IVA!BG35+IVA!BG18</f>
        <v>3994693.07856046</v>
      </c>
      <c r="BH172" s="371" t="n">
        <f aca="false">IVA!BH155+IVA!BH138+IVA!BH121+IVA!BH104+IVA!BH87+IVA!BH52+IVA!BH35+IVA!BH18</f>
        <v>4111259.40470104</v>
      </c>
      <c r="BI172" s="371" t="n">
        <f aca="false">IVA!BI155+IVA!BI138+IVA!BI121+IVA!BI104+IVA!BI87+IVA!BI52+IVA!BI35+IVA!BI18</f>
        <v>4544836.15666738</v>
      </c>
      <c r="BJ172" s="371" t="n">
        <f aca="false">IVA!BJ155+IVA!BJ138+IVA!BJ121+IVA!BJ104+IVA!BJ87+IVA!BJ52+IVA!BJ35+IVA!BJ18</f>
        <v>5788023.91107133</v>
      </c>
      <c r="BK172" s="371" t="n">
        <f aca="false">IVA!BK155+IVA!BK138+IVA!BK121+IVA!BK104+IVA!BK87+IVA!BK52+IVA!BK35+IVA!BK18</f>
        <v>5583618.22093487</v>
      </c>
      <c r="BL172" s="371" t="n">
        <f aca="false">IVA!BL155+IVA!BL138+IVA!BL121+IVA!BL104+IVA!BL87+IVA!BL52+IVA!BL35+IVA!BL18</f>
        <v>4605975.63740867</v>
      </c>
      <c r="BM172" s="371" t="n">
        <f aca="false">IVA!BM155+IVA!BM138+IVA!BM121+IVA!BM104+IVA!BM87+IVA!BM52+IVA!BM35+IVA!BM18</f>
        <v>4950661.34360247</v>
      </c>
      <c r="BN172" s="371" t="n">
        <f aca="false">IVA!BN155+IVA!BN138+IVA!BN121+IVA!BN104+IVA!BN87+IVA!BN52+IVA!BN35+IVA!BN18</f>
        <v>4993003.86541992</v>
      </c>
      <c r="BO172" s="371" t="n">
        <f aca="false">IVA!BO155+IVA!BO138+IVA!BO121+IVA!BO104+IVA!BO87+IVA!BO52+IVA!BO35+IVA!BO18</f>
        <v>4755770.58220579</v>
      </c>
      <c r="BP172" s="371" t="n">
        <f aca="false">IVA!BP155+IVA!BP138+IVA!BP121+IVA!BP104+IVA!BP87+IVA!BP52+IVA!BP35+IVA!BP18</f>
        <v>4999185.28176791</v>
      </c>
      <c r="BQ172" s="372"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4" t="n">
        <v>62258.21323</v>
      </c>
      <c r="AF173" s="434" t="n">
        <v>54992.459</v>
      </c>
      <c r="AG173" s="434" t="n">
        <v>62458.53992</v>
      </c>
      <c r="AH173" s="434" t="n">
        <v>58861.0202</v>
      </c>
      <c r="AI173" s="434" t="n">
        <v>62500.82461</v>
      </c>
      <c r="AJ173" s="434" t="n">
        <v>60565.25942</v>
      </c>
      <c r="AK173" s="434" t="n">
        <v>62927.99448</v>
      </c>
      <c r="AL173" s="434" t="n">
        <v>64306.47571</v>
      </c>
      <c r="AM173" s="434" t="n">
        <v>63417.32881</v>
      </c>
      <c r="AN173" s="434" t="n">
        <v>66022.39405</v>
      </c>
      <c r="AO173" s="434" t="n">
        <v>66106.95528</v>
      </c>
      <c r="AP173" s="434"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69" t="s">
        <v>576</v>
      </c>
      <c r="BC173" s="370"/>
      <c r="BD173" s="370"/>
      <c r="BE173" s="370"/>
      <c r="BF173" s="371" t="n">
        <f aca="false">IVA!BF156+IVA!BF139+IVA!BF122+IVA!BF105+IVA!BF88+IVA!BF53+IVA!BF36+IVA!BF19</f>
        <v>5470424.3351995</v>
      </c>
      <c r="BG173" s="371" t="n">
        <f aca="false">IVA!BG156+IVA!BG139+IVA!BG122+IVA!BG105+IVA!BG88+IVA!BG53+IVA!BG36+IVA!BG19</f>
        <v>5057598.71554106</v>
      </c>
      <c r="BH173" s="371" t="n">
        <f aca="false">IVA!BH156+IVA!BH139+IVA!BH122+IVA!BH105+IVA!BH88+IVA!BH53+IVA!BH36+IVA!BH19</f>
        <v>5086865.22170746</v>
      </c>
      <c r="BI173" s="371" t="n">
        <f aca="false">IVA!BI156+IVA!BI139+IVA!BI122+IVA!BI105+IVA!BI88+IVA!BI53+IVA!BI36+IVA!BI19</f>
        <v>4748785.91697385</v>
      </c>
      <c r="BJ173" s="371" t="n">
        <f aca="false">IVA!BJ156+IVA!BJ139+IVA!BJ122+IVA!BJ105+IVA!BJ88+IVA!BJ53+IVA!BJ36+IVA!BJ19</f>
        <v>6747882.27952566</v>
      </c>
      <c r="BK173" s="371" t="n">
        <f aca="false">IVA!BK156+IVA!BK139+IVA!BK122+IVA!BK105+IVA!BK88+IVA!BK53+IVA!BK36+IVA!BK19</f>
        <v>6958024.76242424</v>
      </c>
      <c r="BL173" s="371" t="n">
        <f aca="false">IVA!BL156+IVA!BL139+IVA!BL122+IVA!BL105+IVA!BL88+IVA!BL53+IVA!BL36+IVA!BL19</f>
        <v>5743312.12856498</v>
      </c>
      <c r="BM173" s="371" t="n">
        <f aca="false">IVA!BM156+IVA!BM139+IVA!BM122+IVA!BM105+IVA!BM88+IVA!BM53+IVA!BM36+IVA!BM19</f>
        <v>6260191.45016726</v>
      </c>
      <c r="BN173" s="371" t="n">
        <f aca="false">IVA!BN156+IVA!BN139+IVA!BN122+IVA!BN105+IVA!BN88+IVA!BN53+IVA!BN36+IVA!BN19</f>
        <v>6053538.25345283</v>
      </c>
      <c r="BO173" s="371" t="n">
        <f aca="false">IVA!BO156+IVA!BO139+IVA!BO122+IVA!BO105+IVA!BO88+IVA!BO53+IVA!BO36+IVA!BO19</f>
        <v>6352042.72492449</v>
      </c>
      <c r="BP173" s="371" t="n">
        <f aca="false">IVA!BP156+IVA!BP139+IVA!BP122+IVA!BP105+IVA!BP88+IVA!BP53+IVA!BP36+IVA!BP19</f>
        <v>6639755.29151129</v>
      </c>
      <c r="BQ173" s="372"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4" t="n">
        <v>71892.49195</v>
      </c>
      <c r="AF174" s="434" t="n">
        <v>66793.45177</v>
      </c>
      <c r="AG174" s="434" t="n">
        <v>67836.02688</v>
      </c>
      <c r="AH174" s="434" t="n">
        <v>85567.2324</v>
      </c>
      <c r="AI174" s="434" t="n">
        <v>87815.42708</v>
      </c>
      <c r="AJ174" s="434" t="n">
        <v>85431.76072</v>
      </c>
      <c r="AK174" s="434" t="n">
        <v>91645.65358</v>
      </c>
      <c r="AL174" s="434" t="n">
        <v>88671.83784</v>
      </c>
      <c r="AM174" s="434" t="n">
        <v>93209.0154</v>
      </c>
      <c r="AN174" s="434" t="n">
        <v>93386.34819</v>
      </c>
      <c r="AO174" s="434" t="n">
        <v>89434.64671</v>
      </c>
      <c r="AP174" s="434"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69" t="s">
        <v>576</v>
      </c>
      <c r="BC174" s="370"/>
      <c r="BD174" s="370"/>
      <c r="BE174" s="370"/>
      <c r="BF174" s="371" t="n">
        <f aca="false">IVA!BF157+IVA!BF140+IVA!BF123+IVA!BF106+IVA!BF89+IVA!BF54+IVA!BF37+IVA!BF20</f>
        <v>6853425.70274</v>
      </c>
      <c r="BG174" s="371" t="n">
        <f aca="false">IVA!BG157+IVA!BG140+IVA!BG123+IVA!BG106+IVA!BG89+IVA!BG54+IVA!BG37+IVA!BG20</f>
        <v>6322518.76381422</v>
      </c>
      <c r="BH174" s="371" t="n">
        <f aca="false">IVA!BH157+IVA!BH140+IVA!BH123+IVA!BH106+IVA!BH89+IVA!BH54+IVA!BH37+IVA!BH20</f>
        <v>6377889.91816765</v>
      </c>
      <c r="BI174" s="371" t="n">
        <f aca="false">IVA!BI157+IVA!BI140+IVA!BI123+IVA!BI106+IVA!BI89+IVA!BI54+IVA!BI37+IVA!BI20</f>
        <v>6041403.23477121</v>
      </c>
      <c r="BJ174" s="371" t="n">
        <f aca="false">IVA!BJ157+IVA!BJ140+IVA!BJ123+IVA!BJ106+IVA!BJ89+IVA!BJ54+IVA!BJ37+IVA!BJ20</f>
        <v>8815356.01922373</v>
      </c>
      <c r="BK174" s="371" t="n">
        <f aca="false">IVA!BK157+IVA!BK140+IVA!BK123+IVA!BK106+IVA!BK89+IVA!BK54+IVA!BK37+IVA!BK20</f>
        <v>8842152.42600573</v>
      </c>
      <c r="BL174" s="371" t="n">
        <f aca="false">IVA!BL157+IVA!BL140+IVA!BL123+IVA!BL106+IVA!BL89+IVA!BL54+IVA!BL37+IVA!BL20</f>
        <v>7983790.14725355</v>
      </c>
      <c r="BM174" s="371" t="n">
        <f aca="false">IVA!BM157+IVA!BM140+IVA!BM123+IVA!BM106+IVA!BM89+IVA!BM54+IVA!BM37+IVA!BM20</f>
        <v>8673132.1363103</v>
      </c>
      <c r="BN174" s="371" t="n">
        <f aca="false">IVA!BN157+IVA!BN140+IVA!BN123+IVA!BN106+IVA!BN89+IVA!BN54+IVA!BN37+IVA!BN20</f>
        <v>7813648.46459963</v>
      </c>
      <c r="BO174" s="371" t="n">
        <f aca="false">IVA!BO157+IVA!BO140+IVA!BO123+IVA!BO106+IVA!BO89+IVA!BO54+IVA!BO37+IVA!BO20</f>
        <v>8211035.22036229</v>
      </c>
      <c r="BP174" s="371" t="n">
        <f aca="false">IVA!BP157+IVA!BP140+IVA!BP123+IVA!BP106+IVA!BP89+IVA!BP54+IVA!BP37+IVA!BP20</f>
        <v>8649010.28675631</v>
      </c>
      <c r="BQ174" s="372"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4" t="n">
        <v>89764</v>
      </c>
      <c r="AF175" s="434" t="n">
        <v>100392</v>
      </c>
      <c r="AG175" s="434" t="n">
        <v>105556</v>
      </c>
      <c r="AH175" s="434" t="n">
        <v>105743</v>
      </c>
      <c r="AI175" s="434" t="n">
        <v>103773</v>
      </c>
      <c r="AJ175" s="434" t="n">
        <v>108097</v>
      </c>
      <c r="AK175" s="434" t="n">
        <v>110232</v>
      </c>
      <c r="AL175" s="434" t="n">
        <v>108160</v>
      </c>
      <c r="AM175" s="434" t="n">
        <v>113545</v>
      </c>
      <c r="AN175" s="434" t="n">
        <v>112166</v>
      </c>
      <c r="AO175" s="434" t="n">
        <v>112805</v>
      </c>
      <c r="AP175" s="434"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69" t="s">
        <v>576</v>
      </c>
      <c r="BC175" s="370"/>
      <c r="BD175" s="370"/>
      <c r="BE175" s="370"/>
      <c r="BF175" s="371" t="n">
        <f aca="false">IVA!BF158+IVA!BF141+IVA!BF124+IVA!BF107+IVA!BF90+IVA!BF55+IVA!BF38+IVA!BF21</f>
        <v>9587194.77271465</v>
      </c>
      <c r="BG175" s="371" t="n">
        <f aca="false">IVA!BG158+IVA!BG141+IVA!BG124+IVA!BG107+IVA!BG90+IVA!BG55+IVA!BG38+IVA!BG21</f>
        <v>8698838.79984519</v>
      </c>
      <c r="BH175" s="371" t="n">
        <f aca="false">IVA!BH158+IVA!BH141+IVA!BH124+IVA!BH107+IVA!BH90+IVA!BH55+IVA!BH38+IVA!BH21</f>
        <v>7973899.44238453</v>
      </c>
      <c r="BI175" s="371" t="n">
        <f aca="false">IVA!BI158+IVA!BI141+IVA!BI124+IVA!BI107+IVA!BI90+IVA!BI55+IVA!BI38+IVA!BI21</f>
        <v>8846686.67371168</v>
      </c>
      <c r="BJ175" s="371" t="n">
        <f aca="false">IVA!BJ158+IVA!BJ141+IVA!BJ124+IVA!BJ107+IVA!BJ90+IVA!BJ55+IVA!BJ38+IVA!BJ21</f>
        <v>10495588.7643454</v>
      </c>
      <c r="BK175" s="371" t="n">
        <f aca="false">IVA!BK158+IVA!BK141+IVA!BK124+IVA!BK107+IVA!BK90+IVA!BK55+IVA!BK38+IVA!BK21</f>
        <v>11156939.4732033</v>
      </c>
      <c r="BL175" s="371" t="n">
        <f aca="false">IVA!BL158+IVA!BL141+IVA!BL124+IVA!BL107+IVA!BL90+IVA!BL55+IVA!BL38+IVA!BL21</f>
        <v>10209523.0641431</v>
      </c>
      <c r="BM175" s="371" t="n">
        <f aca="false">IVA!BM158+IVA!BM141+IVA!BM124+IVA!BM107+IVA!BM90+IVA!BM55+IVA!BM38+IVA!BM21</f>
        <v>10551937.0124369</v>
      </c>
      <c r="BN175" s="371" t="n">
        <f aca="false">IVA!BN158+IVA!BN141+IVA!BN124+IVA!BN107+IVA!BN90+IVA!BN55+IVA!BN38+IVA!BN21</f>
        <v>10347679.5126536</v>
      </c>
      <c r="BO175" s="371" t="n">
        <f aca="false">IVA!BO158+IVA!BO141+IVA!BO124+IVA!BO107+IVA!BO90+IVA!BO55+IVA!BO38+IVA!BO21</f>
        <v>10506486.2935417</v>
      </c>
      <c r="BP175" s="371" t="n">
        <f aca="false">IVA!BP158+IVA!BP141+IVA!BP124+IVA!BP107+IVA!BP90+IVA!BP55+IVA!BP38+IVA!BP21</f>
        <v>9822094.79237351</v>
      </c>
      <c r="BQ175" s="372"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4" t="n">
        <v>195199</v>
      </c>
      <c r="AF176" s="434" t="n">
        <v>207516</v>
      </c>
      <c r="AG176" s="434" t="n">
        <v>220637</v>
      </c>
      <c r="AH176" s="434" t="n">
        <v>215507</v>
      </c>
      <c r="AI176" s="434" t="n">
        <v>212162</v>
      </c>
      <c r="AJ176" s="434" t="n">
        <v>223120</v>
      </c>
      <c r="AK176" s="434" t="n">
        <v>229329</v>
      </c>
      <c r="AL176" s="434" t="n">
        <v>229070</v>
      </c>
      <c r="AM176" s="434" t="n">
        <v>231834</v>
      </c>
      <c r="AN176" s="434" t="n">
        <v>228663</v>
      </c>
      <c r="AO176" s="434" t="n">
        <v>242021</v>
      </c>
      <c r="AP176" s="434"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69" t="s">
        <v>576</v>
      </c>
      <c r="BC176" s="370"/>
      <c r="BD176" s="370"/>
      <c r="BE176" s="370"/>
      <c r="BF176" s="371" t="n">
        <f aca="false">IVA!BF159+IVA!BF142+IVA!BF125+IVA!BF108+IVA!BF91+IVA!BF56+IVA!BF39+IVA!BF22</f>
        <v>9633639.88961667</v>
      </c>
      <c r="BG176" s="371" t="n">
        <f aca="false">IVA!BG159+IVA!BG142+IVA!BG125+IVA!BG108+IVA!BG91+IVA!BG56+IVA!BG39+IVA!BG22</f>
        <v>9579871.64366667</v>
      </c>
      <c r="BH176" s="371" t="n">
        <f aca="false">IVA!BH159+IVA!BH142+IVA!BH125+IVA!BH108+IVA!BH91+IVA!BH56+IVA!BH39+IVA!BH22</f>
        <v>9207445.40821667</v>
      </c>
      <c r="BI176" s="371" t="n">
        <f aca="false">IVA!BI159+IVA!BI142+IVA!BI125+IVA!BI108+IVA!BI91+IVA!BI56+IVA!BI39+IVA!BI22</f>
        <v>9292309.22696667</v>
      </c>
      <c r="BJ176" s="371" t="n">
        <f aca="false">IVA!BJ159+IVA!BJ142+IVA!BJ125+IVA!BJ108+IVA!BJ91+IVA!BJ56+IVA!BJ39+IVA!BJ22</f>
        <v>11393425.2699667</v>
      </c>
      <c r="BK176" s="371" t="n">
        <f aca="false">IVA!BK159+IVA!BK142+IVA!BK125+IVA!BK108+IVA!BK91+IVA!BK56+IVA!BK39+IVA!BK22</f>
        <v>11537646.6243167</v>
      </c>
      <c r="BL176" s="371" t="n">
        <f aca="false">IVA!BL159+IVA!BL142+IVA!BL125+IVA!BL108+IVA!BL91+IVA!BL56+IVA!BL39+IVA!BL22</f>
        <v>10874459.6953667</v>
      </c>
      <c r="BM176" s="371" t="n">
        <f aca="false">IVA!BM159+IVA!BM142+IVA!BM125+IVA!BM108+IVA!BM91+IVA!BM56+IVA!BM39+IVA!BM22</f>
        <v>10838542.7692167</v>
      </c>
      <c r="BN176" s="371" t="n">
        <f aca="false">IVA!BN159+IVA!BN142+IVA!BN125+IVA!BN108+IVA!BN91+IVA!BN56+IVA!BN39+IVA!BN22</f>
        <v>10984976.8150167</v>
      </c>
      <c r="BO176" s="371" t="n">
        <f aca="false">IVA!BO159+IVA!BO142+IVA!BO125+IVA!BO108+IVA!BO91+IVA!BO56+IVA!BO39+IVA!BO22</f>
        <v>11149465.8050667</v>
      </c>
      <c r="BP176" s="371" t="n">
        <f aca="false">IVA!BP159+IVA!BP142+IVA!BP125+IVA!BP108+IVA!BP91+IVA!BP56+IVA!BP39+IVA!BP22</f>
        <v>11066341.3720167</v>
      </c>
      <c r="BQ176" s="372"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4" t="n">
        <v>254030</v>
      </c>
      <c r="AF177" s="434" t="n">
        <v>234474</v>
      </c>
      <c r="AG177" s="434" t="n">
        <v>249509</v>
      </c>
      <c r="AH177" s="434" t="n">
        <v>232915</v>
      </c>
      <c r="AI177" s="434" t="n">
        <v>277729</v>
      </c>
      <c r="AJ177" s="434" t="n">
        <v>252343</v>
      </c>
      <c r="AK177" s="434" t="n">
        <v>277460</v>
      </c>
      <c r="AL177" s="434" t="n">
        <v>268455</v>
      </c>
      <c r="AM177" s="434" t="n">
        <v>266348</v>
      </c>
      <c r="AN177" s="434" t="n">
        <v>264564</v>
      </c>
      <c r="AO177" s="434" t="n">
        <v>257188</v>
      </c>
      <c r="AP177" s="434"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69" t="s">
        <v>576</v>
      </c>
      <c r="BC177" s="370"/>
      <c r="BD177" s="370"/>
      <c r="BE177" s="370"/>
      <c r="BF177" s="371" t="n">
        <f aca="false">IVA!BF160+IVA!BF143+IVA!BF126+IVA!BF109+IVA!BF92+IVA!BF57+IVA!BF40+IVA!BF23</f>
        <v>12038466.7543167</v>
      </c>
      <c r="BG177" s="371" t="n">
        <f aca="false">IVA!BG160+IVA!BG143+IVA!BG126+IVA!BG109+IVA!BG92+IVA!BG57+IVA!BG40+IVA!BG23</f>
        <v>11829921.4304167</v>
      </c>
      <c r="BH177" s="371" t="n">
        <f aca="false">IVA!BH160+IVA!BH143+IVA!BH126+IVA!BH109+IVA!BH92+IVA!BH57+IVA!BH40+IVA!BH23</f>
        <v>11894641.2785667</v>
      </c>
      <c r="BI177" s="371" t="n">
        <f aca="false">IVA!BI160+IVA!BI143+IVA!BI126+IVA!BI109+IVA!BI92+IVA!BI57+IVA!BI40+IVA!BI23</f>
        <v>12160890.9433667</v>
      </c>
      <c r="BJ177" s="371" t="n">
        <f aca="false">IVA!BJ160+IVA!BJ143+IVA!BJ126+IVA!BJ109+IVA!BJ92+IVA!BJ57+IVA!BJ40+IVA!BJ23</f>
        <v>16910742.2540167</v>
      </c>
      <c r="BK177" s="371" t="n">
        <f aca="false">IVA!BK160+IVA!BK143+IVA!BK126+IVA!BK109+IVA!BK92+IVA!BK57+IVA!BK40+IVA!BK23</f>
        <v>16285171.6726167</v>
      </c>
      <c r="BL177" s="371" t="n">
        <f aca="false">IVA!BL160+IVA!BL143+IVA!BL126+IVA!BL109+IVA!BL92+IVA!BL57+IVA!BL40+IVA!BL23</f>
        <v>14651463.9597667</v>
      </c>
      <c r="BM177" s="371" t="n">
        <f aca="false">IVA!BM160+IVA!BM143+IVA!BM126+IVA!BM109+IVA!BM92+IVA!BM57+IVA!BM40+IVA!BM23</f>
        <v>14608959.1302167</v>
      </c>
      <c r="BN177" s="371" t="n">
        <f aca="false">IVA!BN160+IVA!BN143+IVA!BN126+IVA!BN109+IVA!BN92+IVA!BN57+IVA!BN40+IVA!BN23</f>
        <v>14889185.8357167</v>
      </c>
      <c r="BO177" s="371" t="n">
        <f aca="false">IVA!BO160+IVA!BO143+IVA!BO126+IVA!BO109+IVA!BO92+IVA!BO57+IVA!BO40+IVA!BO23</f>
        <v>14630495.3742167</v>
      </c>
      <c r="BP177" s="371" t="n">
        <f aca="false">IVA!BP160+IVA!BP143+IVA!BP126+IVA!BP109+IVA!BP92+IVA!BP57+IVA!BP40+IVA!BP23</f>
        <v>15295079.8455167</v>
      </c>
      <c r="BQ177" s="372"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39" t="n">
        <v>267455.67386</v>
      </c>
      <c r="AF178" s="439" t="n">
        <v>261003.16847</v>
      </c>
      <c r="AG178" s="439" t="n">
        <v>294269.03448</v>
      </c>
      <c r="AH178" s="439" t="n">
        <v>240601.68868</v>
      </c>
      <c r="AI178" s="439" t="n">
        <v>310976.82864</v>
      </c>
      <c r="AJ178" s="439" t="n">
        <v>280785.58072</v>
      </c>
      <c r="AK178" s="439" t="n">
        <v>368662.16995</v>
      </c>
      <c r="AL178" s="439" t="n">
        <v>385482.17306</v>
      </c>
      <c r="AM178" s="439" t="n">
        <v>373063.08959</v>
      </c>
      <c r="AN178" s="439" t="n">
        <v>412427.83635</v>
      </c>
      <c r="AO178" s="439" t="n">
        <v>385319.10271</v>
      </c>
      <c r="AP178" s="439" t="n">
        <v>377011.33601</v>
      </c>
      <c r="AQ178" s="326" t="n">
        <f aca="false">IVA!AE178+IVA!AF178+IVA!AG178</f>
        <v>822727.87681</v>
      </c>
      <c r="AR178" s="326" t="n">
        <f aca="false">IVA!AH178+IVA!AI178+IVA!AJ178</f>
        <v>832364.09804</v>
      </c>
      <c r="AS178" s="326" t="n">
        <f aca="false">IVA!AK178+IVA!AL178+IVA!AM178</f>
        <v>1127207.4326</v>
      </c>
      <c r="AT178" s="326"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69" t="s">
        <v>576</v>
      </c>
      <c r="BC178" s="370"/>
      <c r="BD178" s="370"/>
      <c r="BE178" s="370"/>
      <c r="BF178" s="371" t="n">
        <f aca="false">IVA!BF161+IVA!BF144+IVA!BF127+IVA!BF110+IVA!BF93+IVA!BF58+IVA!BF41+IVA!BF24</f>
        <v>17019213.1997167</v>
      </c>
      <c r="BG178" s="371" t="n">
        <f aca="false">IVA!BG161+IVA!BG144+IVA!BG127+IVA!BG110+IVA!BG93+IVA!BG58+IVA!BG41+IVA!BG24</f>
        <v>15733536.8216667</v>
      </c>
      <c r="BH178" s="371" t="n">
        <f aca="false">IVA!BH161+IVA!BH144+IVA!BH127+IVA!BH110+IVA!BH93+IVA!BH58+IVA!BH41+IVA!BH24</f>
        <v>16017149.7628667</v>
      </c>
      <c r="BI178" s="371" t="n">
        <f aca="false">IVA!BI161+IVA!BI144+IVA!BI127+IVA!BI110+IVA!BI93+IVA!BI58+IVA!BI41+IVA!BI24</f>
        <v>16445856.9565167</v>
      </c>
      <c r="BJ178" s="371" t="n">
        <f aca="false">IVA!BJ161+IVA!BJ144+IVA!BJ127+IVA!BJ110+IVA!BJ93+IVA!BJ58+IVA!BJ41+IVA!BJ24</f>
        <v>22463385.5177167</v>
      </c>
      <c r="BK178" s="371" t="n">
        <f aca="false">IVA!BK161+IVA!BK144+IVA!BK127+IVA!BK110+IVA!BK93+IVA!BK58+IVA!BK41+IVA!BK24</f>
        <v>21349112.7697167</v>
      </c>
      <c r="BL178" s="371" t="n">
        <f aca="false">IVA!BL161+IVA!BL144+IVA!BL127+IVA!BL110+IVA!BL93+IVA!BL58+IVA!BL41+IVA!BL24</f>
        <v>19287139.1490167</v>
      </c>
      <c r="BM178" s="371" t="n">
        <f aca="false">IVA!BM161+IVA!BM144+IVA!BM127+IVA!BM110+IVA!BM93+IVA!BM58+IVA!BM41+IVA!BM24</f>
        <v>19820975.2534667</v>
      </c>
      <c r="BN178" s="371" t="n">
        <f aca="false">IVA!BN161+IVA!BN144+IVA!BN127+IVA!BN110+IVA!BN93+IVA!BN58+IVA!BN41+IVA!BN24</f>
        <v>20449575.7872167</v>
      </c>
      <c r="BO178" s="371" t="n">
        <f aca="false">IVA!BO161+IVA!BO144+IVA!BO127+IVA!BO110+IVA!BO93+IVA!BO58+IVA!BO41+IVA!BO24</f>
        <v>19406592.5453667</v>
      </c>
      <c r="BP178" s="371" t="n">
        <f aca="false">IVA!BP161+IVA!BP144+IVA!BP127+IVA!BP110+IVA!BP93+IVA!BP58+IVA!BP41+IVA!BP24</f>
        <v>21424829.3147167</v>
      </c>
      <c r="BQ178" s="372"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0.0315521063617864</v>
      </c>
      <c r="CA178" s="273" t="n">
        <f aca="false">IVA!BV178/IVA!CN20</f>
        <v>0.125076159754789</v>
      </c>
    </row>
    <row r="179" customFormat="false" ht="12.75" hidden="false" customHeight="true" outlineLevel="0" collapsed="false">
      <c r="AA179" s="440" t="n">
        <v>1996</v>
      </c>
      <c r="AB179" s="440" t="s">
        <v>577</v>
      </c>
      <c r="AC179" s="441"/>
      <c r="AD179" s="442"/>
      <c r="AE179" s="443" t="n">
        <v>0</v>
      </c>
      <c r="AF179" s="443" t="n">
        <v>0</v>
      </c>
      <c r="AG179" s="443" t="n">
        <v>0</v>
      </c>
      <c r="AH179" s="443" t="n">
        <v>0</v>
      </c>
      <c r="AI179" s="443" t="n">
        <v>0</v>
      </c>
      <c r="AJ179" s="443" t="n">
        <v>0</v>
      </c>
      <c r="AK179" s="443" t="n">
        <v>0</v>
      </c>
      <c r="AL179" s="443" t="n">
        <v>0</v>
      </c>
      <c r="AM179" s="443" t="n">
        <v>0</v>
      </c>
      <c r="AN179" s="444" t="n">
        <v>0</v>
      </c>
      <c r="AO179" s="444" t="n">
        <v>0</v>
      </c>
      <c r="AP179" s="444"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8" t="s">
        <v>576</v>
      </c>
      <c r="BC179" s="389"/>
      <c r="BD179" s="389"/>
      <c r="BE179" s="389"/>
      <c r="BF179" s="390" t="n">
        <f aca="false">IVA!BF162+IVA!BF145+IVA!BF128+IVA!BF111+IVA!BF94+IVA!BF59+IVA!BF42+IVA!BF25</f>
        <v>21749401.1743463</v>
      </c>
      <c r="BG179" s="390" t="n">
        <f aca="false">IVA!BG162+IVA!BG145+IVA!BG128+IVA!BG111+IVA!BG94+IVA!BG59+IVA!BG42+IVA!BG25</f>
        <v>19957020.6009329</v>
      </c>
      <c r="BH179" s="390" t="n">
        <f aca="false">IVA!BH162+IVA!BH145+IVA!BH128+IVA!BH111+IVA!BH94+IVA!BH59+IVA!BH42+IVA!BH25</f>
        <v>19420867.703431</v>
      </c>
      <c r="BI179" s="390" t="n">
        <f aca="false">IVA!BI162+IVA!BI145+IVA!BI128+IVA!BI111+IVA!BI94+IVA!BI59+IVA!BI42+IVA!BI25</f>
        <v>19313730.3065397</v>
      </c>
      <c r="BJ179" s="390" t="n">
        <f aca="false">IVA!BJ162+IVA!BJ145+IVA!BJ128+IVA!BJ111+IVA!BJ94+IVA!BJ59+IVA!BJ42+IVA!BJ25</f>
        <v>25806415.302789</v>
      </c>
      <c r="BK179" s="390" t="n">
        <f aca="false">IVA!BK162+IVA!BK145+IVA!BK128+IVA!BK111+IVA!BK94+IVA!BK59+IVA!BK42+IVA!BK25</f>
        <v>26233229.3182868</v>
      </c>
      <c r="BL179" s="390" t="n">
        <f aca="false">IVA!BL162+IVA!BL145+IVA!BL128+IVA!BL111+IVA!BL94+IVA!BL59+IVA!BL42+IVA!BL25</f>
        <v>23081671.5903943</v>
      </c>
      <c r="BM179" s="390" t="n">
        <f aca="false">IVA!BM162+IVA!BM145+IVA!BM128+IVA!BM111+IVA!BM94+IVA!BM59+IVA!BM42+IVA!BM25</f>
        <v>25336985.5414615</v>
      </c>
      <c r="BN179" s="390" t="n">
        <f aca="false">IVA!BN162+IVA!BN145+IVA!BN128+IVA!BN111+IVA!BN94+IVA!BN59+IVA!BN42+IVA!BN25</f>
        <v>24357713.4216881</v>
      </c>
      <c r="BO179" s="390" t="n">
        <f aca="false">IVA!BO162+IVA!BO145+IVA!BO128+IVA!BO111+IVA!BO94+IVA!BO59+IVA!BO42+IVA!BO25</f>
        <v>26039677.7498244</v>
      </c>
      <c r="BP179" s="390" t="n">
        <f aca="false">IVA!BP162+IVA!BP145+IVA!BP128+IVA!BP111+IVA!BP94+IVA!BP59+IVA!BP42+IVA!BP25</f>
        <v>27312874.3917568</v>
      </c>
      <c r="BQ179" s="391"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0" t="n">
        <v>1997</v>
      </c>
      <c r="AB180" s="440" t="s">
        <v>577</v>
      </c>
      <c r="AC180" s="441"/>
      <c r="AD180" s="442"/>
      <c r="AE180" s="443" t="n">
        <v>0</v>
      </c>
      <c r="AF180" s="443" t="n">
        <v>0</v>
      </c>
      <c r="AG180" s="443" t="n">
        <v>0</v>
      </c>
      <c r="AH180" s="443" t="n">
        <v>0</v>
      </c>
      <c r="AI180" s="443" t="n">
        <v>0</v>
      </c>
      <c r="AJ180" s="443" t="n">
        <v>0</v>
      </c>
      <c r="AK180" s="443" t="n">
        <v>0</v>
      </c>
      <c r="AL180" s="443" t="n">
        <v>0</v>
      </c>
      <c r="AM180" s="443" t="n">
        <v>0</v>
      </c>
      <c r="AN180" s="443" t="n">
        <v>0</v>
      </c>
      <c r="AO180" s="443" t="n">
        <v>0</v>
      </c>
      <c r="AP180" s="443"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2" t="s">
        <v>578</v>
      </c>
      <c r="BC180" s="353"/>
      <c r="BD180" s="353"/>
      <c r="BE180" s="353"/>
      <c r="BF180" s="354" t="n">
        <f aca="false">IVA!BF163*0.15</f>
        <v>269000.425</v>
      </c>
      <c r="BG180" s="354" t="n">
        <f aca="false">IVA!BG163*0.15</f>
        <v>271387.1725</v>
      </c>
      <c r="BH180" s="354" t="n">
        <f aca="false">IVA!BH163*0.15</f>
        <v>269388.388</v>
      </c>
      <c r="BI180" s="354" t="n">
        <f aca="false">IVA!BI163*0.15</f>
        <v>258553.8175</v>
      </c>
      <c r="BJ180" s="354" t="n">
        <f aca="false">IVA!BJ163*0.15</f>
        <v>286856.4475</v>
      </c>
      <c r="BK180" s="354" t="n">
        <f aca="false">IVA!BK163*0.15</f>
        <v>299272.327</v>
      </c>
      <c r="BL180" s="354" t="n">
        <f aca="false">IVA!BL163*0.15</f>
        <v>274749.0415</v>
      </c>
      <c r="BM180" s="354" t="n">
        <f aca="false">IVA!BM163*0.15</f>
        <v>276757.213</v>
      </c>
      <c r="BN180" s="354" t="n">
        <f aca="false">IVA!BN163*0.15</f>
        <v>245424.277</v>
      </c>
      <c r="BO180" s="354" t="n">
        <f aca="false">IVA!BO163*0.15</f>
        <v>296599.7455</v>
      </c>
      <c r="BP180" s="354" t="n">
        <f aca="false">IVA!BP163*0.15</f>
        <v>289606.042</v>
      </c>
      <c r="BQ180" s="354"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0" t="n">
        <v>1998</v>
      </c>
      <c r="AB181" s="440" t="s">
        <v>577</v>
      </c>
      <c r="AC181" s="441"/>
      <c r="AD181" s="442"/>
      <c r="AE181" s="443" t="n">
        <v>0</v>
      </c>
      <c r="AF181" s="443" t="n">
        <v>0</v>
      </c>
      <c r="AG181" s="443" t="n">
        <v>0</v>
      </c>
      <c r="AH181" s="443" t="n">
        <v>0</v>
      </c>
      <c r="AI181" s="443" t="n">
        <v>0</v>
      </c>
      <c r="AJ181" s="443" t="n">
        <v>0</v>
      </c>
      <c r="AK181" s="443" t="n">
        <v>0</v>
      </c>
      <c r="AL181" s="443" t="n">
        <v>0</v>
      </c>
      <c r="AM181" s="443" t="n">
        <v>0</v>
      </c>
      <c r="AN181" s="444" t="n">
        <v>25627</v>
      </c>
      <c r="AO181" s="444" t="n">
        <v>38758</v>
      </c>
      <c r="AP181" s="444"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2" t="s">
        <v>578</v>
      </c>
      <c r="BC181" s="353"/>
      <c r="BD181" s="353"/>
      <c r="BE181" s="353"/>
      <c r="BF181" s="354" t="n">
        <v>311773.235824686</v>
      </c>
      <c r="BG181" s="354" t="n">
        <v>272985.711885931</v>
      </c>
      <c r="BH181" s="354" t="n">
        <v>274210.924172563</v>
      </c>
      <c r="BI181" s="354" t="n">
        <v>292194.104566432</v>
      </c>
      <c r="BJ181" s="354" t="n">
        <v>367292.830426313</v>
      </c>
      <c r="BK181" s="354" t="n">
        <v>298378.754308093</v>
      </c>
      <c r="BL181" s="354" t="n">
        <v>285629.987264016</v>
      </c>
      <c r="BM181" s="354" t="n">
        <v>307035.263849085</v>
      </c>
      <c r="BN181" s="354" t="n">
        <v>323007.972098404</v>
      </c>
      <c r="BO181" s="354" t="n">
        <v>293519.007752798</v>
      </c>
      <c r="BP181" s="354" t="n">
        <v>313306.573137796</v>
      </c>
      <c r="BQ181" s="355"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0" t="n">
        <v>1999</v>
      </c>
      <c r="AB182" s="440" t="s">
        <v>577</v>
      </c>
      <c r="AC182" s="441"/>
      <c r="AD182" s="442"/>
      <c r="AE182" s="444" t="n">
        <v>33246</v>
      </c>
      <c r="AF182" s="444" t="n">
        <v>32513</v>
      </c>
      <c r="AG182" s="444" t="n">
        <v>35578</v>
      </c>
      <c r="AH182" s="444" t="n">
        <v>32123</v>
      </c>
      <c r="AI182" s="444" t="n">
        <v>31900</v>
      </c>
      <c r="AJ182" s="444" t="n">
        <v>30036</v>
      </c>
      <c r="AK182" s="444" t="n">
        <v>32651</v>
      </c>
      <c r="AL182" s="444" t="n">
        <v>31854</v>
      </c>
      <c r="AM182" s="444" t="n">
        <v>32265</v>
      </c>
      <c r="AN182" s="444" t="n">
        <v>30383</v>
      </c>
      <c r="AO182" s="444" t="n">
        <v>32203</v>
      </c>
      <c r="AP182" s="444"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2" t="s">
        <v>578</v>
      </c>
      <c r="BC182" s="353"/>
      <c r="BD182" s="353"/>
      <c r="BE182" s="353"/>
      <c r="BF182" s="354" t="n">
        <v>304810.056248961</v>
      </c>
      <c r="BG182" s="354" t="n">
        <v>303983.914125491</v>
      </c>
      <c r="BH182" s="354" t="n">
        <v>310528.104759853</v>
      </c>
      <c r="BI182" s="354" t="n">
        <v>294509.442049396</v>
      </c>
      <c r="BJ182" s="354" t="n">
        <v>373114.230628099</v>
      </c>
      <c r="BK182" s="354" t="n">
        <v>358282.224058068</v>
      </c>
      <c r="BL182" s="354" t="n">
        <v>314736.843301181</v>
      </c>
      <c r="BM182" s="354" t="n">
        <v>319702.052695585</v>
      </c>
      <c r="BN182" s="354" t="n">
        <v>314938.653188866</v>
      </c>
      <c r="BO182" s="354" t="n">
        <v>293070.677129107</v>
      </c>
      <c r="BP182" s="354" t="n">
        <v>312775.780908138</v>
      </c>
      <c r="BQ182" s="355"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0" t="n">
        <v>2000</v>
      </c>
      <c r="AB183" s="440" t="s">
        <v>577</v>
      </c>
      <c r="AC183" s="441"/>
      <c r="AD183" s="442"/>
      <c r="AE183" s="444" t="n">
        <v>31685.54277</v>
      </c>
      <c r="AF183" s="444" t="n">
        <v>30204.97614</v>
      </c>
      <c r="AG183" s="444" t="n">
        <v>33358.13397</v>
      </c>
      <c r="AH183" s="444" t="n">
        <v>27404.16898</v>
      </c>
      <c r="AI183" s="444" t="n">
        <v>30592.6695</v>
      </c>
      <c r="AJ183" s="444" t="n">
        <v>29630.0106</v>
      </c>
      <c r="AK183" s="444" t="n">
        <v>28557.9603</v>
      </c>
      <c r="AL183" s="444" t="n">
        <v>29113.8586</v>
      </c>
      <c r="AM183" s="444" t="n">
        <v>27571.7659</v>
      </c>
      <c r="AN183" s="444" t="n">
        <v>28079.3161</v>
      </c>
      <c r="AO183" s="444" t="n">
        <v>28190.66737</v>
      </c>
      <c r="AP183" s="444"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2" t="s">
        <v>578</v>
      </c>
      <c r="BC183" s="353"/>
      <c r="BD183" s="353"/>
      <c r="BE183" s="353"/>
      <c r="BF183" s="354" t="n">
        <v>306195.111132722</v>
      </c>
      <c r="BG183" s="354" t="n">
        <v>286862.443452808</v>
      </c>
      <c r="BH183" s="354" t="n">
        <v>310428.158453559</v>
      </c>
      <c r="BI183" s="354" t="n">
        <v>290817.568502773</v>
      </c>
      <c r="BJ183" s="354" t="n">
        <v>321662.06895964</v>
      </c>
      <c r="BK183" s="354" t="n">
        <v>306635.780405928</v>
      </c>
      <c r="BL183" s="354" t="n">
        <v>282100.38207466</v>
      </c>
      <c r="BM183" s="354" t="n">
        <v>307203.10624539</v>
      </c>
      <c r="BN183" s="354" t="n">
        <v>304331.934425561</v>
      </c>
      <c r="BO183" s="354" t="n">
        <v>296925.921854187</v>
      </c>
      <c r="BP183" s="354" t="n">
        <v>313381.951459464</v>
      </c>
      <c r="BQ183" s="355"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0" t="n">
        <v>2001</v>
      </c>
      <c r="AB184" s="440" t="s">
        <v>577</v>
      </c>
      <c r="AC184" s="441"/>
      <c r="AD184" s="442"/>
      <c r="AE184" s="444" t="n">
        <v>30825.38073</v>
      </c>
      <c r="AF184" s="444" t="n">
        <v>25806.43982</v>
      </c>
      <c r="AG184" s="444" t="n">
        <v>29386.18558</v>
      </c>
      <c r="AH184" s="444" t="n">
        <v>24464.39698</v>
      </c>
      <c r="AI184" s="444" t="n">
        <v>28836.57152</v>
      </c>
      <c r="AJ184" s="444" t="n">
        <v>26606.67695</v>
      </c>
      <c r="AK184" s="444" t="n">
        <v>25933.50351</v>
      </c>
      <c r="AL184" s="444" t="n">
        <v>25253.1923</v>
      </c>
      <c r="AM184" s="444" t="n">
        <v>23189.1174</v>
      </c>
      <c r="AN184" s="444" t="n">
        <v>24032.89045</v>
      </c>
      <c r="AO184" s="444" t="n">
        <v>22490.75849</v>
      </c>
      <c r="AP184" s="444"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2" t="s">
        <v>578</v>
      </c>
      <c r="BC184" s="353"/>
      <c r="BD184" s="353"/>
      <c r="BE184" s="353"/>
      <c r="BF184" s="354" t="n">
        <v>322578.089861343</v>
      </c>
      <c r="BG184" s="354" t="n">
        <v>269876.622353778</v>
      </c>
      <c r="BH184" s="354" t="n">
        <v>304647.843816121</v>
      </c>
      <c r="BI184" s="354" t="n">
        <v>306577.633894509</v>
      </c>
      <c r="BJ184" s="354" t="n">
        <v>342485.717200356</v>
      </c>
      <c r="BK184" s="354" t="n">
        <v>380514.573928027</v>
      </c>
      <c r="BL184" s="354" t="n">
        <v>317116.670765456</v>
      </c>
      <c r="BM184" s="354" t="n">
        <v>329047.099505082</v>
      </c>
      <c r="BN184" s="354" t="n">
        <v>315297.788904251</v>
      </c>
      <c r="BO184" s="354" t="n">
        <v>310994.654188648</v>
      </c>
      <c r="BP184" s="354" t="n">
        <v>308478.549477498</v>
      </c>
      <c r="BQ184" s="355"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0" t="n">
        <v>2002</v>
      </c>
      <c r="AB185" s="440" t="s">
        <v>577</v>
      </c>
      <c r="AC185" s="441"/>
      <c r="AD185" s="442"/>
      <c r="AE185" s="444" t="n">
        <v>17826.29261</v>
      </c>
      <c r="AF185" s="444" t="n">
        <v>16050.77218</v>
      </c>
      <c r="AG185" s="444" t="n">
        <v>16381.46889</v>
      </c>
      <c r="AH185" s="444" t="n">
        <v>15171.18209</v>
      </c>
      <c r="AI185" s="444" t="n">
        <v>24437.29347</v>
      </c>
      <c r="AJ185" s="444" t="n">
        <v>16544.50626</v>
      </c>
      <c r="AK185" s="444" t="n">
        <v>21059.64356</v>
      </c>
      <c r="AL185" s="444" t="n">
        <v>18714.19207</v>
      </c>
      <c r="AM185" s="444" t="n">
        <v>18426.37294</v>
      </c>
      <c r="AN185" s="444" t="n">
        <v>19230.82262</v>
      </c>
      <c r="AO185" s="444" t="n">
        <v>18643.87089</v>
      </c>
      <c r="AP185" s="444"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2" t="s">
        <v>578</v>
      </c>
      <c r="BC185" s="353"/>
      <c r="BD185" s="353"/>
      <c r="BE185" s="353"/>
      <c r="BF185" s="354" t="n">
        <v>324094.457613154</v>
      </c>
      <c r="BG185" s="354" t="n">
        <v>285236.193783607</v>
      </c>
      <c r="BH185" s="354" t="n">
        <v>283076.420546469</v>
      </c>
      <c r="BI185" s="354" t="n">
        <v>278394.527943354</v>
      </c>
      <c r="BJ185" s="354" t="n">
        <v>372754.167464098</v>
      </c>
      <c r="BK185" s="354" t="n">
        <v>368885.528310365</v>
      </c>
      <c r="BL185" s="354" t="n">
        <v>269928.429147137</v>
      </c>
      <c r="BM185" s="354" t="n">
        <v>295958.838169829</v>
      </c>
      <c r="BN185" s="354" t="n">
        <v>254741.050274737</v>
      </c>
      <c r="BO185" s="354" t="n">
        <v>249303.248121289</v>
      </c>
      <c r="BP185" s="354" t="n">
        <v>252644.694580595</v>
      </c>
      <c r="BQ185" s="355"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0" t="n">
        <v>2003</v>
      </c>
      <c r="AB186" s="440" t="s">
        <v>577</v>
      </c>
      <c r="AC186" s="441"/>
      <c r="AD186" s="442"/>
      <c r="AE186" s="444" t="n">
        <v>21738.87326</v>
      </c>
      <c r="AF186" s="444" t="n">
        <v>19437.26936</v>
      </c>
      <c r="AG186" s="444" t="n">
        <v>20335.88886</v>
      </c>
      <c r="AH186" s="444" t="n">
        <v>22304.58882</v>
      </c>
      <c r="AI186" s="444" t="n">
        <v>26647.34893</v>
      </c>
      <c r="AJ186" s="444" t="n">
        <v>23970.05338</v>
      </c>
      <c r="AK186" s="444" t="n">
        <v>25345.37809</v>
      </c>
      <c r="AL186" s="444" t="n">
        <v>24796.02695</v>
      </c>
      <c r="AM186" s="444" t="n">
        <v>25444.42671</v>
      </c>
      <c r="AN186" s="444" t="n">
        <v>25879.63516</v>
      </c>
      <c r="AO186" s="444" t="n">
        <v>24415.27979</v>
      </c>
      <c r="AP186" s="444"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2" t="s">
        <v>578</v>
      </c>
      <c r="BC186" s="353"/>
      <c r="BD186" s="353"/>
      <c r="BE186" s="353"/>
      <c r="BF186" s="354" t="n">
        <v>235887.877471161</v>
      </c>
      <c r="BG186" s="354" t="n">
        <v>215021.928376783</v>
      </c>
      <c r="BH186" s="354" t="n">
        <v>219085.608017254</v>
      </c>
      <c r="BI186" s="354" t="n">
        <v>192707.586867644</v>
      </c>
      <c r="BJ186" s="354" t="n">
        <v>339176.389181102</v>
      </c>
      <c r="BK186" s="354" t="n">
        <v>308292.329200553</v>
      </c>
      <c r="BL186" s="354" t="n">
        <v>308452.546989325</v>
      </c>
      <c r="BM186" s="354" t="n">
        <v>307825.623690439</v>
      </c>
      <c r="BN186" s="354" t="n">
        <v>293953.297552492</v>
      </c>
      <c r="BO186" s="354" t="n">
        <v>317612.729250549</v>
      </c>
      <c r="BP186" s="354" t="n">
        <v>355739.738572194</v>
      </c>
      <c r="BQ186" s="355"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0" t="n">
        <v>2004</v>
      </c>
      <c r="AB187" s="440" t="s">
        <v>577</v>
      </c>
      <c r="AC187" s="441"/>
      <c r="AD187" s="442"/>
      <c r="AE187" s="444" t="n">
        <v>28337.77855</v>
      </c>
      <c r="AF187" s="444" t="n">
        <v>24403.73744</v>
      </c>
      <c r="AG187" s="444" t="n">
        <v>27845.59168</v>
      </c>
      <c r="AH187" s="444" t="n">
        <v>26181.86891</v>
      </c>
      <c r="AI187" s="444" t="n">
        <v>26648.54838</v>
      </c>
      <c r="AJ187" s="444" t="n">
        <v>9361.06264</v>
      </c>
      <c r="AK187" s="444" t="n">
        <v>63989.73057</v>
      </c>
      <c r="AL187" s="444" t="n">
        <v>52046.57599</v>
      </c>
      <c r="AM187" s="444" t="n">
        <v>72937.05215</v>
      </c>
      <c r="AN187" s="444" t="n">
        <v>58570.60083</v>
      </c>
      <c r="AO187" s="444" t="n">
        <v>54986.88447</v>
      </c>
      <c r="AP187" s="444"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2" t="s">
        <v>578</v>
      </c>
      <c r="BC187" s="353"/>
      <c r="BD187" s="353"/>
      <c r="BE187" s="353"/>
      <c r="BF187" s="354" t="n">
        <v>385363.027339869</v>
      </c>
      <c r="BG187" s="354" t="n">
        <v>302539.859419958</v>
      </c>
      <c r="BH187" s="354" t="n">
        <v>323427.188556072</v>
      </c>
      <c r="BI187" s="354" t="n">
        <v>366682.225645462</v>
      </c>
      <c r="BJ187" s="354" t="n">
        <v>479799.783616893</v>
      </c>
      <c r="BK187" s="354" t="n">
        <v>435975.439505449</v>
      </c>
      <c r="BL187" s="354" t="n">
        <v>420628.458836471</v>
      </c>
      <c r="BM187" s="354" t="n">
        <v>436789.456121737</v>
      </c>
      <c r="BN187" s="354" t="n">
        <v>441055.327627437</v>
      </c>
      <c r="BO187" s="354" t="n">
        <v>431899.407557728</v>
      </c>
      <c r="BP187" s="354" t="n">
        <v>472118.605441784</v>
      </c>
      <c r="BQ187" s="355"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0" t="n">
        <v>2005</v>
      </c>
      <c r="AB188" s="440" t="s">
        <v>577</v>
      </c>
      <c r="AC188" s="441"/>
      <c r="AD188" s="442"/>
      <c r="AE188" s="444" t="n">
        <v>57209.00152</v>
      </c>
      <c r="AF188" s="444" t="n">
        <v>62154.71454</v>
      </c>
      <c r="AG188" s="444" t="n">
        <v>61854.01335</v>
      </c>
      <c r="AH188" s="444" t="n">
        <v>60897.39853</v>
      </c>
      <c r="AI188" s="444" t="n">
        <v>61961.78799</v>
      </c>
      <c r="AJ188" s="444" t="n">
        <v>62725.21335</v>
      </c>
      <c r="AK188" s="444" t="n">
        <v>62579.46453</v>
      </c>
      <c r="AL188" s="444" t="n">
        <v>64402.35802</v>
      </c>
      <c r="AM188" s="444" t="n">
        <v>64679.73423</v>
      </c>
      <c r="AN188" s="444" t="n">
        <v>63848.60518</v>
      </c>
      <c r="AO188" s="444" t="n">
        <v>67326.55875</v>
      </c>
      <c r="AP188" s="444"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2" t="s">
        <v>578</v>
      </c>
      <c r="BC188" s="353"/>
      <c r="BD188" s="353"/>
      <c r="BE188" s="353"/>
      <c r="BF188" s="354" t="n">
        <v>533928.179926968</v>
      </c>
      <c r="BG188" s="354" t="n">
        <v>461288.503273922</v>
      </c>
      <c r="BH188" s="354" t="n">
        <v>486449.997174874</v>
      </c>
      <c r="BI188" s="354" t="n">
        <v>489363.192498927</v>
      </c>
      <c r="BJ188" s="354" t="n">
        <v>931413.493293141</v>
      </c>
      <c r="BK188" s="354" t="n">
        <v>742646.851958237</v>
      </c>
      <c r="BL188" s="354" t="n">
        <v>609312.615012153</v>
      </c>
      <c r="BM188" s="354" t="n">
        <v>627540.207039833</v>
      </c>
      <c r="BN188" s="354" t="n">
        <v>591827.434095971</v>
      </c>
      <c r="BO188" s="354" t="n">
        <v>585178.906707235</v>
      </c>
      <c r="BP188" s="354" t="n">
        <v>609506.749785918</v>
      </c>
      <c r="BQ188" s="355"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0" t="n">
        <v>2006</v>
      </c>
      <c r="AB189" s="440" t="s">
        <v>577</v>
      </c>
      <c r="AC189" s="441"/>
      <c r="AD189" s="442"/>
      <c r="AE189" s="444" t="n">
        <v>65230.45152</v>
      </c>
      <c r="AF189" s="444" t="n">
        <v>64294.09462</v>
      </c>
      <c r="AG189" s="444" t="n">
        <v>70239.97609</v>
      </c>
      <c r="AH189" s="444" t="n">
        <v>66618.06041</v>
      </c>
      <c r="AI189" s="444" t="n">
        <v>71913.64916</v>
      </c>
      <c r="AJ189" s="444" t="n">
        <v>71548.5353</v>
      </c>
      <c r="AK189" s="444" t="n">
        <v>73217.0929</v>
      </c>
      <c r="AL189" s="444" t="n">
        <v>73336.79159</v>
      </c>
      <c r="AM189" s="444" t="n">
        <v>75251.00339</v>
      </c>
      <c r="AN189" s="444" t="n">
        <v>79999.02656</v>
      </c>
      <c r="AO189" s="444" t="n">
        <v>78451.83047</v>
      </c>
      <c r="AP189" s="444"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2" t="s">
        <v>578</v>
      </c>
      <c r="BC189" s="353"/>
      <c r="BD189" s="353"/>
      <c r="BE189" s="353"/>
      <c r="BF189" s="354" t="n">
        <v>652215.413254688</v>
      </c>
      <c r="BG189" s="354" t="n">
        <v>599203.96178407</v>
      </c>
      <c r="BH189" s="354" t="n">
        <v>616688.910705156</v>
      </c>
      <c r="BI189" s="354" t="n">
        <v>681725.423500106</v>
      </c>
      <c r="BJ189" s="354" t="n">
        <v>868203.586660699</v>
      </c>
      <c r="BK189" s="354" t="n">
        <v>837542.733140231</v>
      </c>
      <c r="BL189" s="354" t="n">
        <v>690896.3456113</v>
      </c>
      <c r="BM189" s="354" t="n">
        <v>742599.201540371</v>
      </c>
      <c r="BN189" s="354" t="n">
        <v>748950.579812987</v>
      </c>
      <c r="BO189" s="354" t="n">
        <v>713365.587330868</v>
      </c>
      <c r="BP189" s="354" t="n">
        <v>749877.792265187</v>
      </c>
      <c r="BQ189" s="355"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0" t="n">
        <v>2007</v>
      </c>
      <c r="AB190" s="440" t="s">
        <v>577</v>
      </c>
      <c r="AC190" s="441"/>
      <c r="AD190" s="442"/>
      <c r="AE190" s="444" t="n">
        <v>83002.68572</v>
      </c>
      <c r="AF190" s="444" t="n">
        <v>76129.37394</v>
      </c>
      <c r="AG190" s="444" t="n">
        <v>86483.63344</v>
      </c>
      <c r="AH190" s="444" t="n">
        <v>82472.06167</v>
      </c>
      <c r="AI190" s="444" t="n">
        <v>87390.07543</v>
      </c>
      <c r="AJ190" s="444" t="n">
        <v>86955.33428</v>
      </c>
      <c r="AK190" s="444" t="n">
        <v>89857.27671</v>
      </c>
      <c r="AL190" s="444" t="n">
        <v>91790.67523</v>
      </c>
      <c r="AM190" s="444" t="n">
        <v>90125.94073</v>
      </c>
      <c r="AN190" s="444" t="n">
        <v>96419.78735</v>
      </c>
      <c r="AO190" s="444" t="n">
        <v>96356.81588</v>
      </c>
      <c r="AP190" s="444"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2" t="s">
        <v>578</v>
      </c>
      <c r="BC190" s="353"/>
      <c r="BD190" s="353"/>
      <c r="BE190" s="353"/>
      <c r="BF190" s="354" t="n">
        <v>820563.650279925</v>
      </c>
      <c r="BG190" s="354" t="n">
        <v>758639.807331159</v>
      </c>
      <c r="BH190" s="354" t="n">
        <v>763029.783256119</v>
      </c>
      <c r="BI190" s="354" t="n">
        <v>712317.887546077</v>
      </c>
      <c r="BJ190" s="354" t="n">
        <v>1012182.34192885</v>
      </c>
      <c r="BK190" s="354" t="n">
        <v>1043703.71436364</v>
      </c>
      <c r="BL190" s="354" t="n">
        <v>861496.819284746</v>
      </c>
      <c r="BM190" s="354" t="n">
        <v>939028.717525088</v>
      </c>
      <c r="BN190" s="354" t="n">
        <v>908030.738017924</v>
      </c>
      <c r="BO190" s="354" t="n">
        <v>952806.408738674</v>
      </c>
      <c r="BP190" s="354" t="n">
        <v>995963.293726694</v>
      </c>
      <c r="BQ190" s="355"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0" t="n">
        <v>2008</v>
      </c>
      <c r="AB191" s="440" t="s">
        <v>577</v>
      </c>
      <c r="AC191" s="441"/>
      <c r="AD191" s="442"/>
      <c r="AE191" s="444" t="n">
        <v>103441.82324</v>
      </c>
      <c r="AF191" s="444" t="n">
        <v>101232.85045</v>
      </c>
      <c r="AG191" s="444" t="n">
        <v>97459.2236</v>
      </c>
      <c r="AH191" s="444" t="n">
        <v>111151.40187</v>
      </c>
      <c r="AI191" s="444" t="n">
        <v>112632.82987</v>
      </c>
      <c r="AJ191" s="444" t="n">
        <v>110336.04542</v>
      </c>
      <c r="AK191" s="444" t="n">
        <v>116937.56322</v>
      </c>
      <c r="AL191" s="444" t="n">
        <v>114967.50457</v>
      </c>
      <c r="AM191" s="444" t="n">
        <v>119765.11594</v>
      </c>
      <c r="AN191" s="444" t="n">
        <v>124581.24714</v>
      </c>
      <c r="AO191" s="444" t="n">
        <v>118959.89573</v>
      </c>
      <c r="AP191" s="444"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0.000301568154051918</v>
      </c>
      <c r="AX191" s="130" t="n">
        <f aca="false">IVA!AS191/IVA!CL17</f>
        <v>0.000332532664996586</v>
      </c>
      <c r="AY191" s="130" t="n">
        <f aca="false">IVA!AT191/IVA!CM17</f>
        <v>0.000340278312211323</v>
      </c>
      <c r="AZ191" s="271" t="n">
        <f aca="false">IVA!AU191/IVA!CN17</f>
        <v>0.00131173917048331</v>
      </c>
      <c r="BA191" s="266" t="n">
        <v>2007</v>
      </c>
      <c r="BB191" s="352" t="s">
        <v>578</v>
      </c>
      <c r="BC191" s="353"/>
      <c r="BD191" s="353"/>
      <c r="BE191" s="353"/>
      <c r="BF191" s="354" t="n">
        <v>1028013.855411</v>
      </c>
      <c r="BG191" s="354" t="n">
        <v>948377.814572134</v>
      </c>
      <c r="BH191" s="354" t="n">
        <v>956683.487725148</v>
      </c>
      <c r="BI191" s="354" t="n">
        <v>906210.485215681</v>
      </c>
      <c r="BJ191" s="354" t="n">
        <v>1322303.40288356</v>
      </c>
      <c r="BK191" s="354" t="n">
        <v>1326322.86390086</v>
      </c>
      <c r="BL191" s="354" t="n">
        <v>1197568.52208803</v>
      </c>
      <c r="BM191" s="354" t="n">
        <v>1300969.82044655</v>
      </c>
      <c r="BN191" s="354" t="n">
        <v>1172047.26968994</v>
      </c>
      <c r="BO191" s="354" t="n">
        <v>1231655.28305434</v>
      </c>
      <c r="BP191" s="354" t="n">
        <v>1297351.54301345</v>
      </c>
      <c r="BQ191" s="355"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0" t="n">
        <v>2009</v>
      </c>
      <c r="AB192" s="440" t="s">
        <v>577</v>
      </c>
      <c r="AC192" s="441"/>
      <c r="AD192" s="442"/>
      <c r="AE192" s="444" t="n">
        <v>117296</v>
      </c>
      <c r="AF192" s="444" t="n">
        <v>116404</v>
      </c>
      <c r="AG192" s="444" t="n">
        <v>126784</v>
      </c>
      <c r="AH192" s="444" t="n">
        <v>126093</v>
      </c>
      <c r="AI192" s="444" t="n">
        <v>122163</v>
      </c>
      <c r="AJ192" s="444" t="n">
        <v>133944</v>
      </c>
      <c r="AK192" s="444" t="n">
        <v>131379</v>
      </c>
      <c r="AL192" s="444" t="n">
        <v>129132</v>
      </c>
      <c r="AM192" s="444" t="n">
        <v>133759</v>
      </c>
      <c r="AN192" s="444" t="n">
        <v>136788</v>
      </c>
      <c r="AO192" s="444" t="n">
        <v>135096</v>
      </c>
      <c r="AP192" s="444"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0.000363039068967393</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2" t="s">
        <v>578</v>
      </c>
      <c r="BC192" s="353"/>
      <c r="BD192" s="353"/>
      <c r="BE192" s="353"/>
      <c r="BF192" s="354" t="n">
        <v>1438079.2159072</v>
      </c>
      <c r="BG192" s="354" t="n">
        <v>1304825.81997678</v>
      </c>
      <c r="BH192" s="354" t="n">
        <v>1196084.91635768</v>
      </c>
      <c r="BI192" s="354" t="n">
        <v>1327003.00105675</v>
      </c>
      <c r="BJ192" s="354" t="n">
        <v>1574338.31465181</v>
      </c>
      <c r="BK192" s="354" t="n">
        <v>1673540.92098049</v>
      </c>
      <c r="BL192" s="354" t="n">
        <v>1531428.45962146</v>
      </c>
      <c r="BM192" s="354" t="n">
        <v>1582790.55186553</v>
      </c>
      <c r="BN192" s="354" t="n">
        <v>1552151.92689804</v>
      </c>
      <c r="BO192" s="354" t="n">
        <v>1575972.94403125</v>
      </c>
      <c r="BP192" s="354" t="n">
        <v>1473314.21885603</v>
      </c>
      <c r="BQ192" s="355"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0" t="n">
        <v>2010</v>
      </c>
      <c r="AB193" s="440" t="s">
        <v>577</v>
      </c>
      <c r="AC193" s="441"/>
      <c r="AD193" s="442"/>
      <c r="AE193" s="444" t="n">
        <v>134036</v>
      </c>
      <c r="AF193" s="444" t="n">
        <v>149528</v>
      </c>
      <c r="AG193" s="444" t="n">
        <v>158863</v>
      </c>
      <c r="AH193" s="444" t="n">
        <v>158725</v>
      </c>
      <c r="AI193" s="444" t="n">
        <v>155064</v>
      </c>
      <c r="AJ193" s="444" t="n">
        <v>178645</v>
      </c>
      <c r="AK193" s="444" t="n">
        <v>181376</v>
      </c>
      <c r="AL193" s="444" t="n">
        <v>183462</v>
      </c>
      <c r="AM193" s="444" t="n">
        <v>185513</v>
      </c>
      <c r="AN193" s="444" t="n">
        <v>196458</v>
      </c>
      <c r="AO193" s="444" t="n">
        <v>204328</v>
      </c>
      <c r="AP193" s="444"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2" t="s">
        <v>578</v>
      </c>
      <c r="BC193" s="353"/>
      <c r="BD193" s="353"/>
      <c r="BE193" s="353"/>
      <c r="BF193" s="354" t="n">
        <v>1445045.9834425</v>
      </c>
      <c r="BG193" s="354" t="n">
        <v>1436980.74655</v>
      </c>
      <c r="BH193" s="354" t="n">
        <v>1381116.8112325</v>
      </c>
      <c r="BI193" s="354" t="n">
        <v>1393846.384045</v>
      </c>
      <c r="BJ193" s="354" t="n">
        <v>1709013.790495</v>
      </c>
      <c r="BK193" s="354" t="n">
        <v>1730646.9936475</v>
      </c>
      <c r="BL193" s="354" t="n">
        <v>1631168.954305</v>
      </c>
      <c r="BM193" s="354" t="n">
        <v>1625781.4153825</v>
      </c>
      <c r="BN193" s="354" t="n">
        <v>1647746.5222525</v>
      </c>
      <c r="BO193" s="354" t="n">
        <v>1672419.87076</v>
      </c>
      <c r="BP193" s="354" t="n">
        <v>1659951.2058025</v>
      </c>
      <c r="BQ193" s="355"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0" t="n">
        <v>2011</v>
      </c>
      <c r="AB194" s="440" t="s">
        <v>577</v>
      </c>
      <c r="AC194" s="441"/>
      <c r="AD194" s="442"/>
      <c r="AE194" s="444" t="n">
        <v>209780</v>
      </c>
      <c r="AF194" s="444" t="n">
        <v>209049</v>
      </c>
      <c r="AG194" s="444" t="n">
        <v>244707</v>
      </c>
      <c r="AH194" s="444" t="n">
        <v>229787</v>
      </c>
      <c r="AI194" s="444" t="n">
        <v>242926</v>
      </c>
      <c r="AJ194" s="444" t="n">
        <v>251991</v>
      </c>
      <c r="AK194" s="444" t="n">
        <v>254610</v>
      </c>
      <c r="AL194" s="444" t="n">
        <v>257389</v>
      </c>
      <c r="AM194" s="444" t="n">
        <v>255929</v>
      </c>
      <c r="AN194" s="444" t="n">
        <v>274366</v>
      </c>
      <c r="AO194" s="444" t="n">
        <v>274776</v>
      </c>
      <c r="AP194" s="444"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2" t="s">
        <v>578</v>
      </c>
      <c r="BC194" s="353"/>
      <c r="BD194" s="353"/>
      <c r="BE194" s="353"/>
      <c r="BF194" s="354" t="n">
        <v>1805770.0131475</v>
      </c>
      <c r="BG194" s="354" t="n">
        <v>1774488.2145625</v>
      </c>
      <c r="BH194" s="354" t="n">
        <v>1784196.191785</v>
      </c>
      <c r="BI194" s="354" t="n">
        <v>1824133.641505</v>
      </c>
      <c r="BJ194" s="354" t="n">
        <v>2536611.3381025</v>
      </c>
      <c r="BK194" s="354" t="n">
        <v>2442775.7508925</v>
      </c>
      <c r="BL194" s="354" t="n">
        <v>2197719.593965</v>
      </c>
      <c r="BM194" s="354" t="n">
        <v>2191343.8695325</v>
      </c>
      <c r="BN194" s="354" t="n">
        <v>2233377.8753575</v>
      </c>
      <c r="BO194" s="354" t="n">
        <v>2194574.3061325</v>
      </c>
      <c r="BP194" s="354" t="n">
        <v>2294261.9768275</v>
      </c>
      <c r="BQ194" s="355"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5" t="n">
        <v>2012</v>
      </c>
      <c r="AB195" s="445" t="s">
        <v>577</v>
      </c>
      <c r="AC195" s="446"/>
      <c r="AD195" s="447"/>
      <c r="AE195" s="448" t="n">
        <v>273341.44426</v>
      </c>
      <c r="AF195" s="448" t="n">
        <v>279927.56939</v>
      </c>
      <c r="AG195" s="448" t="n">
        <v>295038.89729</v>
      </c>
      <c r="AH195" s="448" t="n">
        <v>282400.76403</v>
      </c>
      <c r="AI195" s="448" t="n">
        <v>318640.95756</v>
      </c>
      <c r="AJ195" s="448" t="n">
        <v>319567.68857</v>
      </c>
      <c r="AK195" s="448" t="n">
        <v>334244.78108</v>
      </c>
      <c r="AL195" s="448" t="n">
        <v>340804.5229</v>
      </c>
      <c r="AM195" s="448" t="n">
        <v>323919.69611</v>
      </c>
      <c r="AN195" s="448" t="n">
        <v>365869.00488</v>
      </c>
      <c r="AO195" s="448" t="n">
        <v>344468.99655</v>
      </c>
      <c r="AP195" s="448" t="n">
        <v>346883.15965</v>
      </c>
      <c r="AQ195" s="326" t="n">
        <f aca="false">IVA!AE195+IVA!AF195+IVA!AG195</f>
        <v>848307.91094</v>
      </c>
      <c r="AR195" s="326" t="n">
        <f aca="false">IVA!AH195+IVA!AI195+IVA!AJ195</f>
        <v>920609.41016</v>
      </c>
      <c r="AS195" s="326" t="n">
        <f aca="false">IVA!AK195+IVA!AL195+IVA!AM195</f>
        <v>998969.00009</v>
      </c>
      <c r="AT195" s="326"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2" t="s">
        <v>578</v>
      </c>
      <c r="BC195" s="353"/>
      <c r="BD195" s="353"/>
      <c r="BE195" s="353"/>
      <c r="BF195" s="354" t="n">
        <v>2552881.9799575</v>
      </c>
      <c r="BG195" s="354" t="n">
        <v>2360030.52325</v>
      </c>
      <c r="BH195" s="354" t="n">
        <v>2402572.46443</v>
      </c>
      <c r="BI195" s="354" t="n">
        <v>2466878.5434775</v>
      </c>
      <c r="BJ195" s="354" t="n">
        <v>3369507.8276575</v>
      </c>
      <c r="BK195" s="354" t="n">
        <v>3202366.9154575</v>
      </c>
      <c r="BL195" s="354" t="n">
        <v>2893070.8723525</v>
      </c>
      <c r="BM195" s="354" t="n">
        <v>2973146.28802</v>
      </c>
      <c r="BN195" s="354" t="n">
        <v>3067436.3680825</v>
      </c>
      <c r="BO195" s="354" t="n">
        <v>2910988.881805</v>
      </c>
      <c r="BP195" s="354" t="n">
        <v>3213724.3972075</v>
      </c>
      <c r="BQ195" s="355"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0" t="n">
        <v>2010</v>
      </c>
      <c r="AB196" s="440" t="s">
        <v>579</v>
      </c>
      <c r="AC196" s="441"/>
      <c r="AD196" s="442"/>
      <c r="AE196" s="444" t="n">
        <f aca="false">IVA!AE193*0.7</f>
        <v>93825.2</v>
      </c>
      <c r="AF196" s="444" t="n">
        <f aca="false">IVA!AF193*0.7</f>
        <v>104669.6</v>
      </c>
      <c r="AG196" s="444" t="n">
        <f aca="false">IVA!AG193*0.7</f>
        <v>111204.1</v>
      </c>
      <c r="AH196" s="444" t="n">
        <f aca="false">IVA!AH193*0.7</f>
        <v>111107.5</v>
      </c>
      <c r="AI196" s="444" t="n">
        <f aca="false">IVA!AI193*0.7</f>
        <v>108544.8</v>
      </c>
      <c r="AJ196" s="444" t="n">
        <f aca="false">IVA!AJ193*0.7</f>
        <v>125051.5</v>
      </c>
      <c r="AK196" s="444" t="n">
        <f aca="false">IVA!AK193*0.7</f>
        <v>126963.2</v>
      </c>
      <c r="AL196" s="444" t="n">
        <f aca="false">IVA!AL193*0.7</f>
        <v>128423.4</v>
      </c>
      <c r="AM196" s="444" t="n">
        <f aca="false">IVA!AM193*0.7</f>
        <v>129859.1</v>
      </c>
      <c r="AN196" s="444" t="n">
        <f aca="false">IVA!AN193*0.7</f>
        <v>137520.6</v>
      </c>
      <c r="AO196" s="444" t="n">
        <f aca="false">IVA!AO193*0.7</f>
        <v>143029.6</v>
      </c>
      <c r="AP196" s="444"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1" t="s">
        <v>578</v>
      </c>
      <c r="BC196" s="362"/>
      <c r="BD196" s="362"/>
      <c r="BE196" s="362"/>
      <c r="BF196" s="363" t="n">
        <v>3262410.17615194</v>
      </c>
      <c r="BG196" s="363" t="n">
        <v>2993553.09013994</v>
      </c>
      <c r="BH196" s="363" t="n">
        <v>2913130.15551465</v>
      </c>
      <c r="BI196" s="363" t="n">
        <v>2897059.54598095</v>
      </c>
      <c r="BJ196" s="363" t="n">
        <v>3870962.29541836</v>
      </c>
      <c r="BK196" s="363" t="n">
        <v>3934984.39774302</v>
      </c>
      <c r="BL196" s="363" t="n">
        <v>3462250.73855914</v>
      </c>
      <c r="BM196" s="363" t="n">
        <v>3800547.83121923</v>
      </c>
      <c r="BN196" s="363" t="n">
        <v>3653657.01325321</v>
      </c>
      <c r="BO196" s="363" t="n">
        <v>3905951.66247366</v>
      </c>
      <c r="BP196" s="363" t="n">
        <v>4096931.15876352</v>
      </c>
      <c r="BQ196" s="364"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0" t="n">
        <v>2011</v>
      </c>
      <c r="AB197" s="440" t="s">
        <v>579</v>
      </c>
      <c r="AC197" s="441"/>
      <c r="AD197" s="442"/>
      <c r="AE197" s="444" t="n">
        <f aca="false">IVA!AE194*0.7</f>
        <v>146846</v>
      </c>
      <c r="AF197" s="444" t="n">
        <f aca="false">IVA!AF194*0.7</f>
        <v>146334.3</v>
      </c>
      <c r="AG197" s="444" t="n">
        <f aca="false">IVA!AG194*0.7</f>
        <v>171294.9</v>
      </c>
      <c r="AH197" s="444" t="n">
        <f aca="false">IVA!AH194*0.7</f>
        <v>160850.9</v>
      </c>
      <c r="AI197" s="444" t="n">
        <f aca="false">IVA!AI194*0.7</f>
        <v>170048.2</v>
      </c>
      <c r="AJ197" s="444" t="n">
        <f aca="false">IVA!AJ194*0.7</f>
        <v>176393.7</v>
      </c>
      <c r="AK197" s="444" t="n">
        <f aca="false">IVA!AK194*0.7</f>
        <v>178227</v>
      </c>
      <c r="AL197" s="444" t="n">
        <f aca="false">IVA!AL194*0.7</f>
        <v>180172.3</v>
      </c>
      <c r="AM197" s="444" t="n">
        <f aca="false">IVA!AM194*0.7</f>
        <v>179150.3</v>
      </c>
      <c r="AN197" s="444" t="n">
        <f aca="false">IVA!AN194*0.7</f>
        <v>192056.2</v>
      </c>
      <c r="AO197" s="444" t="n">
        <f aca="false">IVA!AO194*0.7</f>
        <v>192343.2</v>
      </c>
      <c r="AP197" s="444"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5" t="n">
        <v>2012</v>
      </c>
      <c r="AB198" s="445" t="s">
        <v>579</v>
      </c>
      <c r="AC198" s="446"/>
      <c r="AD198" s="447"/>
      <c r="AE198" s="448" t="n">
        <f aca="false">IVA!AE195*0.7</f>
        <v>191339.010982</v>
      </c>
      <c r="AF198" s="448" t="n">
        <f aca="false">IVA!AF195*0.7</f>
        <v>195949.298573</v>
      </c>
      <c r="AG198" s="448" t="n">
        <f aca="false">IVA!AG195*0.7</f>
        <v>206527.228103</v>
      </c>
      <c r="AH198" s="448" t="n">
        <f aca="false">IVA!AH195*0.7</f>
        <v>197680.534821</v>
      </c>
      <c r="AI198" s="448" t="n">
        <f aca="false">IVA!AI195*0.7</f>
        <v>223048.670292</v>
      </c>
      <c r="AJ198" s="448" t="n">
        <f aca="false">IVA!AJ195*0.7</f>
        <v>223697.381999</v>
      </c>
      <c r="AK198" s="448" t="n">
        <f aca="false">IVA!AK195*0.7</f>
        <v>233971.346756</v>
      </c>
      <c r="AL198" s="448" t="n">
        <f aca="false">IVA!AL195*0.7</f>
        <v>238563.16603</v>
      </c>
      <c r="AM198" s="448" t="n">
        <f aca="false">IVA!AM195*0.7</f>
        <v>226743.787277</v>
      </c>
      <c r="AN198" s="448" t="n">
        <f aca="false">IVA!AN195*0.7</f>
        <v>256108.303416</v>
      </c>
      <c r="AO198" s="448" t="n">
        <f aca="false">IVA!AO195*0.7</f>
        <v>241128.297585</v>
      </c>
      <c r="AP198" s="448" t="n">
        <f aca="false">IVA!AP195*0.7</f>
        <v>242818.211755</v>
      </c>
      <c r="AQ198" s="326" t="n">
        <f aca="false">IVA!AE198+IVA!AF198+IVA!AG198</f>
        <v>593815.537658</v>
      </c>
      <c r="AR198" s="326" t="n">
        <f aca="false">IVA!AH198+IVA!AI198+IVA!AJ198</f>
        <v>644426.587112</v>
      </c>
      <c r="AS198" s="326" t="n">
        <f aca="false">IVA!AK198+IVA!AL198+IVA!AM198</f>
        <v>699278.300063</v>
      </c>
      <c r="AT198" s="326"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49" t="n">
        <v>1996</v>
      </c>
      <c r="AB199" s="449" t="s">
        <v>580</v>
      </c>
      <c r="AC199" s="450"/>
      <c r="AD199" s="451"/>
      <c r="AE199" s="452"/>
      <c r="AF199" s="452"/>
      <c r="AG199" s="452"/>
      <c r="AH199" s="452"/>
      <c r="AI199" s="452"/>
      <c r="AJ199" s="452"/>
      <c r="AK199" s="452"/>
      <c r="AL199" s="452"/>
      <c r="AM199" s="452"/>
      <c r="AN199" s="452"/>
      <c r="AO199" s="452"/>
      <c r="AP199" s="452"/>
      <c r="AQ199" s="155"/>
      <c r="AR199" s="155"/>
      <c r="AS199" s="155"/>
      <c r="AT199" s="155"/>
      <c r="AU199" s="129"/>
      <c r="AV199" s="252"/>
      <c r="AW199" s="252"/>
      <c r="AX199" s="252"/>
      <c r="AY199" s="252"/>
      <c r="AZ199" s="296"/>
      <c r="BT199" s="453" t="n">
        <v>41227500</v>
      </c>
      <c r="BW199" s="138"/>
      <c r="BX199" s="139"/>
      <c r="BY199" s="138"/>
      <c r="BZ199" s="138"/>
      <c r="CA199" s="273"/>
    </row>
    <row r="200" customFormat="false" ht="12.75" hidden="false" customHeight="true" outlineLevel="0" collapsed="false">
      <c r="AA200" s="449" t="n">
        <v>1997</v>
      </c>
      <c r="AB200" s="449" t="s">
        <v>580</v>
      </c>
      <c r="AC200" s="450"/>
      <c r="AD200" s="451"/>
      <c r="AE200" s="452" t="n">
        <v>772289</v>
      </c>
      <c r="AF200" s="452" t="n">
        <v>562182</v>
      </c>
      <c r="AG200" s="452" t="n">
        <v>487093</v>
      </c>
      <c r="AH200" s="452" t="n">
        <v>527773</v>
      </c>
      <c r="AI200" s="452" t="n">
        <v>553766</v>
      </c>
      <c r="AJ200" s="452" t="n">
        <v>547379</v>
      </c>
      <c r="AK200" s="452" t="n">
        <v>798855</v>
      </c>
      <c r="AL200" s="452" t="n">
        <v>548101</v>
      </c>
      <c r="AM200" s="452" t="n">
        <v>571349</v>
      </c>
      <c r="AN200" s="452" t="n">
        <v>569243</v>
      </c>
      <c r="AO200" s="452" t="n">
        <v>570830</v>
      </c>
      <c r="AP200" s="452"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49" t="n">
        <v>1998</v>
      </c>
      <c r="AB201" s="449" t="s">
        <v>580</v>
      </c>
      <c r="AC201" s="450"/>
      <c r="AD201" s="451"/>
      <c r="AE201" s="452" t="n">
        <v>852262</v>
      </c>
      <c r="AF201" s="452" t="n">
        <v>618550</v>
      </c>
      <c r="AG201" s="452" t="n">
        <v>572149</v>
      </c>
      <c r="AH201" s="452" t="n">
        <v>577052</v>
      </c>
      <c r="AI201" s="452" t="n">
        <v>606386</v>
      </c>
      <c r="AJ201" s="452" t="n">
        <v>654121</v>
      </c>
      <c r="AK201" s="452" t="n">
        <v>883191</v>
      </c>
      <c r="AL201" s="452" t="n">
        <v>618691</v>
      </c>
      <c r="AM201" s="452" t="n">
        <v>601367</v>
      </c>
      <c r="AN201" s="452" t="n">
        <v>628439</v>
      </c>
      <c r="AO201" s="452" t="n">
        <v>600813</v>
      </c>
      <c r="AP201" s="452"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4"/>
      <c r="BB201" s="455" t="s">
        <v>581</v>
      </c>
      <c r="BS201" s="1" t="n">
        <v>41682.1</v>
      </c>
      <c r="BT201" s="1" t="n">
        <f aca="false">IVA!BS201*1000</f>
        <v>41682100</v>
      </c>
      <c r="BV201" s="456" t="n">
        <f aca="false">IVA!BV200/IVA!BV179</f>
        <v>0.594751114121435</v>
      </c>
      <c r="BW201" s="138"/>
      <c r="BX201" s="139"/>
      <c r="BY201" s="138"/>
      <c r="BZ201" s="138"/>
      <c r="CA201" s="273"/>
    </row>
    <row r="202" customFormat="false" ht="12.75" hidden="false" customHeight="true" outlineLevel="0" collapsed="false">
      <c r="AA202" s="449" t="n">
        <v>1999</v>
      </c>
      <c r="AB202" s="449" t="s">
        <v>580</v>
      </c>
      <c r="AC202" s="450"/>
      <c r="AD202" s="451"/>
      <c r="AE202" s="457" t="n">
        <v>907824</v>
      </c>
      <c r="AF202" s="457" t="n">
        <v>591143</v>
      </c>
      <c r="AG202" s="457" t="n">
        <v>570350</v>
      </c>
      <c r="AH202" s="457" t="n">
        <v>544836</v>
      </c>
      <c r="AI202" s="457" t="n">
        <v>516740</v>
      </c>
      <c r="AJ202" s="457" t="n">
        <v>517111</v>
      </c>
      <c r="AK202" s="457" t="n">
        <v>766967</v>
      </c>
      <c r="AL202" s="457" t="n">
        <v>520456</v>
      </c>
      <c r="AM202" s="457" t="n">
        <v>515935</v>
      </c>
      <c r="AN202" s="457" t="n">
        <v>435430</v>
      </c>
      <c r="AO202" s="457" t="n">
        <v>518698</v>
      </c>
      <c r="AP202" s="457"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4"/>
      <c r="BB202" s="455" t="s">
        <v>582</v>
      </c>
      <c r="BE202" s="458" t="n">
        <v>10062.3</v>
      </c>
      <c r="BU202" s="312" t="n">
        <v>221564.787400594</v>
      </c>
      <c r="BW202" s="138"/>
      <c r="BX202" s="139"/>
      <c r="BY202" s="138"/>
      <c r="BZ202" s="138"/>
      <c r="CA202" s="273"/>
    </row>
    <row r="203" customFormat="false" ht="12.75" hidden="false" customHeight="true" outlineLevel="0" collapsed="false">
      <c r="AA203" s="449" t="n">
        <v>1996</v>
      </c>
      <c r="AB203" s="449" t="s">
        <v>583</v>
      </c>
      <c r="AC203" s="450"/>
      <c r="AD203" s="451"/>
      <c r="AE203" s="459" t="n">
        <v>14681</v>
      </c>
      <c r="AF203" s="459" t="n">
        <v>13055</v>
      </c>
      <c r="AG203" s="459" t="n">
        <v>13465</v>
      </c>
      <c r="AH203" s="459" t="n">
        <v>16311</v>
      </c>
      <c r="AI203" s="459" t="n">
        <v>13696</v>
      </c>
      <c r="AJ203" s="459" t="n">
        <v>13999</v>
      </c>
      <c r="AK203" s="459" t="n">
        <v>14532</v>
      </c>
      <c r="AL203" s="459" t="n">
        <v>15344</v>
      </c>
      <c r="AM203" s="459" t="n">
        <v>14864</v>
      </c>
      <c r="AN203" s="459" t="n">
        <v>16107</v>
      </c>
      <c r="AO203" s="459" t="n">
        <v>14450</v>
      </c>
      <c r="AP203" s="459"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4"/>
      <c r="BW203" s="138"/>
      <c r="BX203" s="139"/>
      <c r="BY203" s="138"/>
      <c r="BZ203" s="138"/>
      <c r="CA203" s="273"/>
    </row>
    <row r="204" customFormat="false" ht="12.75" hidden="false" customHeight="true" outlineLevel="0" collapsed="false">
      <c r="AA204" s="449" t="n">
        <v>1997</v>
      </c>
      <c r="AB204" s="449" t="s">
        <v>583</v>
      </c>
      <c r="AC204" s="450"/>
      <c r="AD204" s="451"/>
      <c r="AE204" s="459" t="n">
        <v>50875</v>
      </c>
      <c r="AF204" s="459" t="n">
        <v>36219</v>
      </c>
      <c r="AG204" s="459" t="n">
        <v>34731</v>
      </c>
      <c r="AH204" s="459" t="n">
        <v>37501</v>
      </c>
      <c r="AI204" s="459" t="n">
        <v>34192</v>
      </c>
      <c r="AJ204" s="459" t="n">
        <v>31927</v>
      </c>
      <c r="AK204" s="459" t="n">
        <v>32760</v>
      </c>
      <c r="AL204" s="459" t="n">
        <v>30897</v>
      </c>
      <c r="AM204" s="459" t="n">
        <v>30468</v>
      </c>
      <c r="AN204" s="459" t="n">
        <v>29537</v>
      </c>
      <c r="AO204" s="459" t="n">
        <v>26046</v>
      </c>
      <c r="AP204" s="459"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4"/>
      <c r="BW204" s="138"/>
      <c r="BX204" s="139"/>
      <c r="BY204" s="138"/>
      <c r="BZ204" s="138"/>
      <c r="CA204" s="273"/>
    </row>
    <row r="205" customFormat="false" ht="12.75" hidden="false" customHeight="true" outlineLevel="0" collapsed="false">
      <c r="AA205" s="449" t="n">
        <v>1998</v>
      </c>
      <c r="AB205" s="449" t="s">
        <v>583</v>
      </c>
      <c r="AC205" s="450"/>
      <c r="AD205" s="451"/>
      <c r="AE205" s="459" t="n">
        <v>26926</v>
      </c>
      <c r="AF205" s="459" t="n">
        <v>23137</v>
      </c>
      <c r="AG205" s="459" t="n">
        <v>24485</v>
      </c>
      <c r="AH205" s="459" t="n">
        <v>22275</v>
      </c>
      <c r="AI205" s="459" t="n">
        <v>14736</v>
      </c>
      <c r="AJ205" s="459" t="n">
        <v>10457</v>
      </c>
      <c r="AK205" s="459" t="n">
        <v>9372</v>
      </c>
      <c r="AL205" s="459" t="n">
        <v>8578</v>
      </c>
      <c r="AM205" s="459" t="n">
        <v>8683</v>
      </c>
      <c r="AN205" s="459" t="n">
        <v>8076</v>
      </c>
      <c r="AO205" s="459" t="n">
        <v>7997</v>
      </c>
      <c r="AP205" s="459"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4"/>
      <c r="BQ205" s="460" t="s">
        <v>584</v>
      </c>
      <c r="BW205" s="138"/>
      <c r="BX205" s="139"/>
      <c r="BY205" s="138"/>
      <c r="BZ205" s="138"/>
      <c r="CA205" s="273"/>
    </row>
    <row r="206" customFormat="false" ht="12.75" hidden="false" customHeight="true" outlineLevel="0" collapsed="false">
      <c r="AA206" s="449" t="n">
        <v>1999</v>
      </c>
      <c r="AB206" s="449" t="s">
        <v>583</v>
      </c>
      <c r="AC206" s="450"/>
      <c r="AD206" s="451"/>
      <c r="AE206" s="461" t="n">
        <v>6512</v>
      </c>
      <c r="AF206" s="461" t="n">
        <v>7013</v>
      </c>
      <c r="AG206" s="461" t="n">
        <v>6949</v>
      </c>
      <c r="AH206" s="461" t="n">
        <v>5550</v>
      </c>
      <c r="AI206" s="461" t="n">
        <v>5012</v>
      </c>
      <c r="AJ206" s="461" t="n">
        <v>3247</v>
      </c>
      <c r="AK206" s="461" t="n">
        <v>2388</v>
      </c>
      <c r="AL206" s="461" t="n">
        <v>2259</v>
      </c>
      <c r="AM206" s="461" t="n">
        <v>2189</v>
      </c>
      <c r="AN206" s="461" t="n">
        <v>2262</v>
      </c>
      <c r="AO206" s="461" t="n">
        <v>1868</v>
      </c>
      <c r="AP206" s="461"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4"/>
      <c r="BW206" s="138"/>
      <c r="BX206" s="139"/>
      <c r="BY206" s="138"/>
      <c r="BZ206" s="138"/>
      <c r="CA206" s="273"/>
    </row>
    <row r="207" customFormat="false" ht="12.75" hidden="false" customHeight="true" outlineLevel="0" collapsed="false">
      <c r="AA207" s="449" t="n">
        <v>1996</v>
      </c>
      <c r="AB207" s="449" t="s">
        <v>585</v>
      </c>
      <c r="AC207" s="450"/>
      <c r="AD207" s="451"/>
      <c r="AE207" s="459" t="n">
        <v>12907</v>
      </c>
      <c r="AF207" s="459" t="n">
        <v>12333</v>
      </c>
      <c r="AG207" s="459" t="n">
        <v>11564</v>
      </c>
      <c r="AH207" s="459" t="n">
        <v>12755</v>
      </c>
      <c r="AI207" s="459" t="n">
        <v>14422</v>
      </c>
      <c r="AJ207" s="459" t="n">
        <v>12228</v>
      </c>
      <c r="AK207" s="459" t="n">
        <v>11087</v>
      </c>
      <c r="AL207" s="459" t="n">
        <v>12324</v>
      </c>
      <c r="AM207" s="459" t="n">
        <v>10223</v>
      </c>
      <c r="AN207" s="459" t="n">
        <v>13405</v>
      </c>
      <c r="AO207" s="459" t="n">
        <v>14765</v>
      </c>
      <c r="AP207" s="459"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4"/>
      <c r="BW207" s="138"/>
      <c r="BX207" s="139"/>
      <c r="BY207" s="138"/>
      <c r="BZ207" s="138"/>
      <c r="CA207" s="273"/>
    </row>
    <row r="208" customFormat="false" ht="12.75" hidden="false" customHeight="true" outlineLevel="0" collapsed="false">
      <c r="AA208" s="449" t="n">
        <v>1997</v>
      </c>
      <c r="AB208" s="449" t="s">
        <v>585</v>
      </c>
      <c r="AC208" s="450"/>
      <c r="AD208" s="451"/>
      <c r="AE208" s="459" t="n">
        <v>14681</v>
      </c>
      <c r="AF208" s="459" t="n">
        <v>13055</v>
      </c>
      <c r="AG208" s="459" t="n">
        <v>13465</v>
      </c>
      <c r="AH208" s="459" t="n">
        <v>16311</v>
      </c>
      <c r="AI208" s="459" t="n">
        <v>13696</v>
      </c>
      <c r="AJ208" s="459" t="n">
        <v>13999</v>
      </c>
      <c r="AK208" s="459" t="n">
        <v>14532</v>
      </c>
      <c r="AL208" s="459" t="n">
        <v>15344</v>
      </c>
      <c r="AM208" s="459" t="n">
        <v>14864</v>
      </c>
      <c r="AN208" s="459" t="n">
        <v>16107</v>
      </c>
      <c r="AO208" s="459" t="n">
        <v>14450</v>
      </c>
      <c r="AP208" s="459"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4"/>
      <c r="BW208" s="138"/>
      <c r="BX208" s="139"/>
      <c r="BY208" s="138"/>
      <c r="BZ208" s="138"/>
      <c r="CA208" s="273"/>
    </row>
    <row r="209" customFormat="false" ht="12.75" hidden="false" customHeight="true" outlineLevel="0" collapsed="false">
      <c r="AA209" s="449" t="n">
        <v>1998</v>
      </c>
      <c r="AB209" s="449" t="s">
        <v>585</v>
      </c>
      <c r="AC209" s="450"/>
      <c r="AD209" s="451"/>
      <c r="AE209" s="459" t="n">
        <v>14192</v>
      </c>
      <c r="AF209" s="459" t="n">
        <v>13251</v>
      </c>
      <c r="AG209" s="459" t="n">
        <v>14180</v>
      </c>
      <c r="AH209" s="459" t="n">
        <v>13722</v>
      </c>
      <c r="AI209" s="459" t="n">
        <v>14717</v>
      </c>
      <c r="AJ209" s="459" t="n">
        <v>13747</v>
      </c>
      <c r="AK209" s="459" t="n">
        <v>15700</v>
      </c>
      <c r="AL209" s="459" t="n">
        <v>14107</v>
      </c>
      <c r="AM209" s="459" t="n">
        <v>15391</v>
      </c>
      <c r="AN209" s="459" t="n">
        <v>15627</v>
      </c>
      <c r="AO209" s="459" t="n">
        <v>16510</v>
      </c>
      <c r="AP209" s="459"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4"/>
      <c r="BW209" s="138"/>
      <c r="BX209" s="139"/>
      <c r="BY209" s="138"/>
      <c r="BZ209" s="138"/>
      <c r="CA209" s="273"/>
    </row>
    <row r="210" customFormat="false" ht="12.75" hidden="false" customHeight="true" outlineLevel="0" collapsed="false">
      <c r="AA210" s="462" t="n">
        <v>1999</v>
      </c>
      <c r="AB210" s="462" t="s">
        <v>585</v>
      </c>
      <c r="AC210" s="463"/>
      <c r="AD210" s="464"/>
      <c r="AE210" s="465" t="n">
        <v>16102</v>
      </c>
      <c r="AF210" s="465" t="n">
        <v>14939</v>
      </c>
      <c r="AG210" s="465" t="n">
        <v>14886</v>
      </c>
      <c r="AH210" s="465" t="n">
        <v>16444</v>
      </c>
      <c r="AI210" s="465" t="n">
        <v>15859</v>
      </c>
      <c r="AJ210" s="465" t="n">
        <v>15563</v>
      </c>
      <c r="AK210" s="465" t="n">
        <v>16309</v>
      </c>
      <c r="AL210" s="465" t="n">
        <v>15447</v>
      </c>
      <c r="AM210" s="465" t="n">
        <v>15797</v>
      </c>
      <c r="AN210" s="465" t="n">
        <v>15212</v>
      </c>
      <c r="AO210" s="465" t="n">
        <v>14141</v>
      </c>
      <c r="AP210" s="465" t="n">
        <v>8166</v>
      </c>
      <c r="AQ210" s="326" t="n">
        <f aca="false">IVA!AE210+IVA!AF210+IVA!AG210</f>
        <v>45927</v>
      </c>
      <c r="AR210" s="326" t="n">
        <f aca="false">IVA!AH210+IVA!AI210+IVA!AJ210</f>
        <v>47866</v>
      </c>
      <c r="AS210" s="326" t="n">
        <f aca="false">IVA!AK210+IVA!AL210+IVA!AM210</f>
        <v>47553</v>
      </c>
      <c r="AT210" s="326"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0.000166801700645769</v>
      </c>
      <c r="AY210" s="252" t="n">
        <f aca="false">IVA!AT210/IVA!CM8</f>
        <v>0.000129631177836083</v>
      </c>
      <c r="AZ210" s="296" t="n">
        <f aca="false">IVA!AU210/IVA!CN8</f>
        <v>0.000630865872861851</v>
      </c>
      <c r="BA210" s="454"/>
      <c r="BW210" s="138"/>
      <c r="BX210" s="139"/>
      <c r="BY210" s="138"/>
      <c r="BZ210" s="138"/>
      <c r="CA210" s="273"/>
    </row>
    <row r="211" customFormat="false" ht="12.75" hidden="false" customHeight="true" outlineLevel="0" collapsed="false">
      <c r="AA211" s="462"/>
      <c r="AB211" s="462"/>
      <c r="AC211" s="463"/>
      <c r="AD211" s="464"/>
      <c r="AE211" s="465"/>
      <c r="AF211" s="465"/>
      <c r="AG211" s="465"/>
      <c r="AH211" s="465"/>
      <c r="AI211" s="465"/>
      <c r="AJ211" s="465"/>
      <c r="AK211" s="465"/>
      <c r="AL211" s="465"/>
      <c r="AM211" s="465"/>
      <c r="AN211" s="465"/>
      <c r="AO211" s="465"/>
      <c r="AP211" s="465"/>
      <c r="AQ211" s="326"/>
      <c r="AR211" s="326"/>
      <c r="AS211" s="326"/>
      <c r="AT211" s="326"/>
      <c r="AU211" s="250"/>
      <c r="AV211" s="252"/>
      <c r="AW211" s="252"/>
      <c r="AX211" s="252"/>
      <c r="AY211" s="252"/>
      <c r="AZ211" s="296"/>
      <c r="BA211" s="454"/>
      <c r="BW211" s="138"/>
      <c r="BX211" s="139"/>
      <c r="BY211" s="138"/>
      <c r="BZ211" s="138"/>
      <c r="CA211" s="273"/>
    </row>
    <row r="212" customFormat="false" ht="12.75" hidden="false" customHeight="true" outlineLevel="0" collapsed="false">
      <c r="AA212" s="404" t="n">
        <v>1997</v>
      </c>
      <c r="AB212" s="404" t="s">
        <v>586</v>
      </c>
      <c r="AC212" s="405"/>
      <c r="AD212" s="406"/>
      <c r="AE212" s="466" t="n">
        <f aca="false">IVA!AE200+IVA!AE204+IVA!AE208</f>
        <v>837845</v>
      </c>
      <c r="AF212" s="466" t="n">
        <f aca="false">IVA!AF200+IVA!AF204+IVA!AF208</f>
        <v>611456</v>
      </c>
      <c r="AG212" s="466" t="n">
        <f aca="false">IVA!AG200+IVA!AG204+IVA!AG208</f>
        <v>535289</v>
      </c>
      <c r="AH212" s="466" t="n">
        <f aca="false">IVA!AH200+IVA!AH204+IVA!AH208</f>
        <v>581585</v>
      </c>
      <c r="AI212" s="466" t="n">
        <f aca="false">IVA!AI200+IVA!AI204+IVA!AI208</f>
        <v>601654</v>
      </c>
      <c r="AJ212" s="466" t="n">
        <f aca="false">IVA!AJ200+IVA!AJ204+IVA!AJ208</f>
        <v>593305</v>
      </c>
      <c r="AK212" s="466" t="n">
        <f aca="false">IVA!AK200+IVA!AK204+IVA!AK208</f>
        <v>846147</v>
      </c>
      <c r="AL212" s="466" t="n">
        <f aca="false">IVA!AL200+IVA!AL204+IVA!AL208</f>
        <v>594342</v>
      </c>
      <c r="AM212" s="466" t="n">
        <f aca="false">IVA!AM200+IVA!AM204+IVA!AM208</f>
        <v>616681</v>
      </c>
      <c r="AN212" s="466" t="n">
        <f aca="false">IVA!AN200+IVA!AN204+IVA!AN208</f>
        <v>614887</v>
      </c>
      <c r="AO212" s="466" t="n">
        <f aca="false">IVA!AO200+IVA!AO204+IVA!AO208</f>
        <v>611326</v>
      </c>
      <c r="AP212" s="466"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7"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4"/>
      <c r="BW212" s="264"/>
      <c r="BX212" s="263"/>
      <c r="BY212" s="264"/>
      <c r="BZ212" s="264"/>
      <c r="CA212" s="303"/>
    </row>
    <row r="213" customFormat="false" ht="12.75" hidden="false" customHeight="true" outlineLevel="0" collapsed="false">
      <c r="AA213" s="404" t="n">
        <v>1998</v>
      </c>
      <c r="AB213" s="404" t="s">
        <v>586</v>
      </c>
      <c r="AC213" s="405"/>
      <c r="AD213" s="406"/>
      <c r="AE213" s="407" t="n">
        <f aca="false">IVA!AE201+IVA!AE205+IVA!AE209</f>
        <v>893380</v>
      </c>
      <c r="AF213" s="407" t="n">
        <f aca="false">IVA!AF201+IVA!AF205+IVA!AF209</f>
        <v>654938</v>
      </c>
      <c r="AG213" s="407" t="n">
        <f aca="false">IVA!AG201+IVA!AG205+IVA!AG209</f>
        <v>610814</v>
      </c>
      <c r="AH213" s="407" t="n">
        <f aca="false">IVA!AH201+IVA!AH205+IVA!AH209</f>
        <v>613049</v>
      </c>
      <c r="AI213" s="407" t="n">
        <f aca="false">IVA!AI201+IVA!AI205+IVA!AI209</f>
        <v>635839</v>
      </c>
      <c r="AJ213" s="407" t="n">
        <f aca="false">IVA!AJ201+IVA!AJ205+IVA!AJ209</f>
        <v>678325</v>
      </c>
      <c r="AK213" s="407" t="n">
        <f aca="false">IVA!AK201+IVA!AK205+IVA!AK209</f>
        <v>908263</v>
      </c>
      <c r="AL213" s="407" t="n">
        <f aca="false">IVA!AL201+IVA!AL205+IVA!AL209</f>
        <v>641376</v>
      </c>
      <c r="AM213" s="407" t="n">
        <f aca="false">IVA!AM201+IVA!AM205+IVA!AM209</f>
        <v>625441</v>
      </c>
      <c r="AN213" s="407" t="n">
        <f aca="false">IVA!AN201+IVA!AN205+IVA!AN209</f>
        <v>652142</v>
      </c>
      <c r="AO213" s="407" t="n">
        <f aca="false">IVA!AO201+IVA!AO205+IVA!AO209</f>
        <v>625320</v>
      </c>
      <c r="AP213" s="407"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7"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4"/>
      <c r="BW213" s="138"/>
      <c r="BX213" s="139"/>
      <c r="BY213" s="138"/>
      <c r="BZ213" s="138"/>
      <c r="CA213" s="273"/>
    </row>
    <row r="214" customFormat="false" ht="12.75" hidden="false" customHeight="true" outlineLevel="0" collapsed="false">
      <c r="AA214" s="404" t="n">
        <v>1999</v>
      </c>
      <c r="AB214" s="404" t="s">
        <v>586</v>
      </c>
      <c r="AC214" s="405"/>
      <c r="AD214" s="406"/>
      <c r="AE214" s="407" t="n">
        <f aca="false">IVA!AE202+IVA!AE206+IVA!AE210</f>
        <v>930438</v>
      </c>
      <c r="AF214" s="407" t="n">
        <f aca="false">IVA!AF202+IVA!AF206+IVA!AF210</f>
        <v>613095</v>
      </c>
      <c r="AG214" s="407" t="n">
        <f aca="false">IVA!AG202+IVA!AG206+IVA!AG210</f>
        <v>592185</v>
      </c>
      <c r="AH214" s="407" t="n">
        <f aca="false">IVA!AH202+IVA!AH206+IVA!AH210</f>
        <v>566830</v>
      </c>
      <c r="AI214" s="407" t="n">
        <f aca="false">IVA!AI202+IVA!AI206+IVA!AI210</f>
        <v>537611</v>
      </c>
      <c r="AJ214" s="407" t="n">
        <f aca="false">IVA!AJ202+IVA!AJ206+IVA!AJ210</f>
        <v>535921</v>
      </c>
      <c r="AK214" s="407" t="n">
        <f aca="false">IVA!AK202+IVA!AK206+IVA!AK210</f>
        <v>785664</v>
      </c>
      <c r="AL214" s="407" t="n">
        <f aca="false">IVA!AL202+IVA!AL206+IVA!AL210</f>
        <v>538162</v>
      </c>
      <c r="AM214" s="407" t="n">
        <f aca="false">IVA!AM202+IVA!AM206+IVA!AM210</f>
        <v>533921</v>
      </c>
      <c r="AN214" s="407" t="n">
        <f aca="false">IVA!AN202+IVA!AN206+IVA!AN210</f>
        <v>452904</v>
      </c>
      <c r="AO214" s="407" t="n">
        <f aca="false">IVA!AO202+IVA!AO206+IVA!AO210</f>
        <v>534707</v>
      </c>
      <c r="AP214" s="407"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7"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4"/>
      <c r="BW214" s="138"/>
      <c r="BX214" s="139"/>
      <c r="BY214" s="138"/>
      <c r="BZ214" s="138"/>
      <c r="CA214" s="273"/>
    </row>
    <row r="215" customFormat="false" ht="12.75" hidden="false" customHeight="true" outlineLevel="0" collapsed="false">
      <c r="AA215" s="404" t="n">
        <v>2000</v>
      </c>
      <c r="AB215" s="404" t="s">
        <v>586</v>
      </c>
      <c r="AC215" s="405"/>
      <c r="AD215" s="406"/>
      <c r="AE215" s="468" t="n">
        <v>717664.11891</v>
      </c>
      <c r="AF215" s="468" t="n">
        <v>523551.52353</v>
      </c>
      <c r="AG215" s="468" t="n">
        <v>488285.118</v>
      </c>
      <c r="AH215" s="468" t="n">
        <v>460425.143</v>
      </c>
      <c r="AI215" s="468" t="n">
        <v>507007.5879</v>
      </c>
      <c r="AJ215" s="468" t="n">
        <v>545816.55347</v>
      </c>
      <c r="AK215" s="468" t="n">
        <v>763505.968</v>
      </c>
      <c r="AL215" s="468" t="n">
        <v>517368.3209</v>
      </c>
      <c r="AM215" s="468" t="n">
        <v>523814.7787</v>
      </c>
      <c r="AN215" s="468" t="n">
        <v>524788.6392</v>
      </c>
      <c r="AO215" s="468" t="n">
        <v>478069.30191</v>
      </c>
      <c r="AP215" s="468"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7"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4"/>
      <c r="BW215" s="264"/>
      <c r="BX215" s="263"/>
      <c r="BY215" s="264"/>
      <c r="BZ215" s="264"/>
      <c r="CA215" s="303"/>
    </row>
    <row r="216" customFormat="false" ht="12.75" hidden="false" customHeight="true" outlineLevel="0" collapsed="false">
      <c r="AA216" s="404" t="n">
        <v>2001</v>
      </c>
      <c r="AB216" s="404" t="s">
        <v>586</v>
      </c>
      <c r="AC216" s="405"/>
      <c r="AD216" s="406"/>
      <c r="AE216" s="468" t="n">
        <v>713205.07841</v>
      </c>
      <c r="AF216" s="468" t="n">
        <v>510148.07366</v>
      </c>
      <c r="AG216" s="468" t="n">
        <v>492971.60084</v>
      </c>
      <c r="AH216" s="468" t="n">
        <v>460641.26621</v>
      </c>
      <c r="AI216" s="468" t="n">
        <v>485330.57364</v>
      </c>
      <c r="AJ216" s="468" t="n">
        <v>449023.33835</v>
      </c>
      <c r="AK216" s="468" t="n">
        <v>643951.27323</v>
      </c>
      <c r="AL216" s="468" t="n">
        <v>518490.34193</v>
      </c>
      <c r="AM216" s="468" t="n">
        <v>497789.5773</v>
      </c>
      <c r="AN216" s="468" t="n">
        <v>475153.87009</v>
      </c>
      <c r="AO216" s="468" t="n">
        <v>456673.4672</v>
      </c>
      <c r="AP216" s="468"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7"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4"/>
      <c r="BW216" s="138"/>
      <c r="BX216" s="139"/>
      <c r="BY216" s="138"/>
      <c r="BZ216" s="138"/>
      <c r="CA216" s="273"/>
    </row>
    <row r="217" customFormat="false" ht="12.75" hidden="false" customHeight="true" outlineLevel="0" collapsed="false">
      <c r="AA217" s="404" t="n">
        <v>2002</v>
      </c>
      <c r="AB217" s="404" t="s">
        <v>586</v>
      </c>
      <c r="AC217" s="405"/>
      <c r="AD217" s="406"/>
      <c r="AE217" s="468" t="n">
        <v>575654.08514</v>
      </c>
      <c r="AF217" s="468" t="n">
        <v>480768.59727</v>
      </c>
      <c r="AG217" s="468" t="n">
        <v>410794.22872</v>
      </c>
      <c r="AH217" s="468" t="n">
        <v>427476.38403</v>
      </c>
      <c r="AI217" s="468" t="n">
        <v>520986.27527</v>
      </c>
      <c r="AJ217" s="468" t="n">
        <v>502735.21795</v>
      </c>
      <c r="AK217" s="468" t="n">
        <v>712225.27403</v>
      </c>
      <c r="AL217" s="468" t="n">
        <v>542263.10581</v>
      </c>
      <c r="AM217" s="468" t="n">
        <v>547570.92694</v>
      </c>
      <c r="AN217" s="468" t="n">
        <v>569808.37241</v>
      </c>
      <c r="AO217" s="468" t="n">
        <v>543511.87466</v>
      </c>
      <c r="AP217" s="468"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7"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4"/>
      <c r="BW217" s="138"/>
      <c r="BX217" s="139"/>
      <c r="BY217" s="138"/>
      <c r="BZ217" s="138"/>
      <c r="CA217" s="273"/>
    </row>
    <row r="218" customFormat="false" ht="12.75" hidden="false" customHeight="true" outlineLevel="0" collapsed="false">
      <c r="AA218" s="404" t="n">
        <v>2003</v>
      </c>
      <c r="AB218" s="404" t="s">
        <v>586</v>
      </c>
      <c r="AC218" s="405"/>
      <c r="AD218" s="406"/>
      <c r="AE218" s="468" t="n">
        <v>811542.3029</v>
      </c>
      <c r="AF218" s="468" t="n">
        <v>559987.45565</v>
      </c>
      <c r="AG218" s="468" t="n">
        <v>496855.01147</v>
      </c>
      <c r="AH218" s="468" t="n">
        <v>540600.31705</v>
      </c>
      <c r="AI218" s="468" t="n">
        <v>571140.35953</v>
      </c>
      <c r="AJ218" s="468" t="n">
        <v>565485.57615</v>
      </c>
      <c r="AK218" s="468" t="n">
        <v>837241.32547</v>
      </c>
      <c r="AL218" s="468" t="n">
        <v>611694.92336</v>
      </c>
      <c r="AM218" s="468" t="n">
        <v>624166.0125</v>
      </c>
      <c r="AN218" s="468" t="n">
        <v>648699.95544</v>
      </c>
      <c r="AO218" s="468" t="n">
        <v>651311.99285</v>
      </c>
      <c r="AP218" s="468"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7"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4"/>
      <c r="BW218" s="138"/>
      <c r="BX218" s="139"/>
      <c r="BY218" s="138"/>
      <c r="BZ218" s="138"/>
      <c r="CA218" s="273"/>
    </row>
    <row r="219" customFormat="false" ht="12.75" hidden="false" customHeight="true" outlineLevel="0" collapsed="false">
      <c r="AA219" s="404" t="n">
        <v>2004</v>
      </c>
      <c r="AB219" s="404" t="s">
        <v>586</v>
      </c>
      <c r="AC219" s="405"/>
      <c r="AD219" s="406"/>
      <c r="AE219" s="468" t="n">
        <v>1013436.40315</v>
      </c>
      <c r="AF219" s="468" t="n">
        <v>746467.87962</v>
      </c>
      <c r="AG219" s="468" t="n">
        <v>697193.42626</v>
      </c>
      <c r="AH219" s="468" t="n">
        <v>706727.10499</v>
      </c>
      <c r="AI219" s="468" t="n">
        <v>800458.91301</v>
      </c>
      <c r="AJ219" s="468" t="n">
        <v>753818.41891</v>
      </c>
      <c r="AK219" s="468" t="n">
        <v>1131313.55004</v>
      </c>
      <c r="AL219" s="468" t="n">
        <v>795180.72496</v>
      </c>
      <c r="AM219" s="468" t="n">
        <v>877864.95115</v>
      </c>
      <c r="AN219" s="468" t="n">
        <v>834367.34326</v>
      </c>
      <c r="AO219" s="468" t="n">
        <v>850144.84181</v>
      </c>
      <c r="AP219" s="468"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7"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4"/>
      <c r="BW219" s="138"/>
      <c r="BX219" s="139"/>
      <c r="BY219" s="138"/>
      <c r="BZ219" s="138"/>
      <c r="CA219" s="273"/>
    </row>
    <row r="220" customFormat="false" ht="12.75" hidden="false" customHeight="true" outlineLevel="0" collapsed="false">
      <c r="AA220" s="404" t="n">
        <v>2005</v>
      </c>
      <c r="AB220" s="404" t="s">
        <v>586</v>
      </c>
      <c r="AC220" s="405"/>
      <c r="AD220" s="406"/>
      <c r="AE220" s="468" t="n">
        <v>1202714.31521</v>
      </c>
      <c r="AF220" s="468" t="n">
        <v>1000526.61344</v>
      </c>
      <c r="AG220" s="468" t="n">
        <v>834164.92144</v>
      </c>
      <c r="AH220" s="468" t="n">
        <v>894594.26894</v>
      </c>
      <c r="AI220" s="468" t="n">
        <v>959827.65632</v>
      </c>
      <c r="AJ220" s="468" t="n">
        <v>969440.92761</v>
      </c>
      <c r="AK220" s="468" t="n">
        <v>1451581.81475</v>
      </c>
      <c r="AL220" s="468" t="n">
        <v>1138392.57131</v>
      </c>
      <c r="AM220" s="468" t="n">
        <v>1154699.25536</v>
      </c>
      <c r="AN220" s="468" t="n">
        <v>1226469.13918</v>
      </c>
      <c r="AO220" s="468" t="n">
        <v>1246830.10186</v>
      </c>
      <c r="AP220" s="468"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7"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4"/>
      <c r="BW220" s="138"/>
      <c r="BX220" s="139"/>
      <c r="BY220" s="138"/>
      <c r="BZ220" s="138"/>
      <c r="CA220" s="273"/>
    </row>
    <row r="221" customFormat="false" ht="12.75" hidden="false" customHeight="true" outlineLevel="0" collapsed="false">
      <c r="AA221" s="404" t="n">
        <v>2006</v>
      </c>
      <c r="AB221" s="404" t="s">
        <v>586</v>
      </c>
      <c r="AC221" s="405"/>
      <c r="AD221" s="406"/>
      <c r="AE221" s="468" t="n">
        <v>1788670.46221</v>
      </c>
      <c r="AF221" s="468" t="n">
        <v>1406789.91147</v>
      </c>
      <c r="AG221" s="468" t="n">
        <v>1357641.68514</v>
      </c>
      <c r="AH221" s="468" t="n">
        <v>1373916.59278</v>
      </c>
      <c r="AI221" s="468" t="n">
        <v>1447040.43824</v>
      </c>
      <c r="AJ221" s="468" t="n">
        <v>1552333.38277</v>
      </c>
      <c r="AK221" s="468" t="n">
        <v>2133583.3729</v>
      </c>
      <c r="AL221" s="468" t="n">
        <v>1569923.28778</v>
      </c>
      <c r="AM221" s="468" t="n">
        <v>1607384.76953</v>
      </c>
      <c r="AN221" s="468" t="n">
        <v>1788714.14582</v>
      </c>
      <c r="AO221" s="468" t="n">
        <v>1779964.87324</v>
      </c>
      <c r="AP221" s="468"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7"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4"/>
      <c r="BW221" s="138"/>
      <c r="BX221" s="139"/>
      <c r="BY221" s="138"/>
      <c r="BZ221" s="138"/>
      <c r="CA221" s="273"/>
    </row>
    <row r="222" customFormat="false" ht="12.75" hidden="false" customHeight="true" outlineLevel="0" collapsed="false">
      <c r="AA222" s="404" t="n">
        <v>2007</v>
      </c>
      <c r="AB222" s="404" t="s">
        <v>586</v>
      </c>
      <c r="AC222" s="405"/>
      <c r="AD222" s="406"/>
      <c r="AE222" s="468" t="n">
        <v>2632994.1112</v>
      </c>
      <c r="AF222" s="468" t="n">
        <v>2166315.18511</v>
      </c>
      <c r="AG222" s="468" t="n">
        <v>2199010.32586</v>
      </c>
      <c r="AH222" s="468" t="n">
        <v>2173097.29906</v>
      </c>
      <c r="AI222" s="468" t="n">
        <v>2223748.36079</v>
      </c>
      <c r="AJ222" s="468" t="n">
        <v>2295427.16864</v>
      </c>
      <c r="AK222" s="468" t="n">
        <v>3055349.84665</v>
      </c>
      <c r="AL222" s="468" t="n">
        <v>2458397.32183</v>
      </c>
      <c r="AM222" s="468" t="n">
        <v>2493865.07592</v>
      </c>
      <c r="AN222" s="468" t="n">
        <v>2439650.9166</v>
      </c>
      <c r="AO222" s="468" t="n">
        <v>2524874.84977</v>
      </c>
      <c r="AP222" s="468"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7" t="n">
        <f aca="false">IVA!AQ222+IVA!AR222+IVA!AS222+IVA!AT222</f>
        <v>29249911.34873</v>
      </c>
      <c r="AV222" s="130" t="n">
        <f aca="false">IVA!AQ222/IVA!CJ16</f>
        <v>0.0102747234293076</v>
      </c>
      <c r="AW222" s="130" t="n">
        <f aca="false">IVA!AR222/IVA!CK16</f>
        <v>0.00801349577888729</v>
      </c>
      <c r="AX222" s="130" t="n">
        <f aca="false">IVA!AS222/IVA!CL16</f>
        <v>0.0096773055041736</v>
      </c>
      <c r="AY222" s="130" t="n">
        <f aca="false">IVA!AT222/IVA!CM16</f>
        <v>0.00833415989213314</v>
      </c>
      <c r="AZ222" s="271" t="n">
        <f aca="false">IVA!AU222/IVA!CN16</f>
        <v>0.0360018481388563</v>
      </c>
      <c r="BA222" s="454"/>
      <c r="BW222" s="138"/>
      <c r="BX222" s="139"/>
      <c r="BY222" s="138"/>
      <c r="BZ222" s="138"/>
      <c r="CA222" s="273"/>
    </row>
    <row r="223" customFormat="false" ht="12.75" hidden="false" customHeight="true" outlineLevel="0" collapsed="false">
      <c r="AA223" s="404" t="n">
        <v>2008</v>
      </c>
      <c r="AB223" s="404" t="s">
        <v>586</v>
      </c>
      <c r="AC223" s="405"/>
      <c r="AD223" s="406"/>
      <c r="AE223" s="468" t="n">
        <v>3519586.1081</v>
      </c>
      <c r="AF223" s="468" t="n">
        <v>2844256.06905</v>
      </c>
      <c r="AG223" s="468" t="n">
        <v>2710135.91247</v>
      </c>
      <c r="AH223" s="468" t="n">
        <v>2945460.18138</v>
      </c>
      <c r="AI223" s="468" t="n">
        <v>3080553.70832</v>
      </c>
      <c r="AJ223" s="468" t="n">
        <v>3031538.64556</v>
      </c>
      <c r="AK223" s="468" t="n">
        <v>4098862.58153</v>
      </c>
      <c r="AL223" s="468" t="n">
        <v>3211848.57913</v>
      </c>
      <c r="AM223" s="468" t="n">
        <v>3335597.00522</v>
      </c>
      <c r="AN223" s="468" t="n">
        <v>3344826.65978</v>
      </c>
      <c r="AO223" s="468" t="n">
        <v>3457541.45755</v>
      </c>
      <c r="AP223" s="468"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7"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4"/>
      <c r="BW223" s="138"/>
      <c r="BX223" s="139"/>
      <c r="BY223" s="138"/>
      <c r="BZ223" s="138"/>
      <c r="CA223" s="273"/>
    </row>
    <row r="224" customFormat="false" ht="12.75" hidden="false" customHeight="true" outlineLevel="0" collapsed="false">
      <c r="AA224" s="404" t="n">
        <v>2009</v>
      </c>
      <c r="AB224" s="404" t="s">
        <v>586</v>
      </c>
      <c r="AC224" s="405"/>
      <c r="AD224" s="406"/>
      <c r="AE224" s="469" t="n">
        <v>4496375</v>
      </c>
      <c r="AF224" s="469" t="n">
        <v>3623925</v>
      </c>
      <c r="AG224" s="469" t="n">
        <v>3514250</v>
      </c>
      <c r="AH224" s="469" t="n">
        <v>3604386</v>
      </c>
      <c r="AI224" s="469" t="n">
        <v>3717535</v>
      </c>
      <c r="AJ224" s="469" t="n">
        <v>3639719</v>
      </c>
      <c r="AK224" s="469" t="n">
        <v>4825471</v>
      </c>
      <c r="AL224" s="469" t="n">
        <v>3970241</v>
      </c>
      <c r="AM224" s="469" t="n">
        <v>4117874</v>
      </c>
      <c r="AN224" s="469" t="n">
        <v>4062517</v>
      </c>
      <c r="AO224" s="469" t="n">
        <v>3812967</v>
      </c>
      <c r="AP224" s="469"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0"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4"/>
      <c r="BW224" s="264"/>
      <c r="BX224" s="263"/>
      <c r="BY224" s="264"/>
      <c r="BZ224" s="264"/>
      <c r="CA224" s="303"/>
    </row>
    <row r="225" customFormat="false" ht="12.75" hidden="false" customHeight="true" outlineLevel="0" collapsed="false">
      <c r="AA225" s="404" t="n">
        <v>2010</v>
      </c>
      <c r="AB225" s="404" t="s">
        <v>586</v>
      </c>
      <c r="AC225" s="405"/>
      <c r="AD225" s="406"/>
      <c r="AE225" s="469" t="n">
        <v>5523148</v>
      </c>
      <c r="AF225" s="469" t="n">
        <v>4363068</v>
      </c>
      <c r="AG225" s="469" t="n">
        <v>4386817</v>
      </c>
      <c r="AH225" s="469" t="n">
        <v>4583148</v>
      </c>
      <c r="AI225" s="469" t="n">
        <v>4694360</v>
      </c>
      <c r="AJ225" s="469" t="n">
        <v>4771987</v>
      </c>
      <c r="AK225" s="469" t="n">
        <v>6381892</v>
      </c>
      <c r="AL225" s="469" t="n">
        <v>5103262</v>
      </c>
      <c r="AM225" s="469" t="n">
        <v>5287069</v>
      </c>
      <c r="AN225" s="469" t="n">
        <v>5347840</v>
      </c>
      <c r="AO225" s="469" t="n">
        <v>5606044</v>
      </c>
      <c r="AP225" s="469"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0"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4"/>
      <c r="BW225" s="138"/>
      <c r="BX225" s="139"/>
      <c r="BY225" s="138"/>
      <c r="BZ225" s="138"/>
      <c r="CA225" s="273"/>
    </row>
    <row r="226" customFormat="false" ht="12.75" hidden="false" customHeight="true" outlineLevel="0" collapsed="false">
      <c r="AA226" s="404" t="n">
        <v>2011</v>
      </c>
      <c r="AB226" s="404" t="s">
        <v>586</v>
      </c>
      <c r="AC226" s="405"/>
      <c r="AD226" s="406"/>
      <c r="AE226" s="469" t="n">
        <v>7489884</v>
      </c>
      <c r="AF226" s="469" t="n">
        <v>6053967</v>
      </c>
      <c r="AG226" s="469" t="n">
        <v>5830279</v>
      </c>
      <c r="AH226" s="469" t="n">
        <v>6443195</v>
      </c>
      <c r="AI226" s="469" t="n">
        <v>6365757</v>
      </c>
      <c r="AJ226" s="469" t="n">
        <v>6527664</v>
      </c>
      <c r="AK226" s="469" t="n">
        <v>8637735</v>
      </c>
      <c r="AL226" s="469" t="n">
        <v>6821438</v>
      </c>
      <c r="AM226" s="469" t="n">
        <v>6986854</v>
      </c>
      <c r="AN226" s="469" t="n">
        <v>7055541</v>
      </c>
      <c r="AO226" s="469" t="n">
        <v>7012656</v>
      </c>
      <c r="AP226" s="469"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1"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0.0447031034248387</v>
      </c>
      <c r="BA226" s="454"/>
      <c r="BW226" s="138"/>
      <c r="BX226" s="139"/>
      <c r="BY226" s="138"/>
      <c r="BZ226" s="138"/>
      <c r="CA226" s="273"/>
    </row>
    <row r="227" customFormat="false" ht="12.75" hidden="false" customHeight="true" outlineLevel="0" collapsed="false">
      <c r="AA227" s="419" t="n">
        <v>2012</v>
      </c>
      <c r="AB227" s="419" t="s">
        <v>586</v>
      </c>
      <c r="AC227" s="420"/>
      <c r="AD227" s="421"/>
      <c r="AE227" s="472" t="n">
        <v>9690188.53764</v>
      </c>
      <c r="AF227" s="472" t="n">
        <v>7641177.45796</v>
      </c>
      <c r="AG227" s="472" t="n">
        <v>7729570.56793</v>
      </c>
      <c r="AH227" s="472" t="n">
        <v>8043185.00214</v>
      </c>
      <c r="AI227" s="472" t="n">
        <v>8243416.44662</v>
      </c>
      <c r="AJ227" s="472" t="n">
        <v>8256318.54802</v>
      </c>
      <c r="AK227" s="472" t="n">
        <v>11077579.39264</v>
      </c>
      <c r="AL227" s="472" t="n">
        <v>8733565.18849</v>
      </c>
      <c r="AM227" s="472" t="n">
        <v>8725193.75034</v>
      </c>
      <c r="AN227" s="472" t="n">
        <v>9021239.2164</v>
      </c>
      <c r="AO227" s="472" t="n">
        <v>9226668.93764</v>
      </c>
      <c r="AP227" s="472" t="n">
        <v>9323176.20707</v>
      </c>
      <c r="AQ227" s="326" t="n">
        <f aca="false">IVA!AE227+IVA!AF227+IVA!AG227</f>
        <v>25060936.56353</v>
      </c>
      <c r="AR227" s="326" t="n">
        <f aca="false">IVA!AH227+IVA!AI227+IVA!AJ227</f>
        <v>24542919.99678</v>
      </c>
      <c r="AS227" s="326" t="n">
        <f aca="false">IVA!AK227+IVA!AL227+IVA!AM227</f>
        <v>28536338.33147</v>
      </c>
      <c r="AT227" s="326" t="n">
        <f aca="false">IVA!AN227+IVA!AO227+IVA!AP227</f>
        <v>27571084.36111</v>
      </c>
      <c r="AU227" s="473"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4"/>
      <c r="BW227" s="138"/>
      <c r="BX227" s="139"/>
      <c r="BY227" s="138"/>
      <c r="BZ227" s="138"/>
      <c r="CA227" s="273"/>
    </row>
    <row r="228" customFormat="false" ht="12.75" hidden="false" customHeight="true" outlineLevel="0" collapsed="false">
      <c r="AA228" s="474" t="n">
        <v>1996</v>
      </c>
      <c r="AB228" s="474" t="s">
        <v>587</v>
      </c>
      <c r="AC228" s="475"/>
      <c r="AD228" s="476"/>
      <c r="AE228" s="477" t="n">
        <v>1425019</v>
      </c>
      <c r="AF228" s="477" t="n">
        <v>921664</v>
      </c>
      <c r="AG228" s="477" t="n">
        <v>858862</v>
      </c>
      <c r="AH228" s="477" t="n">
        <v>907389</v>
      </c>
      <c r="AI228" s="477" t="n">
        <v>942184</v>
      </c>
      <c r="AJ228" s="477" t="n">
        <v>966674</v>
      </c>
      <c r="AK228" s="477" t="n">
        <v>1399735</v>
      </c>
      <c r="AL228" s="477" t="n">
        <v>1005123</v>
      </c>
      <c r="AM228" s="477" t="n">
        <v>1030888</v>
      </c>
      <c r="AN228" s="477" t="n">
        <v>1078945</v>
      </c>
      <c r="AO228" s="477" t="n">
        <v>979501</v>
      </c>
      <c r="AP228" s="478"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3"/>
      <c r="AV228" s="252"/>
      <c r="AW228" s="252"/>
      <c r="AX228" s="252"/>
      <c r="AY228" s="252"/>
      <c r="AZ228" s="296"/>
      <c r="BA228" s="454"/>
      <c r="BW228" s="138"/>
      <c r="BX228" s="139"/>
      <c r="BY228" s="138"/>
      <c r="BZ228" s="138"/>
      <c r="CA228" s="273"/>
    </row>
    <row r="229" customFormat="false" ht="12.75" hidden="false" customHeight="true" outlineLevel="0" collapsed="false">
      <c r="AA229" s="474" t="n">
        <v>1997</v>
      </c>
      <c r="AB229" s="474" t="s">
        <v>587</v>
      </c>
      <c r="AC229" s="475"/>
      <c r="AD229" s="476"/>
      <c r="AE229" s="477" t="n">
        <f aca="false">IVA!AE212+IVA!AE246</f>
        <v>1520440</v>
      </c>
      <c r="AF229" s="477" t="n">
        <f aca="false">IVA!AF212+IVA!AF246</f>
        <v>1109068</v>
      </c>
      <c r="AG229" s="477" t="n">
        <f aca="false">IVA!AG212+IVA!AG246</f>
        <v>996088</v>
      </c>
      <c r="AH229" s="477" t="n">
        <f aca="false">IVA!AH212+IVA!AH246</f>
        <v>1095993</v>
      </c>
      <c r="AI229" s="477" t="n">
        <f aca="false">IVA!AI212+IVA!AI246</f>
        <v>1095433</v>
      </c>
      <c r="AJ229" s="477" t="n">
        <f aca="false">IVA!AJ212+IVA!AJ246</f>
        <v>1059452</v>
      </c>
      <c r="AK229" s="477" t="n">
        <f aca="false">IVA!AK212+IVA!AK246</f>
        <v>1572048</v>
      </c>
      <c r="AL229" s="477" t="n">
        <f aca="false">IVA!AL212+IVA!AL246</f>
        <v>1073939</v>
      </c>
      <c r="AM229" s="477" t="n">
        <f aca="false">IVA!AM212+IVA!AM246</f>
        <v>1120153</v>
      </c>
      <c r="AN229" s="477" t="n">
        <f aca="false">IVA!AN212+IVA!AN246</f>
        <v>1142927</v>
      </c>
      <c r="AO229" s="477" t="n">
        <f aca="false">IVA!AO212+IVA!AO246</f>
        <v>1099689</v>
      </c>
      <c r="AP229" s="478"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7"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4"/>
      <c r="BW229" s="138"/>
      <c r="BX229" s="139"/>
      <c r="BY229" s="138"/>
      <c r="BZ229" s="138"/>
      <c r="CA229" s="273"/>
    </row>
    <row r="230" customFormat="false" ht="12.75" hidden="false" customHeight="true" outlineLevel="0" collapsed="false">
      <c r="AA230" s="474" t="n">
        <v>1998</v>
      </c>
      <c r="AB230" s="474" t="s">
        <v>587</v>
      </c>
      <c r="AC230" s="475"/>
      <c r="AD230" s="476"/>
      <c r="AE230" s="477" t="n">
        <f aca="false">IVA!AE213+IVA!AE247</f>
        <v>1579131</v>
      </c>
      <c r="AF230" s="477" t="n">
        <f aca="false">IVA!AF213+IVA!AF247</f>
        <v>1141175</v>
      </c>
      <c r="AG230" s="477" t="n">
        <f aca="false">IVA!AG213+IVA!AG247</f>
        <v>1098750</v>
      </c>
      <c r="AH230" s="477" t="n">
        <f aca="false">IVA!AH213+IVA!AH247</f>
        <v>1102589</v>
      </c>
      <c r="AI230" s="477" t="n">
        <f aca="false">IVA!AI213+IVA!AI247</f>
        <v>1117932</v>
      </c>
      <c r="AJ230" s="477" t="n">
        <f aca="false">IVA!AJ213+IVA!AJ247</f>
        <v>1160196</v>
      </c>
      <c r="AK230" s="477" t="n">
        <f aca="false">IVA!AK213+IVA!AK247</f>
        <v>1604554</v>
      </c>
      <c r="AL230" s="477" t="n">
        <f aca="false">IVA!AL213+IVA!AL247</f>
        <v>1140898</v>
      </c>
      <c r="AM230" s="477" t="n">
        <f aca="false">IVA!AM213+IVA!AM247</f>
        <v>1116300</v>
      </c>
      <c r="AN230" s="477" t="n">
        <f aca="false">IVA!AN213+IVA!AN247</f>
        <v>1140319</v>
      </c>
      <c r="AO230" s="477" t="n">
        <f aca="false">IVA!AO213+IVA!AO247</f>
        <v>1113978</v>
      </c>
      <c r="AP230" s="478"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7"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4"/>
      <c r="BW230" s="138"/>
      <c r="BX230" s="139"/>
      <c r="BY230" s="138"/>
      <c r="BZ230" s="138"/>
      <c r="CA230" s="273"/>
    </row>
    <row r="231" customFormat="false" ht="12.75" hidden="false" customHeight="true" outlineLevel="0" collapsed="false">
      <c r="AA231" s="474" t="n">
        <v>1999</v>
      </c>
      <c r="AB231" s="474" t="s">
        <v>587</v>
      </c>
      <c r="AC231" s="475"/>
      <c r="AD231" s="476"/>
      <c r="AE231" s="477" t="n">
        <f aca="false">IVA!AE214+IVA!AE248</f>
        <v>1633378</v>
      </c>
      <c r="AF231" s="477" t="n">
        <f aca="false">IVA!AF214+IVA!AF248</f>
        <v>1109126</v>
      </c>
      <c r="AG231" s="477" t="n">
        <f aca="false">IVA!AG214+IVA!AG248</f>
        <v>1088398</v>
      </c>
      <c r="AH231" s="477" t="n">
        <f aca="false">IVA!AH214+IVA!AH248</f>
        <v>1038152</v>
      </c>
      <c r="AI231" s="477" t="n">
        <f aca="false">IVA!AI214+IVA!AI248</f>
        <v>1014536</v>
      </c>
      <c r="AJ231" s="477" t="n">
        <f aca="false">IVA!AJ214+IVA!AJ248</f>
        <v>1006980</v>
      </c>
      <c r="AK231" s="477" t="n">
        <f aca="false">IVA!AK214+IVA!AK248</f>
        <v>1457165</v>
      </c>
      <c r="AL231" s="477" t="n">
        <f aca="false">IVA!AL214+IVA!AL248</f>
        <v>1017788</v>
      </c>
      <c r="AM231" s="477" t="n">
        <f aca="false">IVA!AM214+IVA!AM248</f>
        <v>1007229</v>
      </c>
      <c r="AN231" s="477" t="n">
        <f aca="false">IVA!AN214+IVA!AN248</f>
        <v>918959</v>
      </c>
      <c r="AO231" s="477" t="n">
        <f aca="false">IVA!AO214+IVA!AO248</f>
        <v>1017344</v>
      </c>
      <c r="AP231" s="478"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7"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4"/>
      <c r="BW231" s="138"/>
      <c r="BX231" s="139"/>
      <c r="BY231" s="138"/>
      <c r="BZ231" s="138"/>
      <c r="CA231" s="273"/>
    </row>
    <row r="232" customFormat="false" ht="12.75" hidden="false" customHeight="true" outlineLevel="0" collapsed="false">
      <c r="AA232" s="474" t="n">
        <v>2000</v>
      </c>
      <c r="AB232" s="474" t="s">
        <v>587</v>
      </c>
      <c r="AC232" s="475"/>
      <c r="AD232" s="476"/>
      <c r="AE232" s="477" t="n">
        <f aca="false">IVA!AE215+IVA!AE249</f>
        <v>1400204.39491</v>
      </c>
      <c r="AF232" s="477" t="n">
        <f aca="false">IVA!AF215+IVA!AF249</f>
        <v>1022085.68653</v>
      </c>
      <c r="AG232" s="477" t="n">
        <f aca="false">IVA!AG215+IVA!AG249</f>
        <v>995249.615</v>
      </c>
      <c r="AH232" s="477" t="n">
        <f aca="false">IVA!AH215+IVA!AH249</f>
        <v>948727.014</v>
      </c>
      <c r="AI232" s="477" t="n">
        <f aca="false">IVA!AI215+IVA!AI249</f>
        <v>995392.6279</v>
      </c>
      <c r="AJ232" s="477" t="n">
        <f aca="false">IVA!AJ215+IVA!AJ249</f>
        <v>1044354.78747</v>
      </c>
      <c r="AK232" s="477" t="n">
        <f aca="false">IVA!AK215+IVA!AK249</f>
        <v>1453630.745</v>
      </c>
      <c r="AL232" s="477" t="n">
        <f aca="false">IVA!AL215+IVA!AL249</f>
        <v>1012842.6439</v>
      </c>
      <c r="AM232" s="477" t="n">
        <f aca="false">IVA!AM215+IVA!AM249</f>
        <v>1000798.5577</v>
      </c>
      <c r="AN232" s="477" t="n">
        <f aca="false">IVA!AN215+IVA!AN249</f>
        <v>1007183.7362</v>
      </c>
      <c r="AO232" s="477" t="n">
        <f aca="false">IVA!AO215+IVA!AO249</f>
        <v>942904.43671</v>
      </c>
      <c r="AP232" s="478"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7"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4"/>
      <c r="BW232" s="138"/>
      <c r="BX232" s="139"/>
      <c r="BY232" s="138"/>
      <c r="BZ232" s="138"/>
      <c r="CA232" s="273"/>
    </row>
    <row r="233" customFormat="false" ht="12.75" hidden="false" customHeight="true" outlineLevel="0" collapsed="false">
      <c r="AA233" s="474" t="n">
        <v>2001</v>
      </c>
      <c r="AB233" s="474" t="s">
        <v>587</v>
      </c>
      <c r="AC233" s="475"/>
      <c r="AD233" s="476"/>
      <c r="AE233" s="477" t="n">
        <f aca="false">IVA!AE216+IVA!AE250</f>
        <v>1390872.26641</v>
      </c>
      <c r="AF233" s="477" t="n">
        <f aca="false">IVA!AF216+IVA!AF250</f>
        <v>1015898.18066</v>
      </c>
      <c r="AG233" s="477" t="n">
        <f aca="false">IVA!AG216+IVA!AG250</f>
        <v>1009631.56384</v>
      </c>
      <c r="AH233" s="477" t="n">
        <f aca="false">IVA!AH216+IVA!AH250</f>
        <v>938186.67221</v>
      </c>
      <c r="AI233" s="477" t="n">
        <f aca="false">IVA!AI216+IVA!AI250</f>
        <v>970035.99964</v>
      </c>
      <c r="AJ233" s="477" t="n">
        <f aca="false">IVA!AJ216+IVA!AJ250</f>
        <v>910657.03435</v>
      </c>
      <c r="AK233" s="477" t="n">
        <f aca="false">IVA!AK216+IVA!AK250</f>
        <v>1301047.26923</v>
      </c>
      <c r="AL233" s="477" t="n">
        <f aca="false">IVA!AL216+IVA!AL250</f>
        <v>969931.33893</v>
      </c>
      <c r="AM233" s="477" t="n">
        <f aca="false">IVA!AM216+IVA!AM250</f>
        <v>933169.7943</v>
      </c>
      <c r="AN233" s="477" t="n">
        <f aca="false">IVA!AN216+IVA!AN250</f>
        <v>912989.87309</v>
      </c>
      <c r="AO233" s="477" t="n">
        <f aca="false">IVA!AO216+IVA!AO250</f>
        <v>870541.7072</v>
      </c>
      <c r="AP233" s="478"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7"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0.00943248210834598</v>
      </c>
      <c r="AZ233" s="271" t="n">
        <f aca="false">IVA!AU233/IVA!CN10</f>
        <v>0.0439789879947792</v>
      </c>
      <c r="BA233" s="454"/>
      <c r="BW233" s="138"/>
      <c r="BX233" s="139"/>
      <c r="BY233" s="138"/>
      <c r="BZ233" s="138"/>
      <c r="CA233" s="273"/>
    </row>
    <row r="234" customFormat="false" ht="12.75" hidden="false" customHeight="true" outlineLevel="0" collapsed="false">
      <c r="AA234" s="474" t="n">
        <v>2002</v>
      </c>
      <c r="AB234" s="474" t="s">
        <v>587</v>
      </c>
      <c r="AC234" s="475"/>
      <c r="AD234" s="476"/>
      <c r="AE234" s="477" t="n">
        <f aca="false">IVA!AE217+IVA!AE251</f>
        <v>897817.19414</v>
      </c>
      <c r="AF234" s="477" t="n">
        <f aca="false">IVA!AF217+IVA!AF251</f>
        <v>734019.42827</v>
      </c>
      <c r="AG234" s="477" t="n">
        <f aca="false">IVA!AG217+IVA!AG251</f>
        <v>669305.50072</v>
      </c>
      <c r="AH234" s="477" t="n">
        <f aca="false">IVA!AH217+IVA!AH251</f>
        <v>672150.43203</v>
      </c>
      <c r="AI234" s="477" t="n">
        <f aca="false">IVA!AI217+IVA!AI251</f>
        <v>831102.87327</v>
      </c>
      <c r="AJ234" s="477" t="n">
        <f aca="false">IVA!AJ217+IVA!AJ251</f>
        <v>794372.44395</v>
      </c>
      <c r="AK234" s="477" t="n">
        <f aca="false">IVA!AK217+IVA!AK251</f>
        <v>1118183.25803</v>
      </c>
      <c r="AL234" s="477" t="n">
        <f aca="false">IVA!AL217+IVA!AL251</f>
        <v>845295.49481</v>
      </c>
      <c r="AM234" s="477" t="n">
        <f aca="false">IVA!AM217+IVA!AM251</f>
        <v>844755.91994</v>
      </c>
      <c r="AN234" s="477" t="n">
        <f aca="false">IVA!AN217+IVA!AN251</f>
        <v>868149.98141</v>
      </c>
      <c r="AO234" s="477" t="n">
        <f aca="false">IVA!AO217+IVA!AO251</f>
        <v>835118.38266</v>
      </c>
      <c r="AP234" s="478"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7"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4"/>
      <c r="BW234" s="138"/>
      <c r="BX234" s="139"/>
      <c r="BY234" s="138"/>
      <c r="BZ234" s="138"/>
      <c r="CA234" s="273"/>
    </row>
    <row r="235" customFormat="false" ht="12.75" hidden="false" customHeight="true" outlineLevel="0" collapsed="false">
      <c r="AA235" s="474" t="n">
        <v>2003</v>
      </c>
      <c r="AB235" s="474" t="s">
        <v>587</v>
      </c>
      <c r="AC235" s="475"/>
      <c r="AD235" s="476"/>
      <c r="AE235" s="477" t="n">
        <f aca="false">IVA!AE218+IVA!AE252</f>
        <v>1228306.7609</v>
      </c>
      <c r="AF235" s="477" t="n">
        <f aca="false">IVA!AF218+IVA!AF252</f>
        <v>869716.25065</v>
      </c>
      <c r="AG235" s="477" t="n">
        <f aca="false">IVA!AG218+IVA!AG252</f>
        <v>811620.95247</v>
      </c>
      <c r="AH235" s="477" t="n">
        <f aca="false">IVA!AH218+IVA!AH252</f>
        <v>899189.24805</v>
      </c>
      <c r="AI235" s="477" t="n">
        <f aca="false">IVA!AI218+IVA!AI252</f>
        <v>939586.76753</v>
      </c>
      <c r="AJ235" s="477" t="n">
        <f aca="false">IVA!AJ218+IVA!AJ252</f>
        <v>922411.72215</v>
      </c>
      <c r="AK235" s="477" t="n">
        <f aca="false">IVA!AK218+IVA!AK252</f>
        <v>1352829.39747</v>
      </c>
      <c r="AL235" s="477" t="n">
        <f aca="false">IVA!AL218+IVA!AL252</f>
        <v>994897.44236</v>
      </c>
      <c r="AM235" s="477" t="n">
        <f aca="false">IVA!AM218+IVA!AM252</f>
        <v>1025837.5985</v>
      </c>
      <c r="AN235" s="477" t="n">
        <f aca="false">IVA!AN218+IVA!AN252</f>
        <v>1060042.58944</v>
      </c>
      <c r="AO235" s="477" t="n">
        <f aca="false">IVA!AO218+IVA!AO252</f>
        <v>1081939.16495</v>
      </c>
      <c r="AP235" s="478"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7"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4"/>
      <c r="BW235" s="138"/>
      <c r="BX235" s="139"/>
      <c r="BY235" s="138"/>
      <c r="BZ235" s="138"/>
      <c r="CA235" s="273"/>
    </row>
    <row r="236" customFormat="false" ht="12.75" hidden="false" customHeight="true" outlineLevel="0" collapsed="false">
      <c r="AA236" s="474" t="n">
        <v>2004</v>
      </c>
      <c r="AB236" s="474" t="s">
        <v>587</v>
      </c>
      <c r="AC236" s="475"/>
      <c r="AD236" s="476"/>
      <c r="AE236" s="477" t="n">
        <f aca="false">IVA!AE219+IVA!AE253</f>
        <v>1641592.83906</v>
      </c>
      <c r="AF236" s="477" t="n">
        <f aca="false">IVA!AF219+IVA!AF253</f>
        <v>1223635.38343</v>
      </c>
      <c r="AG236" s="477" t="n">
        <f aca="false">IVA!AG219+IVA!AG253</f>
        <v>1179784.34181</v>
      </c>
      <c r="AH236" s="477" t="n">
        <f aca="false">IVA!AH219+IVA!AH253</f>
        <v>1206783.9169</v>
      </c>
      <c r="AI236" s="477" t="n">
        <f aca="false">IVA!AI219+IVA!AI253</f>
        <v>1314414.01292</v>
      </c>
      <c r="AJ236" s="477" t="n">
        <f aca="false">IVA!AJ219+IVA!AJ253</f>
        <v>1235768.33504</v>
      </c>
      <c r="AK236" s="477" t="n">
        <f aca="false">IVA!AK219+IVA!AK253</f>
        <v>1823859.48444</v>
      </c>
      <c r="AL236" s="477" t="n">
        <f aca="false">IVA!AL219+IVA!AL253</f>
        <v>1297733.25378</v>
      </c>
      <c r="AM236" s="477" t="n">
        <f aca="false">IVA!AM219+IVA!AM253</f>
        <v>1408844.83306</v>
      </c>
      <c r="AN236" s="477" t="n">
        <f aca="false">IVA!AN219+IVA!AN253</f>
        <v>1353554.47079</v>
      </c>
      <c r="AO236" s="477" t="n">
        <f aca="false">IVA!AO219+IVA!AO253</f>
        <v>1366515.91368</v>
      </c>
      <c r="AP236" s="478"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7"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4"/>
      <c r="BW236" s="138"/>
      <c r="BX236" s="139"/>
      <c r="BY236" s="138"/>
      <c r="BZ236" s="138"/>
      <c r="CA236" s="273"/>
    </row>
    <row r="237" customFormat="false" ht="12.75" hidden="false" customHeight="true" outlineLevel="0" collapsed="false">
      <c r="AA237" s="474" t="n">
        <v>2005</v>
      </c>
      <c r="AB237" s="474" t="s">
        <v>587</v>
      </c>
      <c r="AC237" s="475"/>
      <c r="AD237" s="476"/>
      <c r="AE237" s="477" t="n">
        <f aca="false">IVA!AE220+IVA!AE254</f>
        <v>1966952.62202</v>
      </c>
      <c r="AF237" s="477" t="n">
        <f aca="false">IVA!AF220+IVA!AF254</f>
        <v>1576573.39763</v>
      </c>
      <c r="AG237" s="477" t="n">
        <f aca="false">IVA!AG220+IVA!AG254</f>
        <v>1393334.40091</v>
      </c>
      <c r="AH237" s="477" t="n">
        <f aca="false">IVA!AH220+IVA!AH254</f>
        <v>1469544.5114</v>
      </c>
      <c r="AI237" s="477" t="n">
        <f aca="false">IVA!AI220+IVA!AI254</f>
        <v>1549694.92623</v>
      </c>
      <c r="AJ237" s="477" t="n">
        <f aca="false">IVA!AJ220+IVA!AJ254</f>
        <v>1583489.36031</v>
      </c>
      <c r="AK237" s="477" t="n">
        <f aca="false">IVA!AK220+IVA!AK254</f>
        <v>2292954.70541</v>
      </c>
      <c r="AL237" s="477" t="n">
        <f aca="false">IVA!AL220+IVA!AL254</f>
        <v>1785336.31629</v>
      </c>
      <c r="AM237" s="477" t="n">
        <f aca="false">IVA!AM220+IVA!AM254</f>
        <v>1819663.59171</v>
      </c>
      <c r="AN237" s="477" t="n">
        <f aca="false">IVA!AN220+IVA!AN254</f>
        <v>1933401.43597</v>
      </c>
      <c r="AO237" s="477" t="n">
        <f aca="false">IVA!AO220+IVA!AO254</f>
        <v>1973153.60729</v>
      </c>
      <c r="AP237" s="478"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7"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0.0401403950962273</v>
      </c>
      <c r="BA237" s="454"/>
      <c r="BW237" s="138"/>
      <c r="BX237" s="139"/>
      <c r="BY237" s="138"/>
      <c r="BZ237" s="138"/>
      <c r="CA237" s="273"/>
    </row>
    <row r="238" customFormat="false" ht="12.75" hidden="false" customHeight="true" outlineLevel="0" collapsed="false">
      <c r="AA238" s="474" t="n">
        <v>2006</v>
      </c>
      <c r="AB238" s="474" t="s">
        <v>587</v>
      </c>
      <c r="AC238" s="475"/>
      <c r="AD238" s="476"/>
      <c r="AE238" s="477" t="n">
        <f aca="false">IVA!AE221+IVA!AE255</f>
        <v>2798703.79874</v>
      </c>
      <c r="AF238" s="477" t="n">
        <f aca="false">IVA!AF221+IVA!AF255</f>
        <v>2180746.21942</v>
      </c>
      <c r="AG238" s="477" t="n">
        <f aca="false">IVA!AG221+IVA!AG255</f>
        <v>2137763.74313</v>
      </c>
      <c r="AH238" s="477" t="n">
        <f aca="false">IVA!AH221+IVA!AH255</f>
        <v>2163210.40269</v>
      </c>
      <c r="AI238" s="477" t="n">
        <f aca="false">IVA!AI221+IVA!AI255</f>
        <v>2274781.20829</v>
      </c>
      <c r="AJ238" s="477" t="n">
        <f aca="false">IVA!AJ221+IVA!AJ255</f>
        <v>2384487.56832</v>
      </c>
      <c r="AK238" s="477" t="n">
        <f aca="false">IVA!AK221+IVA!AK255</f>
        <v>3295233.52344</v>
      </c>
      <c r="AL238" s="477" t="n">
        <f aca="false">IVA!AL221+IVA!AL255</f>
        <v>2460243.06095</v>
      </c>
      <c r="AM238" s="477" t="n">
        <f aca="false">IVA!AM221+IVA!AM255</f>
        <v>2495605.9753</v>
      </c>
      <c r="AN238" s="477" t="n">
        <f aca="false">IVA!AN221+IVA!AN255</f>
        <v>2698751.81805</v>
      </c>
      <c r="AO238" s="477" t="n">
        <f aca="false">IVA!AO221+IVA!AO255</f>
        <v>2704441.3117</v>
      </c>
      <c r="AP238" s="478"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7"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4"/>
      <c r="BW238" s="138"/>
      <c r="BX238" s="139"/>
      <c r="BY238" s="138"/>
      <c r="BZ238" s="138"/>
      <c r="CA238" s="273"/>
    </row>
    <row r="239" customFormat="false" ht="12.75" hidden="false" customHeight="true" outlineLevel="0" collapsed="false">
      <c r="AA239" s="474" t="n">
        <v>2007</v>
      </c>
      <c r="AB239" s="474" t="s">
        <v>587</v>
      </c>
      <c r="AC239" s="475"/>
      <c r="AD239" s="476"/>
      <c r="AE239" s="477" t="n">
        <f aca="false">IVA!AE222+IVA!AE256</f>
        <v>3969963.5765</v>
      </c>
      <c r="AF239" s="477" t="n">
        <f aca="false">IVA!AF222+IVA!AF256</f>
        <v>3198388.108</v>
      </c>
      <c r="AG239" s="477" t="n">
        <f aca="false">IVA!AG222+IVA!AG256</f>
        <v>3216593.73961</v>
      </c>
      <c r="AH239" s="477" t="n">
        <f aca="false">IVA!AH222+IVA!AH256</f>
        <v>3192846.58962</v>
      </c>
      <c r="AI239" s="477" t="n">
        <f aca="false">IVA!AI222+IVA!AI256</f>
        <v>3330780.35802</v>
      </c>
      <c r="AJ239" s="477" t="n">
        <f aca="false">IVA!AJ222+IVA!AJ256</f>
        <v>3374143.56818</v>
      </c>
      <c r="AK239" s="477" t="n">
        <f aca="false">IVA!AK222+IVA!AK256</f>
        <v>4572184.1127</v>
      </c>
      <c r="AL239" s="477" t="n">
        <f aca="false">IVA!AL222+IVA!AL256</f>
        <v>3612356.56156</v>
      </c>
      <c r="AM239" s="477" t="n">
        <f aca="false">IVA!AM222+IVA!AM256</f>
        <v>3666003.2335</v>
      </c>
      <c r="AN239" s="477" t="n">
        <f aca="false">IVA!AN222+IVA!AN256</f>
        <v>3743936.46387</v>
      </c>
      <c r="AO239" s="477" t="n">
        <f aca="false">IVA!AO222+IVA!AO256</f>
        <v>3804830.96464</v>
      </c>
      <c r="AP239" s="478"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7"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4"/>
      <c r="BW239" s="138"/>
      <c r="BX239" s="139"/>
      <c r="BY239" s="138"/>
      <c r="BZ239" s="138"/>
      <c r="CA239" s="273"/>
    </row>
    <row r="240" customFormat="false" ht="12.75" hidden="false" customHeight="true" outlineLevel="0" collapsed="false">
      <c r="AA240" s="474" t="n">
        <v>2008</v>
      </c>
      <c r="AB240" s="474" t="s">
        <v>587</v>
      </c>
      <c r="AC240" s="475"/>
      <c r="AD240" s="476"/>
      <c r="AE240" s="477" t="n">
        <f aca="false">IVA!AE223+IVA!AE257</f>
        <v>5266859.67562</v>
      </c>
      <c r="AF240" s="477" t="n">
        <f aca="false">IVA!AF223+IVA!AF257</f>
        <v>4506031.54309</v>
      </c>
      <c r="AG240" s="477" t="n">
        <f aca="false">IVA!AG223+IVA!AG257</f>
        <v>4329890.53607</v>
      </c>
      <c r="AH240" s="477" t="n">
        <f aca="false">IVA!AH223+IVA!AH257</f>
        <v>4700336.74577</v>
      </c>
      <c r="AI240" s="477" t="n">
        <f aca="false">IVA!AI223+IVA!AI257</f>
        <v>4913338.78925</v>
      </c>
      <c r="AJ240" s="477" t="n">
        <f aca="false">IVA!AJ223+IVA!AJ257</f>
        <v>4884990.56708</v>
      </c>
      <c r="AK240" s="477" t="n">
        <f aca="false">IVA!AK223+IVA!AK257</f>
        <v>6664644.35675</v>
      </c>
      <c r="AL240" s="477" t="n">
        <f aca="false">IVA!AL223+IVA!AL257</f>
        <v>5162434.1448</v>
      </c>
      <c r="AM240" s="477" t="n">
        <f aca="false">IVA!AM223+IVA!AM257</f>
        <v>5350905.425</v>
      </c>
      <c r="AN240" s="477" t="n">
        <f aca="false">IVA!AN223+IVA!AN257</f>
        <v>5391229.47865</v>
      </c>
      <c r="AO240" s="477" t="n">
        <f aca="false">IVA!AO223+IVA!AO257</f>
        <v>5608923.18233</v>
      </c>
      <c r="AP240" s="478"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7"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4"/>
      <c r="BW240" s="264"/>
      <c r="BX240" s="263"/>
      <c r="BY240" s="264"/>
      <c r="BZ240" s="264"/>
      <c r="CA240" s="303"/>
    </row>
    <row r="241" customFormat="false" ht="12.75" hidden="false" customHeight="true" outlineLevel="0" collapsed="false">
      <c r="AA241" s="474" t="n">
        <v>2009</v>
      </c>
      <c r="AB241" s="474" t="s">
        <v>587</v>
      </c>
      <c r="AC241" s="475"/>
      <c r="AD241" s="476"/>
      <c r="AE241" s="477" t="n">
        <f aca="false">IVA!AE224+IVA!AE258</f>
        <v>7305043</v>
      </c>
      <c r="AF241" s="477" t="n">
        <f aca="false">IVA!AF224+IVA!AF258</f>
        <v>5790859</v>
      </c>
      <c r="AG241" s="477" t="n">
        <f aca="false">IVA!AG224+IVA!AG258</f>
        <v>5598071</v>
      </c>
      <c r="AH241" s="477" t="n">
        <f aca="false">IVA!AH224+IVA!AH258</f>
        <v>5721387</v>
      </c>
      <c r="AI241" s="477" t="n">
        <f aca="false">IVA!AI224+IVA!AI258</f>
        <v>5761417</v>
      </c>
      <c r="AJ241" s="477" t="n">
        <f aca="false">IVA!AJ224+IVA!AJ258</f>
        <v>5857322</v>
      </c>
      <c r="AK241" s="477" t="n">
        <f aca="false">IVA!AK224+IVA!AK258</f>
        <v>7856580</v>
      </c>
      <c r="AL241" s="477" t="n">
        <f aca="false">IVA!AL224+IVA!AL258</f>
        <v>6364804</v>
      </c>
      <c r="AM241" s="477" t="n">
        <f aca="false">IVA!AM224+IVA!AM258</f>
        <v>6520048</v>
      </c>
      <c r="AN241" s="477" t="n">
        <f aca="false">IVA!AN224+IVA!AN258</f>
        <v>6553657</v>
      </c>
      <c r="AO241" s="477" t="n">
        <f aca="false">IVA!AO224+IVA!AO258</f>
        <v>6278183</v>
      </c>
      <c r="AP241" s="478"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0"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4"/>
      <c r="BW241" s="264"/>
      <c r="BX241" s="263"/>
      <c r="BY241" s="264"/>
      <c r="BZ241" s="264"/>
      <c r="CA241" s="303"/>
    </row>
    <row r="242" customFormat="false" ht="12.75" hidden="false" customHeight="true" outlineLevel="0" collapsed="false">
      <c r="AA242" s="474" t="n">
        <v>2010</v>
      </c>
      <c r="AB242" s="474" t="s">
        <v>587</v>
      </c>
      <c r="AC242" s="475"/>
      <c r="AD242" s="476"/>
      <c r="AE242" s="477" t="n">
        <f aca="false">IVA!AE225+IVA!AE259</f>
        <v>9023895</v>
      </c>
      <c r="AF242" s="477" t="n">
        <f aca="false">IVA!AF225+IVA!AF259</f>
        <v>6922290</v>
      </c>
      <c r="AG242" s="477" t="n">
        <f aca="false">IVA!AG225+IVA!AG259</f>
        <v>6997405</v>
      </c>
      <c r="AH242" s="477" t="n">
        <f aca="false">IVA!AH225+IVA!AH259</f>
        <v>7355142</v>
      </c>
      <c r="AI242" s="477" t="n">
        <f aca="false">IVA!AI225+IVA!AI259</f>
        <v>7590453</v>
      </c>
      <c r="AJ242" s="477" t="n">
        <f aca="false">IVA!AJ225+IVA!AJ259</f>
        <v>7740909</v>
      </c>
      <c r="AK242" s="477" t="n">
        <f aca="false">IVA!AK225+IVA!AK259</f>
        <v>10430462</v>
      </c>
      <c r="AL242" s="477" t="n">
        <f aca="false">IVA!AL225+IVA!AL259</f>
        <v>8193041</v>
      </c>
      <c r="AM242" s="477" t="n">
        <f aca="false">IVA!AM225+IVA!AM259</f>
        <v>8480702</v>
      </c>
      <c r="AN242" s="477" t="n">
        <f aca="false">IVA!AN225+IVA!AN259</f>
        <v>8567794</v>
      </c>
      <c r="AO242" s="477" t="n">
        <f aca="false">IVA!AO225+IVA!AO259</f>
        <v>8984608</v>
      </c>
      <c r="AP242" s="478"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0"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4"/>
      <c r="BW242" s="264"/>
      <c r="BX242" s="263"/>
      <c r="BY242" s="264"/>
      <c r="BZ242" s="264"/>
      <c r="CA242" s="303"/>
    </row>
    <row r="243" customFormat="false" ht="12.75" hidden="false" customHeight="true" outlineLevel="0" collapsed="false">
      <c r="AA243" s="474" t="n">
        <v>2011</v>
      </c>
      <c r="AB243" s="474" t="s">
        <v>587</v>
      </c>
      <c r="AC243" s="475"/>
      <c r="AD243" s="476"/>
      <c r="AE243" s="477" t="n">
        <f aca="false">IVA!AE226+IVA!AE260</f>
        <v>12163902</v>
      </c>
      <c r="AF243" s="477" t="n">
        <f aca="false">IVA!AF226+IVA!AF260</f>
        <v>9657309</v>
      </c>
      <c r="AG243" s="477" t="n">
        <f aca="false">IVA!AG226+IVA!AG260</f>
        <v>9374590</v>
      </c>
      <c r="AH243" s="477" t="n">
        <f aca="false">IVA!AH226+IVA!AH260</f>
        <v>10246175</v>
      </c>
      <c r="AI243" s="477" t="n">
        <f aca="false">IVA!AI226+IVA!AI260</f>
        <v>10285567</v>
      </c>
      <c r="AJ243" s="477" t="n">
        <f aca="false">IVA!AJ226+IVA!AJ260</f>
        <v>10564747</v>
      </c>
      <c r="AK243" s="477" t="n">
        <f aca="false">IVA!AK226+IVA!AK260</f>
        <v>14129843</v>
      </c>
      <c r="AL243" s="477" t="n">
        <f aca="false">IVA!AL226+IVA!AL260</f>
        <v>11091972</v>
      </c>
      <c r="AM243" s="477" t="n">
        <f aca="false">IVA!AM226+IVA!AM260</f>
        <v>11410351</v>
      </c>
      <c r="AN243" s="477" t="n">
        <f aca="false">IVA!AN226+IVA!AN260</f>
        <v>11586703</v>
      </c>
      <c r="AO243" s="477" t="n">
        <f aca="false">IVA!AO226+IVA!AO260</f>
        <v>11541246</v>
      </c>
      <c r="AP243" s="478"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1"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4"/>
      <c r="BW243" s="264"/>
      <c r="BX243" s="263"/>
      <c r="BY243" s="264"/>
      <c r="BZ243" s="264"/>
      <c r="CA243" s="303"/>
    </row>
    <row r="244" customFormat="false" ht="12.75" hidden="false" customHeight="true" outlineLevel="0" collapsed="false">
      <c r="AA244" s="479" t="n">
        <v>2012</v>
      </c>
      <c r="AB244" s="480" t="s">
        <v>587</v>
      </c>
      <c r="AC244" s="481"/>
      <c r="AD244" s="479"/>
      <c r="AE244" s="482" t="n">
        <f aca="false">IVA!AE227+IVA!AE261</f>
        <v>16122954.09545</v>
      </c>
      <c r="AF244" s="482" t="n">
        <f aca="false">IVA!AF227+IVA!AF261</f>
        <v>12506076.22705</v>
      </c>
      <c r="AG244" s="482" t="n">
        <f aca="false">IVA!AG227+IVA!AG261</f>
        <v>12756174.54197</v>
      </c>
      <c r="AH244" s="482" t="n">
        <f aca="false">IVA!AH227+IVA!AH261</f>
        <v>13125729.28527</v>
      </c>
      <c r="AI244" s="482" t="n">
        <f aca="false">IVA!AI227+IVA!AI261</f>
        <v>13650876.73237</v>
      </c>
      <c r="AJ244" s="482" t="n">
        <f aca="false">IVA!AJ227+IVA!AJ261</f>
        <v>13636958.89624</v>
      </c>
      <c r="AK244" s="482" t="n">
        <f aca="false">IVA!AK227+IVA!AK261</f>
        <v>18467177.41041</v>
      </c>
      <c r="AL244" s="482" t="n">
        <f aca="false">IVA!AL227+IVA!AL261</f>
        <v>14472192.84346</v>
      </c>
      <c r="AM244" s="482" t="n">
        <f aca="false">IVA!AM227+IVA!AM261</f>
        <v>14537887.06142</v>
      </c>
      <c r="AN244" s="482" t="n">
        <f aca="false">IVA!AN227+IVA!AN261</f>
        <v>15046929.63391</v>
      </c>
      <c r="AO244" s="482" t="n">
        <f aca="false">IVA!AO227+IVA!AO261</f>
        <v>15383125.48303</v>
      </c>
      <c r="AP244" s="483" t="n">
        <f aca="false">IVA!AP227+IVA!AP261</f>
        <v>15548883.52341</v>
      </c>
      <c r="AQ244" s="326" t="n">
        <f aca="false">IVA!AE244+IVA!AF244+IVA!AG244</f>
        <v>41385204.86447</v>
      </c>
      <c r="AR244" s="326" t="n">
        <f aca="false">IVA!AH244+IVA!AI244+IVA!AJ244</f>
        <v>40413564.91388</v>
      </c>
      <c r="AS244" s="326" t="n">
        <f aca="false">IVA!AK244+IVA!AL244+IVA!AM244</f>
        <v>47477257.31529</v>
      </c>
      <c r="AT244" s="326" t="n">
        <f aca="false">IVA!AP244+IVA!AO244+IVA!AN244</f>
        <v>45978938.64035</v>
      </c>
      <c r="AU244" s="473" t="n">
        <f aca="false">IVA!AQ244+IVA!AR244+IVA!AS244+IVA!AT244</f>
        <v>175254965.73399</v>
      </c>
      <c r="AV244" s="484" t="n">
        <f aca="false">IVA!AQ244/IVA!CJ21</f>
        <v>0.0220728744540317</v>
      </c>
      <c r="AW244" s="484" t="n">
        <f aca="false">IVA!AR244/IVA!CK21</f>
        <v>0.0177785702797111</v>
      </c>
      <c r="AX244" s="484" t="n">
        <f aca="false">IVA!AS244/IVA!CL21</f>
        <v>0.0217495317865357</v>
      </c>
      <c r="AY244" s="484" t="n">
        <f aca="false">IVA!AT244/IVA!CM21</f>
        <v>0.01976757761774</v>
      </c>
      <c r="AZ244" s="485" t="n">
        <f aca="false">IVA!AU244/IVA!CN21</f>
        <v>0.0809773823226137</v>
      </c>
      <c r="BA244" s="454"/>
      <c r="BW244" s="264"/>
      <c r="BX244" s="263"/>
      <c r="BY244" s="264"/>
      <c r="BZ244" s="264"/>
      <c r="CA244" s="303"/>
    </row>
    <row r="245" customFormat="false" ht="12.75" hidden="false" customHeight="true" outlineLevel="0" collapsed="false">
      <c r="AA245" s="479"/>
      <c r="AB245" s="480"/>
      <c r="AC245" s="481"/>
      <c r="AD245" s="479"/>
      <c r="AE245" s="482"/>
      <c r="AF245" s="482"/>
      <c r="AG245" s="482"/>
      <c r="AH245" s="482"/>
      <c r="AI245" s="482"/>
      <c r="AJ245" s="482"/>
      <c r="AK245" s="482"/>
      <c r="AL245" s="482"/>
      <c r="AM245" s="482"/>
      <c r="AN245" s="482"/>
      <c r="AO245" s="482"/>
      <c r="AP245" s="483"/>
      <c r="AQ245" s="326"/>
      <c r="AR245" s="326"/>
      <c r="AS245" s="326"/>
      <c r="AT245" s="326"/>
      <c r="AU245" s="473"/>
      <c r="AV245" s="484"/>
      <c r="AW245" s="484"/>
      <c r="AX245" s="484"/>
      <c r="AY245" s="484"/>
      <c r="AZ245" s="485"/>
      <c r="BA245" s="454"/>
      <c r="BW245" s="264"/>
      <c r="BX245" s="263"/>
      <c r="BY245" s="264"/>
      <c r="BZ245" s="264"/>
      <c r="CA245" s="303"/>
    </row>
    <row r="246" customFormat="false" ht="12.75" hidden="false" customHeight="true" outlineLevel="0" collapsed="false">
      <c r="AA246" s="486" t="n">
        <v>1997</v>
      </c>
      <c r="AB246" s="486" t="s">
        <v>588</v>
      </c>
      <c r="AC246" s="487"/>
      <c r="AD246" s="488"/>
      <c r="AE246" s="489" t="n">
        <v>682595</v>
      </c>
      <c r="AF246" s="489" t="n">
        <v>497612</v>
      </c>
      <c r="AG246" s="489" t="n">
        <v>460799</v>
      </c>
      <c r="AH246" s="489" t="n">
        <v>514408</v>
      </c>
      <c r="AI246" s="489" t="n">
        <v>493779</v>
      </c>
      <c r="AJ246" s="489" t="n">
        <v>466147</v>
      </c>
      <c r="AK246" s="489" t="n">
        <v>725901</v>
      </c>
      <c r="AL246" s="489" t="n">
        <v>479597</v>
      </c>
      <c r="AM246" s="489" t="n">
        <v>503472</v>
      </c>
      <c r="AN246" s="489" t="n">
        <v>528040</v>
      </c>
      <c r="AO246" s="489" t="n">
        <v>488363</v>
      </c>
      <c r="AP246" s="490"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1"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4"/>
      <c r="BW246" s="264"/>
      <c r="BX246" s="263"/>
      <c r="BY246" s="264"/>
      <c r="BZ246" s="264"/>
      <c r="CA246" s="303"/>
    </row>
    <row r="247" customFormat="false" ht="12.75" hidden="false" customHeight="true" outlineLevel="0" collapsed="false">
      <c r="AA247" s="486" t="n">
        <v>1998</v>
      </c>
      <c r="AB247" s="486" t="s">
        <v>588</v>
      </c>
      <c r="AC247" s="487"/>
      <c r="AD247" s="488"/>
      <c r="AE247" s="489" t="n">
        <v>685751</v>
      </c>
      <c r="AF247" s="489" t="n">
        <v>486237</v>
      </c>
      <c r="AG247" s="489" t="n">
        <v>487936</v>
      </c>
      <c r="AH247" s="489" t="n">
        <v>489540</v>
      </c>
      <c r="AI247" s="489" t="n">
        <v>482093</v>
      </c>
      <c r="AJ247" s="489" t="n">
        <v>481871</v>
      </c>
      <c r="AK247" s="489" t="n">
        <v>696291</v>
      </c>
      <c r="AL247" s="489" t="n">
        <v>499522</v>
      </c>
      <c r="AM247" s="489" t="n">
        <v>490859</v>
      </c>
      <c r="AN247" s="489" t="n">
        <v>488177</v>
      </c>
      <c r="AO247" s="489" t="n">
        <v>488658</v>
      </c>
      <c r="AP247" s="490"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1"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4"/>
      <c r="BW247" s="264"/>
      <c r="BX247" s="263"/>
      <c r="BY247" s="264"/>
      <c r="BZ247" s="264"/>
      <c r="CA247" s="303"/>
    </row>
    <row r="248" customFormat="false" ht="12.75" hidden="false" customHeight="true" outlineLevel="0" collapsed="false">
      <c r="AA248" s="486" t="n">
        <v>1999</v>
      </c>
      <c r="AB248" s="486" t="s">
        <v>588</v>
      </c>
      <c r="AC248" s="487"/>
      <c r="AD248" s="488"/>
      <c r="AE248" s="489" t="n">
        <v>702940</v>
      </c>
      <c r="AF248" s="489" t="n">
        <v>496031</v>
      </c>
      <c r="AG248" s="489" t="n">
        <v>496213</v>
      </c>
      <c r="AH248" s="489" t="n">
        <v>471322</v>
      </c>
      <c r="AI248" s="489" t="n">
        <v>476925</v>
      </c>
      <c r="AJ248" s="489" t="n">
        <v>471059</v>
      </c>
      <c r="AK248" s="489" t="n">
        <v>671501</v>
      </c>
      <c r="AL248" s="489" t="n">
        <v>479626</v>
      </c>
      <c r="AM248" s="489" t="n">
        <v>473308</v>
      </c>
      <c r="AN248" s="489" t="n">
        <v>466055</v>
      </c>
      <c r="AO248" s="489" t="n">
        <v>482637</v>
      </c>
      <c r="AP248" s="490"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1"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4"/>
      <c r="BW248" s="264"/>
      <c r="BX248" s="263"/>
      <c r="BY248" s="264"/>
      <c r="BZ248" s="264"/>
      <c r="CA248" s="303"/>
    </row>
    <row r="249" customFormat="false" ht="12.75" hidden="false" customHeight="true" outlineLevel="0" collapsed="false">
      <c r="AA249" s="486" t="n">
        <v>2000</v>
      </c>
      <c r="AB249" s="486" t="s">
        <v>588</v>
      </c>
      <c r="AC249" s="487"/>
      <c r="AD249" s="488"/>
      <c r="AE249" s="489" t="n">
        <v>682540.276</v>
      </c>
      <c r="AF249" s="489" t="n">
        <v>498534.163</v>
      </c>
      <c r="AG249" s="489" t="n">
        <v>506964.497</v>
      </c>
      <c r="AH249" s="489" t="n">
        <v>488301.871</v>
      </c>
      <c r="AI249" s="489" t="n">
        <v>488385.04</v>
      </c>
      <c r="AJ249" s="489" t="n">
        <v>498538.234</v>
      </c>
      <c r="AK249" s="489" t="n">
        <v>690124.777</v>
      </c>
      <c r="AL249" s="489" t="n">
        <v>495474.323</v>
      </c>
      <c r="AM249" s="489" t="n">
        <v>476983.779</v>
      </c>
      <c r="AN249" s="489" t="n">
        <v>482395.097</v>
      </c>
      <c r="AO249" s="489" t="n">
        <v>464835.1348</v>
      </c>
      <c r="AP249" s="490"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1"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4"/>
      <c r="BW249" s="264"/>
      <c r="BX249" s="263"/>
      <c r="BY249" s="264"/>
      <c r="BZ249" s="264"/>
      <c r="CA249" s="303"/>
    </row>
    <row r="250" customFormat="false" ht="12.75" hidden="false" customHeight="true" outlineLevel="0" collapsed="false">
      <c r="AA250" s="486" t="n">
        <v>2001</v>
      </c>
      <c r="AB250" s="486" t="s">
        <v>588</v>
      </c>
      <c r="AC250" s="487"/>
      <c r="AD250" s="488"/>
      <c r="AE250" s="489" t="n">
        <v>677667.188</v>
      </c>
      <c r="AF250" s="489" t="n">
        <v>505750.107</v>
      </c>
      <c r="AG250" s="489" t="n">
        <v>516659.963</v>
      </c>
      <c r="AH250" s="489" t="n">
        <v>477545.406</v>
      </c>
      <c r="AI250" s="489" t="n">
        <v>484705.426</v>
      </c>
      <c r="AJ250" s="489" t="n">
        <v>461633.696</v>
      </c>
      <c r="AK250" s="489" t="n">
        <v>657095.996</v>
      </c>
      <c r="AL250" s="489" t="n">
        <v>451440.997</v>
      </c>
      <c r="AM250" s="489" t="n">
        <v>435380.217</v>
      </c>
      <c r="AN250" s="489" t="n">
        <v>437836.003</v>
      </c>
      <c r="AO250" s="489" t="n">
        <v>413868.24</v>
      </c>
      <c r="AP250" s="490"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1"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4"/>
      <c r="BW250" s="264"/>
      <c r="BX250" s="263"/>
      <c r="BY250" s="264"/>
      <c r="BZ250" s="264"/>
      <c r="CA250" s="303"/>
    </row>
    <row r="251" customFormat="false" ht="12.75" hidden="false" customHeight="true" outlineLevel="0" collapsed="false">
      <c r="AA251" s="486" t="n">
        <v>2002</v>
      </c>
      <c r="AB251" s="486" t="s">
        <v>588</v>
      </c>
      <c r="AC251" s="487"/>
      <c r="AD251" s="488"/>
      <c r="AE251" s="489" t="n">
        <v>322163.109</v>
      </c>
      <c r="AF251" s="489" t="n">
        <v>253250.831</v>
      </c>
      <c r="AG251" s="489" t="n">
        <v>258511.272</v>
      </c>
      <c r="AH251" s="489" t="n">
        <v>244674.048</v>
      </c>
      <c r="AI251" s="489" t="n">
        <v>310116.598</v>
      </c>
      <c r="AJ251" s="489" t="n">
        <v>291637.226</v>
      </c>
      <c r="AK251" s="489" t="n">
        <v>405957.984</v>
      </c>
      <c r="AL251" s="489" t="n">
        <v>303032.389</v>
      </c>
      <c r="AM251" s="489" t="n">
        <v>297184.993</v>
      </c>
      <c r="AN251" s="489" t="n">
        <v>298341.609</v>
      </c>
      <c r="AO251" s="489" t="n">
        <v>291606.508</v>
      </c>
      <c r="AP251" s="490"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1"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4"/>
      <c r="BW251" s="264"/>
      <c r="BX251" s="263"/>
      <c r="BY251" s="264"/>
      <c r="BZ251" s="264"/>
      <c r="CA251" s="303"/>
    </row>
    <row r="252" customFormat="false" ht="12.75" hidden="false" customHeight="true" outlineLevel="0" collapsed="false">
      <c r="AA252" s="486" t="n">
        <v>2003</v>
      </c>
      <c r="AB252" s="486" t="s">
        <v>588</v>
      </c>
      <c r="AC252" s="487"/>
      <c r="AD252" s="488"/>
      <c r="AE252" s="489" t="n">
        <v>416764.458</v>
      </c>
      <c r="AF252" s="489" t="n">
        <v>309728.795</v>
      </c>
      <c r="AG252" s="489" t="n">
        <v>314765.941</v>
      </c>
      <c r="AH252" s="489" t="n">
        <v>358588.931</v>
      </c>
      <c r="AI252" s="489" t="n">
        <v>368446.408</v>
      </c>
      <c r="AJ252" s="489" t="n">
        <v>356926.146</v>
      </c>
      <c r="AK252" s="489" t="n">
        <v>515588.072</v>
      </c>
      <c r="AL252" s="489" t="n">
        <v>383202.519</v>
      </c>
      <c r="AM252" s="489" t="n">
        <v>401671.586</v>
      </c>
      <c r="AN252" s="489" t="n">
        <v>411342.634</v>
      </c>
      <c r="AO252" s="489" t="n">
        <v>430627.1721</v>
      </c>
      <c r="AP252" s="490"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1"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4"/>
      <c r="BW252" s="264"/>
      <c r="BX252" s="263"/>
      <c r="BY252" s="264"/>
      <c r="BZ252" s="264"/>
      <c r="CA252" s="303"/>
    </row>
    <row r="253" customFormat="false" ht="12.75" hidden="false" customHeight="true" outlineLevel="0" collapsed="false">
      <c r="AA253" s="486" t="n">
        <v>2004</v>
      </c>
      <c r="AB253" s="486" t="s">
        <v>588</v>
      </c>
      <c r="AC253" s="487"/>
      <c r="AD253" s="488"/>
      <c r="AE253" s="489" t="n">
        <v>628156.43591</v>
      </c>
      <c r="AF253" s="489" t="n">
        <v>477167.50381</v>
      </c>
      <c r="AG253" s="489" t="n">
        <v>482590.91555</v>
      </c>
      <c r="AH253" s="489" t="n">
        <v>500056.81191</v>
      </c>
      <c r="AI253" s="489" t="n">
        <v>513955.09991</v>
      </c>
      <c r="AJ253" s="489" t="n">
        <v>481949.91613</v>
      </c>
      <c r="AK253" s="489" t="n">
        <v>692545.9344</v>
      </c>
      <c r="AL253" s="489" t="n">
        <v>502552.52882</v>
      </c>
      <c r="AM253" s="489" t="n">
        <v>530979.88191</v>
      </c>
      <c r="AN253" s="489" t="n">
        <v>519187.12753</v>
      </c>
      <c r="AO253" s="489" t="n">
        <v>516371.07187</v>
      </c>
      <c r="AP253" s="490"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1"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4"/>
      <c r="BW253" s="264"/>
      <c r="BX253" s="263"/>
      <c r="BY253" s="264"/>
      <c r="BZ253" s="264"/>
      <c r="CA253" s="303"/>
    </row>
    <row r="254" customFormat="false" ht="12.75" hidden="false" customHeight="true" outlineLevel="0" collapsed="false">
      <c r="AA254" s="486" t="n">
        <v>2005</v>
      </c>
      <c r="AB254" s="486" t="s">
        <v>588</v>
      </c>
      <c r="AC254" s="487"/>
      <c r="AD254" s="488"/>
      <c r="AE254" s="489" t="n">
        <v>764238.30681</v>
      </c>
      <c r="AF254" s="489" t="n">
        <v>576046.78419</v>
      </c>
      <c r="AG254" s="489" t="n">
        <v>559169.47947</v>
      </c>
      <c r="AH254" s="489" t="n">
        <v>574950.24246</v>
      </c>
      <c r="AI254" s="489" t="n">
        <v>589867.26991</v>
      </c>
      <c r="AJ254" s="489" t="n">
        <v>614048.4327</v>
      </c>
      <c r="AK254" s="489" t="n">
        <v>841372.89066</v>
      </c>
      <c r="AL254" s="489" t="n">
        <v>646943.74498</v>
      </c>
      <c r="AM254" s="489" t="n">
        <v>664964.33635</v>
      </c>
      <c r="AN254" s="489" t="n">
        <v>706932.29679</v>
      </c>
      <c r="AO254" s="489" t="n">
        <v>726323.50543</v>
      </c>
      <c r="AP254" s="490"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1"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4"/>
      <c r="BW254" s="264"/>
      <c r="BX254" s="263"/>
      <c r="BY254" s="264"/>
      <c r="BZ254" s="264"/>
      <c r="CA254" s="303"/>
    </row>
    <row r="255" customFormat="false" ht="12.75" hidden="false" customHeight="true" outlineLevel="0" collapsed="false">
      <c r="AA255" s="486" t="n">
        <v>2006</v>
      </c>
      <c r="AB255" s="486" t="s">
        <v>588</v>
      </c>
      <c r="AC255" s="487"/>
      <c r="AD255" s="488"/>
      <c r="AE255" s="489" t="n">
        <v>1010033.33653</v>
      </c>
      <c r="AF255" s="489" t="n">
        <v>773956.30795</v>
      </c>
      <c r="AG255" s="489" t="n">
        <v>780122.05799</v>
      </c>
      <c r="AH255" s="489" t="n">
        <v>789293.80991</v>
      </c>
      <c r="AI255" s="489" t="n">
        <v>827740.77005</v>
      </c>
      <c r="AJ255" s="489" t="n">
        <v>832154.18555</v>
      </c>
      <c r="AK255" s="489" t="n">
        <v>1161650.15054</v>
      </c>
      <c r="AL255" s="489" t="n">
        <v>890319.77317</v>
      </c>
      <c r="AM255" s="489" t="n">
        <v>888221.20577</v>
      </c>
      <c r="AN255" s="489" t="n">
        <v>910037.67223</v>
      </c>
      <c r="AO255" s="489" t="n">
        <v>924476.438459999</v>
      </c>
      <c r="AP255" s="490"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1"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4"/>
      <c r="BW255" s="264"/>
      <c r="BX255" s="263"/>
      <c r="BY255" s="264"/>
      <c r="BZ255" s="264"/>
      <c r="CA255" s="303"/>
    </row>
    <row r="256" customFormat="false" ht="12.75" hidden="false" customHeight="true" outlineLevel="0" collapsed="false">
      <c r="AA256" s="486" t="n">
        <v>2007</v>
      </c>
      <c r="AB256" s="486" t="s">
        <v>588</v>
      </c>
      <c r="AC256" s="487"/>
      <c r="AD256" s="488"/>
      <c r="AE256" s="489" t="n">
        <v>1336969.4653</v>
      </c>
      <c r="AF256" s="489" t="n">
        <v>1032072.92289</v>
      </c>
      <c r="AG256" s="489" t="n">
        <v>1017583.41375</v>
      </c>
      <c r="AH256" s="489" t="n">
        <v>1019749.29056</v>
      </c>
      <c r="AI256" s="489" t="n">
        <v>1107031.99723</v>
      </c>
      <c r="AJ256" s="489" t="n">
        <v>1078716.39954</v>
      </c>
      <c r="AK256" s="489" t="n">
        <v>1516834.26605</v>
      </c>
      <c r="AL256" s="489" t="n">
        <v>1153959.23973</v>
      </c>
      <c r="AM256" s="489" t="n">
        <v>1172138.15758</v>
      </c>
      <c r="AN256" s="489" t="n">
        <v>1304285.54727</v>
      </c>
      <c r="AO256" s="489" t="n">
        <v>1279956.11487</v>
      </c>
      <c r="AP256" s="490"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1"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4"/>
      <c r="BW256" s="264"/>
      <c r="BX256" s="263"/>
      <c r="BY256" s="264"/>
      <c r="BZ256" s="264"/>
      <c r="CA256" s="303"/>
    </row>
    <row r="257" customFormat="false" ht="12.75" hidden="false" customHeight="true" outlineLevel="0" collapsed="false">
      <c r="AA257" s="486" t="n">
        <v>2008</v>
      </c>
      <c r="AB257" s="486" t="s">
        <v>588</v>
      </c>
      <c r="AC257" s="487"/>
      <c r="AD257" s="488"/>
      <c r="AE257" s="489" t="n">
        <v>1747273.56752</v>
      </c>
      <c r="AF257" s="489" t="n">
        <v>1661775.47404</v>
      </c>
      <c r="AG257" s="489" t="n">
        <v>1619754.6236</v>
      </c>
      <c r="AH257" s="489" t="n">
        <v>1754876.56439</v>
      </c>
      <c r="AI257" s="489" t="n">
        <v>1832785.08093</v>
      </c>
      <c r="AJ257" s="489" t="n">
        <v>1853451.92152</v>
      </c>
      <c r="AK257" s="489" t="n">
        <v>2565781.77522</v>
      </c>
      <c r="AL257" s="489" t="n">
        <v>1950585.56567</v>
      </c>
      <c r="AM257" s="489" t="n">
        <v>2015308.41978</v>
      </c>
      <c r="AN257" s="489" t="n">
        <v>2046402.81887</v>
      </c>
      <c r="AO257" s="489" t="n">
        <v>2151381.72478</v>
      </c>
      <c r="AP257" s="490"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1"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4"/>
      <c r="BW257" s="138"/>
      <c r="BX257" s="139"/>
      <c r="BY257" s="138"/>
      <c r="BZ257" s="138"/>
      <c r="CA257" s="273"/>
    </row>
    <row r="258" customFormat="false" ht="12.75" hidden="false" customHeight="true" outlineLevel="0" collapsed="false">
      <c r="AA258" s="486" t="n">
        <v>2009</v>
      </c>
      <c r="AB258" s="486" t="s">
        <v>588</v>
      </c>
      <c r="AC258" s="487"/>
      <c r="AD258" s="488"/>
      <c r="AE258" s="489" t="n">
        <v>2808668</v>
      </c>
      <c r="AF258" s="489" t="n">
        <v>2166934</v>
      </c>
      <c r="AG258" s="489" t="n">
        <v>2083821</v>
      </c>
      <c r="AH258" s="489" t="n">
        <v>2117001</v>
      </c>
      <c r="AI258" s="489" t="n">
        <v>2043882</v>
      </c>
      <c r="AJ258" s="489" t="n">
        <v>2217603</v>
      </c>
      <c r="AK258" s="489" t="n">
        <v>3031109</v>
      </c>
      <c r="AL258" s="489" t="n">
        <v>2394563</v>
      </c>
      <c r="AM258" s="489" t="n">
        <v>2402174</v>
      </c>
      <c r="AN258" s="489" t="n">
        <v>2491140</v>
      </c>
      <c r="AO258" s="489" t="n">
        <v>2465216</v>
      </c>
      <c r="AP258" s="490"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1"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4"/>
      <c r="BW258" s="138"/>
      <c r="BX258" s="139"/>
      <c r="BY258" s="138"/>
      <c r="BZ258" s="138"/>
      <c r="CA258" s="273"/>
    </row>
    <row r="259" customFormat="false" ht="12.75" hidden="false" customHeight="true" outlineLevel="0" collapsed="false">
      <c r="AA259" s="486" t="n">
        <v>2010</v>
      </c>
      <c r="AB259" s="486" t="s">
        <v>588</v>
      </c>
      <c r="AC259" s="487"/>
      <c r="AD259" s="488"/>
      <c r="AE259" s="489" t="n">
        <v>3500747</v>
      </c>
      <c r="AF259" s="489" t="n">
        <v>2559222</v>
      </c>
      <c r="AG259" s="489" t="n">
        <v>2610588</v>
      </c>
      <c r="AH259" s="489" t="n">
        <v>2771994</v>
      </c>
      <c r="AI259" s="489" t="n">
        <v>2896093</v>
      </c>
      <c r="AJ259" s="489" t="n">
        <v>2968922</v>
      </c>
      <c r="AK259" s="489" t="n">
        <v>4048570</v>
      </c>
      <c r="AL259" s="489" t="n">
        <v>3089779</v>
      </c>
      <c r="AM259" s="489" t="n">
        <v>3193633</v>
      </c>
      <c r="AN259" s="489" t="n">
        <v>3219954</v>
      </c>
      <c r="AO259" s="489" t="n">
        <v>3378564</v>
      </c>
      <c r="AP259" s="490"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1"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4"/>
      <c r="BW259" s="138"/>
      <c r="BX259" s="139"/>
      <c r="BY259" s="138"/>
      <c r="BZ259" s="138"/>
      <c r="CA259" s="273"/>
    </row>
    <row r="260" customFormat="false" ht="12.75" hidden="false" customHeight="true" outlineLevel="0" collapsed="false">
      <c r="AA260" s="486" t="n">
        <v>2011</v>
      </c>
      <c r="AB260" s="486" t="s">
        <v>588</v>
      </c>
      <c r="AC260" s="487"/>
      <c r="AD260" s="488"/>
      <c r="AE260" s="489" t="n">
        <v>4674018</v>
      </c>
      <c r="AF260" s="489" t="n">
        <v>3603342</v>
      </c>
      <c r="AG260" s="489" t="n">
        <v>3544311</v>
      </c>
      <c r="AH260" s="489" t="n">
        <v>3802980</v>
      </c>
      <c r="AI260" s="489" t="n">
        <v>3919810</v>
      </c>
      <c r="AJ260" s="489" t="n">
        <v>4037083</v>
      </c>
      <c r="AK260" s="489" t="n">
        <v>5492108</v>
      </c>
      <c r="AL260" s="489" t="n">
        <v>4270534</v>
      </c>
      <c r="AM260" s="489" t="n">
        <v>4423497</v>
      </c>
      <c r="AN260" s="489" t="n">
        <v>4531162</v>
      </c>
      <c r="AO260" s="489" t="n">
        <v>4528590</v>
      </c>
      <c r="AP260" s="490"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1"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4"/>
      <c r="BW260" s="138"/>
      <c r="BX260" s="139"/>
      <c r="BY260" s="138"/>
      <c r="BZ260" s="138"/>
      <c r="CA260" s="273"/>
    </row>
    <row r="261" customFormat="false" ht="12.75" hidden="false" customHeight="true" outlineLevel="0" collapsed="false">
      <c r="AA261" s="492" t="n">
        <v>2012</v>
      </c>
      <c r="AB261" s="492" t="s">
        <v>588</v>
      </c>
      <c r="AC261" s="493"/>
      <c r="AD261" s="494"/>
      <c r="AE261" s="495" t="n">
        <v>6432765.55781</v>
      </c>
      <c r="AF261" s="495" t="n">
        <v>4864898.76909</v>
      </c>
      <c r="AG261" s="495" t="n">
        <v>5026603.97404</v>
      </c>
      <c r="AH261" s="495" t="n">
        <v>5082544.28313</v>
      </c>
      <c r="AI261" s="495" t="n">
        <v>5407460.28575</v>
      </c>
      <c r="AJ261" s="495" t="n">
        <v>5380640.34822</v>
      </c>
      <c r="AK261" s="495" t="n">
        <v>7389598.01777</v>
      </c>
      <c r="AL261" s="495" t="n">
        <v>5738627.65497</v>
      </c>
      <c r="AM261" s="495" t="n">
        <v>5812693.31108</v>
      </c>
      <c r="AN261" s="495" t="n">
        <v>6025690.41751</v>
      </c>
      <c r="AO261" s="495" t="n">
        <v>6156456.54539</v>
      </c>
      <c r="AP261" s="496" t="n">
        <v>6225707.31634</v>
      </c>
      <c r="AQ261" s="326" t="n">
        <f aca="false">IVA!AE261+IVA!AF261+IVA!AG261</f>
        <v>16324268.30094</v>
      </c>
      <c r="AR261" s="326" t="n">
        <f aca="false">IVA!AH261+IVA!AI261+IVA!AJ261</f>
        <v>15870644.9171</v>
      </c>
      <c r="AS261" s="326" t="n">
        <f aca="false">IVA!AK261+IVA!AL261+IVA!AM261</f>
        <v>18940918.98382</v>
      </c>
      <c r="AT261" s="326" t="n">
        <f aca="false">IVA!AN261+IVA!AO261+IVA!AP261</f>
        <v>18407854.27924</v>
      </c>
      <c r="AU261" s="497"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4"/>
      <c r="BW261" s="138"/>
      <c r="BX261" s="139"/>
      <c r="BY261" s="138"/>
      <c r="BZ261" s="138"/>
      <c r="CA261" s="273"/>
    </row>
    <row r="262" customFormat="false" ht="12.75" hidden="false" customHeight="true" outlineLevel="0" collapsed="false">
      <c r="AA262" s="486" t="n">
        <v>1997</v>
      </c>
      <c r="AB262" s="486" t="s">
        <v>589</v>
      </c>
      <c r="AQ262" s="498" t="n">
        <v>271260</v>
      </c>
      <c r="AR262" s="499" t="n">
        <v>299872.538771224</v>
      </c>
      <c r="AS262" s="499" t="n">
        <v>298264.991508642</v>
      </c>
      <c r="AT262" s="499" t="n">
        <v>302037.522729126</v>
      </c>
      <c r="AU262" s="499" t="n">
        <v>292858.877329543</v>
      </c>
      <c r="BA262" s="454"/>
      <c r="BW262" s="138"/>
      <c r="BX262" s="139"/>
      <c r="BY262" s="138"/>
      <c r="BZ262" s="138"/>
      <c r="CA262" s="273"/>
    </row>
    <row r="263" customFormat="false" ht="12.75" hidden="false" customHeight="true" outlineLevel="0" collapsed="false">
      <c r="AA263" s="486" t="n">
        <v>1998</v>
      </c>
      <c r="AB263" s="486" t="s">
        <v>589</v>
      </c>
      <c r="AQ263" s="498" t="n">
        <v>282764</v>
      </c>
      <c r="AR263" s="499" t="n">
        <v>312129.111033039</v>
      </c>
      <c r="AS263" s="499" t="n">
        <v>305474.768316651</v>
      </c>
      <c r="AT263" s="499" t="n">
        <v>295425.322568576</v>
      </c>
      <c r="AU263" s="499" t="n">
        <v>298948.358554208</v>
      </c>
      <c r="BA263" s="454"/>
      <c r="BW263" s="138"/>
      <c r="BX263" s="139"/>
      <c r="BY263" s="138"/>
      <c r="BZ263" s="138"/>
      <c r="CA263" s="273"/>
    </row>
    <row r="264" customFormat="false" ht="12.75" hidden="false" customHeight="true" outlineLevel="0" collapsed="false">
      <c r="AA264" s="486" t="n">
        <v>1999</v>
      </c>
      <c r="AB264" s="486" t="s">
        <v>589</v>
      </c>
      <c r="AQ264" s="498" t="n">
        <v>270746</v>
      </c>
      <c r="AR264" s="499" t="n">
        <v>288829.855936148</v>
      </c>
      <c r="AS264" s="499" t="n">
        <v>285087.021390668</v>
      </c>
      <c r="AT264" s="499" t="n">
        <v>289428.828976948</v>
      </c>
      <c r="AU264" s="499" t="n">
        <v>283523.023980675</v>
      </c>
      <c r="BA264" s="454"/>
      <c r="BW264" s="138"/>
      <c r="BX264" s="139"/>
      <c r="BY264" s="138"/>
      <c r="BZ264" s="138"/>
      <c r="CA264" s="273"/>
    </row>
    <row r="265" customFormat="false" ht="12.75" hidden="false" customHeight="true" outlineLevel="0" collapsed="false">
      <c r="AA265" s="486" t="n">
        <v>2000</v>
      </c>
      <c r="AB265" s="486" t="s">
        <v>589</v>
      </c>
      <c r="AQ265" s="498" t="n">
        <v>270444</v>
      </c>
      <c r="AR265" s="499" t="n">
        <v>291796.004446794</v>
      </c>
      <c r="AS265" s="499" t="n">
        <v>287495.642393761</v>
      </c>
      <c r="AT265" s="499" t="n">
        <v>287079.012355848</v>
      </c>
      <c r="AU265" s="499" t="n">
        <v>284203.739314622</v>
      </c>
      <c r="BA265" s="454"/>
      <c r="BW265" s="138"/>
      <c r="BX265" s="139"/>
      <c r="BY265" s="138"/>
      <c r="BZ265" s="138"/>
      <c r="CA265" s="273"/>
    </row>
    <row r="266" customFormat="false" ht="12.75" hidden="false" customHeight="true" outlineLevel="0" collapsed="false">
      <c r="AA266" s="486" t="n">
        <v>2001</v>
      </c>
      <c r="AB266" s="486" t="s">
        <v>589</v>
      </c>
      <c r="AQ266" s="498" t="n">
        <v>263331</v>
      </c>
      <c r="AR266" s="499" t="n">
        <v>288026.075229806</v>
      </c>
      <c r="AS266" s="499" t="n">
        <v>271367.22709886</v>
      </c>
      <c r="AT266" s="499" t="n">
        <v>252062.944321547</v>
      </c>
      <c r="AU266" s="499" t="n">
        <v>268696.708834292</v>
      </c>
      <c r="BA266" s="454"/>
      <c r="BW266" s="138"/>
      <c r="BX266" s="139"/>
      <c r="BY266" s="138"/>
      <c r="BZ266" s="138"/>
      <c r="CA266" s="273"/>
    </row>
    <row r="267" customFormat="false" ht="12.75" hidden="false" customHeight="true" outlineLevel="0" collapsed="false">
      <c r="AA267" s="486" t="n">
        <v>2002</v>
      </c>
      <c r="AB267" s="486" t="s">
        <v>589</v>
      </c>
      <c r="AQ267" s="498" t="n">
        <v>237057</v>
      </c>
      <c r="AR267" s="499" t="n">
        <v>339008.201679561</v>
      </c>
      <c r="AS267" s="499" t="n">
        <v>334006.230849009</v>
      </c>
      <c r="AT267" s="499" t="n">
        <v>340249.423023982</v>
      </c>
      <c r="AU267" s="500" t="n">
        <v>312580.143860367</v>
      </c>
      <c r="BA267" s="454"/>
      <c r="BW267" s="138"/>
      <c r="BX267" s="139"/>
      <c r="BY267" s="138"/>
      <c r="BZ267" s="138"/>
      <c r="CA267" s="273"/>
    </row>
    <row r="268" customFormat="false" ht="12.75" hidden="false" customHeight="true" outlineLevel="0" collapsed="false">
      <c r="AA268" s="486" t="n">
        <v>2003</v>
      </c>
      <c r="AB268" s="486" t="s">
        <v>589</v>
      </c>
      <c r="AQ268" s="498" t="n">
        <v>327362</v>
      </c>
      <c r="AR268" s="499" t="n">
        <v>399118.836681335</v>
      </c>
      <c r="AS268" s="499" t="n">
        <v>377887.242827428</v>
      </c>
      <c r="AT268" s="499" t="n">
        <v>399269.599017877</v>
      </c>
      <c r="AU268" s="501" t="n">
        <v>375909.361396649</v>
      </c>
      <c r="BA268" s="454"/>
      <c r="BW268" s="138"/>
      <c r="BX268" s="139"/>
      <c r="BY268" s="138"/>
      <c r="BZ268" s="138"/>
      <c r="CA268" s="273"/>
    </row>
    <row r="269" customFormat="false" ht="12.75" hidden="false" customHeight="true" outlineLevel="0" collapsed="false">
      <c r="AA269" s="486" t="n">
        <v>2004</v>
      </c>
      <c r="AB269" s="486" t="s">
        <v>589</v>
      </c>
      <c r="AQ269" s="498" t="n">
        <v>392817</v>
      </c>
      <c r="AR269" s="499" t="n">
        <v>474213.080063172</v>
      </c>
      <c r="AS269" s="499" t="n">
        <v>452079.663840847</v>
      </c>
      <c r="AT269" s="499" t="n">
        <v>471463.528666443</v>
      </c>
      <c r="AU269" s="501" t="n">
        <v>447643.425641841</v>
      </c>
      <c r="BA269" s="454"/>
      <c r="BW269" s="138"/>
      <c r="BX269" s="139"/>
      <c r="BY269" s="138"/>
      <c r="BZ269" s="138"/>
      <c r="CA269" s="273"/>
    </row>
    <row r="270" customFormat="false" ht="12.75" hidden="false" customHeight="true" outlineLevel="0" collapsed="false">
      <c r="AA270" s="486" t="n">
        <v>2005</v>
      </c>
      <c r="AB270" s="486" t="s">
        <v>589</v>
      </c>
      <c r="AQ270" s="498" t="n">
        <v>456764</v>
      </c>
      <c r="AR270" s="499" t="n">
        <v>552411.829673941</v>
      </c>
      <c r="AS270" s="499" t="n">
        <v>544228.166865614</v>
      </c>
      <c r="AT270" s="499" t="n">
        <v>574351.15407466</v>
      </c>
      <c r="AU270" s="501" t="n">
        <v>531938.722296405</v>
      </c>
      <c r="BA270" s="454"/>
      <c r="BW270" s="138"/>
      <c r="BX270" s="139"/>
      <c r="BY270" s="138"/>
      <c r="BZ270" s="138"/>
      <c r="CA270" s="273"/>
    </row>
    <row r="271" customFormat="false" ht="12.75" hidden="false" customHeight="true" outlineLevel="0" collapsed="false">
      <c r="AA271" s="486" t="n">
        <v>2006</v>
      </c>
      <c r="AB271" s="486" t="s">
        <v>589</v>
      </c>
      <c r="AQ271" s="498" t="n">
        <v>567994</v>
      </c>
      <c r="AR271" s="499" t="n">
        <v>678278.475284539</v>
      </c>
      <c r="AS271" s="499" t="n">
        <v>668197.229164594</v>
      </c>
      <c r="AT271" s="499" t="n">
        <v>703285.920838499</v>
      </c>
      <c r="AU271" s="500" t="n">
        <v>654438.985248647</v>
      </c>
      <c r="BA271" s="454"/>
      <c r="BW271" s="138"/>
      <c r="BX271" s="139"/>
      <c r="BY271" s="138"/>
      <c r="BZ271" s="138"/>
      <c r="CA271" s="273"/>
    </row>
    <row r="272" customFormat="false" ht="12.75" hidden="false" customHeight="true" outlineLevel="0" collapsed="false">
      <c r="AA272" s="486" t="n">
        <v>2007</v>
      </c>
      <c r="AB272" s="486" t="s">
        <v>589</v>
      </c>
      <c r="AQ272" s="498" t="n">
        <v>681120</v>
      </c>
      <c r="AR272" s="499" t="n">
        <v>835125.270312335</v>
      </c>
      <c r="AS272" s="28" t="n">
        <v>827463</v>
      </c>
      <c r="AT272" s="499" t="n">
        <v>906114.923568755</v>
      </c>
      <c r="AU272" s="499" t="n">
        <v>812455.828265131</v>
      </c>
      <c r="BA272" s="454"/>
      <c r="BW272" s="264"/>
      <c r="BX272" s="263"/>
      <c r="BY272" s="264"/>
      <c r="BZ272" s="264"/>
      <c r="CA272" s="303"/>
    </row>
    <row r="273" customFormat="false" ht="12.75" hidden="false" customHeight="true" outlineLevel="0" collapsed="false">
      <c r="AA273" s="486" t="n">
        <v>2008</v>
      </c>
      <c r="AB273" s="486" t="s">
        <v>589</v>
      </c>
      <c r="AQ273" s="498" t="n">
        <v>887643</v>
      </c>
      <c r="AR273" s="499" t="n">
        <v>1107942.84035203</v>
      </c>
      <c r="AS273" s="499" t="n">
        <v>1057550.79349456</v>
      </c>
      <c r="AT273" s="499" t="n">
        <v>1077896.38918338</v>
      </c>
      <c r="AU273" s="498" t="n">
        <v>1032758</v>
      </c>
      <c r="BW273" s="502"/>
      <c r="BX273" s="502"/>
      <c r="BY273" s="502"/>
      <c r="BZ273" s="502"/>
      <c r="CA273" s="502"/>
    </row>
    <row r="274" customFormat="false" ht="12.75" hidden="false" customHeight="true" outlineLevel="0" collapsed="false">
      <c r="AA274" s="486" t="n">
        <v>2009</v>
      </c>
      <c r="AB274" s="486" t="s">
        <v>589</v>
      </c>
      <c r="AQ274" s="498" t="n">
        <v>992962</v>
      </c>
      <c r="AR274" s="499" t="n">
        <v>1195372.4388149</v>
      </c>
      <c r="AS274" s="499" t="n">
        <v>1168794.90745954</v>
      </c>
      <c r="AT274" s="499" t="n">
        <v>1224703.75059239</v>
      </c>
      <c r="AU274" s="499" t="n">
        <v>1145458.33636639</v>
      </c>
      <c r="BW274" s="502"/>
      <c r="BX274" s="502"/>
      <c r="BY274" s="502"/>
      <c r="BZ274" s="502"/>
      <c r="CA274" s="502"/>
    </row>
    <row r="275" customFormat="false" ht="12.75" hidden="false" customHeight="true" outlineLevel="0" collapsed="false">
      <c r="AA275" s="486" t="n">
        <v>2010</v>
      </c>
      <c r="AB275" s="486" t="s">
        <v>589</v>
      </c>
      <c r="AQ275" s="498" t="n">
        <v>1217381</v>
      </c>
      <c r="AR275" s="499" t="n">
        <v>1508285.66501389</v>
      </c>
      <c r="AS275" s="499" t="n">
        <v>1465856.66930236</v>
      </c>
      <c r="AT275" s="499" t="n">
        <v>1579098.38612358</v>
      </c>
      <c r="AU275" s="499" t="n">
        <v>1442655.37859716</v>
      </c>
      <c r="BW275" s="502"/>
      <c r="BX275" s="502"/>
      <c r="BY275" s="502"/>
      <c r="BZ275" s="502"/>
      <c r="CA275" s="502"/>
    </row>
    <row r="276" customFormat="false" ht="12.75" hidden="false" customHeight="true" outlineLevel="0" collapsed="false">
      <c r="AA276" s="486" t="n">
        <v>2011</v>
      </c>
      <c r="AB276" s="486" t="s">
        <v>589</v>
      </c>
      <c r="AQ276" s="498" t="n">
        <v>1567580</v>
      </c>
      <c r="AR276" s="499" t="n">
        <v>1976227.33564862</v>
      </c>
      <c r="AS276" s="499" t="n">
        <v>1865390.90129288</v>
      </c>
      <c r="AT276" s="499" t="n">
        <v>1958890.12510449</v>
      </c>
      <c r="AU276" s="499" t="n">
        <v>1842022.13473722</v>
      </c>
      <c r="BW276" s="502"/>
      <c r="BX276" s="502"/>
      <c r="BY276" s="502"/>
      <c r="BZ276" s="502"/>
      <c r="CA276" s="502"/>
    </row>
    <row r="277" customFormat="false" ht="12.75" hidden="false" customHeight="true" outlineLevel="0" collapsed="false">
      <c r="AA277" s="492" t="n">
        <v>2012</v>
      </c>
      <c r="AB277" s="486" t="s">
        <v>589</v>
      </c>
      <c r="AQ277" s="498" t="n">
        <v>1874935</v>
      </c>
      <c r="AR277" s="499" t="n">
        <v>2273161.69287246</v>
      </c>
      <c r="AS277" s="499" t="n">
        <v>2182909.39691315</v>
      </c>
      <c r="BW277" s="502"/>
      <c r="BX277" s="502"/>
      <c r="BY277" s="502"/>
      <c r="BZ277" s="502"/>
      <c r="CA277" s="502"/>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S7" colorId="64" zoomScale="75" zoomScaleNormal="75" zoomScalePageLayoutView="100" workbookViewId="0">
      <selection pane="topLeft" activeCell="X8" activeCellId="0" sqref="X8"/>
    </sheetView>
  </sheetViews>
  <sheetFormatPr defaultColWidth="11.4453125" defaultRowHeight="15" zeroHeight="false" outlineLevelRow="0" outlineLevelCol="0"/>
  <cols>
    <col collapsed="false" customWidth="false" hidden="false" outlineLevel="0" max="24" min="1" style="1" width="11.42"/>
  </cols>
  <sheetData>
    <row r="1" customFormat="false" ht="14.45" hidden="false" customHeight="true" outlineLevel="0" collapsed="false">
      <c r="A1" s="503"/>
      <c r="B1" s="504" t="s">
        <v>590</v>
      </c>
      <c r="C1" s="503"/>
      <c r="D1" s="503"/>
      <c r="E1" s="503"/>
      <c r="F1" s="503"/>
      <c r="G1" s="503"/>
      <c r="H1" s="503"/>
      <c r="I1" s="503"/>
      <c r="J1" s="503"/>
      <c r="K1" s="503"/>
      <c r="L1" s="503"/>
      <c r="M1" s="503"/>
      <c r="N1" s="503"/>
      <c r="O1" s="503"/>
      <c r="P1" s="503"/>
      <c r="Q1" s="503"/>
      <c r="R1" s="503"/>
      <c r="S1" s="503"/>
      <c r="T1" s="503"/>
      <c r="U1" s="503"/>
      <c r="V1" s="503"/>
      <c r="W1" s="503"/>
      <c r="X1" s="503"/>
    </row>
    <row r="2" customFormat="false" ht="14.45" hidden="false" customHeight="true" outlineLevel="0" collapsed="false">
      <c r="B2" s="505" t="s">
        <v>591</v>
      </c>
    </row>
    <row r="3" customFormat="false" ht="14.45" hidden="false" customHeight="true" outlineLevel="0" collapsed="false">
      <c r="B3" s="506" t="s">
        <v>592</v>
      </c>
    </row>
    <row r="4" customFormat="false" ht="14.45" hidden="false" customHeight="true" outlineLevel="0" collapsed="false">
      <c r="B4" s="507" t="s">
        <v>593</v>
      </c>
      <c r="C4" s="508" t="s">
        <v>594</v>
      </c>
      <c r="D4" s="508" t="s">
        <v>595</v>
      </c>
      <c r="E4" s="508"/>
      <c r="Q4" s="509"/>
      <c r="R4" s="509"/>
    </row>
    <row r="5" customFormat="false" ht="14.45" hidden="false" customHeight="true" outlineLevel="0" collapsed="false">
      <c r="A5" s="506"/>
    </row>
    <row r="6" customFormat="false" ht="84.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608</v>
      </c>
      <c r="O6" s="512" t="s">
        <v>609</v>
      </c>
      <c r="P6" s="512" t="s">
        <v>610</v>
      </c>
      <c r="Q6" s="512" t="s">
        <v>611</v>
      </c>
      <c r="R6" s="512" t="s">
        <v>612</v>
      </c>
      <c r="S6" s="512" t="s">
        <v>613</v>
      </c>
      <c r="T6" s="512" t="s">
        <v>614</v>
      </c>
      <c r="U6" s="512" t="s">
        <v>615</v>
      </c>
      <c r="V6" s="512" t="s">
        <v>616</v>
      </c>
      <c r="W6" s="512" t="s">
        <v>617</v>
      </c>
      <c r="X6" s="512" t="s">
        <v>618</v>
      </c>
    </row>
    <row r="7" customFormat="false" ht="14.45" hidden="false" customHeight="true" outlineLevel="0" collapsed="false"/>
    <row r="8" customFormat="false" ht="14.45" hidden="false" customHeight="true" outlineLevel="0" collapsed="false">
      <c r="A8" s="513" t="n">
        <v>2004</v>
      </c>
      <c r="B8" s="514" t="n">
        <v>39125.1976130924</v>
      </c>
      <c r="C8" s="514" t="n">
        <v>1442.49560227065</v>
      </c>
      <c r="D8" s="514" t="n">
        <v>24321.8058192945</v>
      </c>
      <c r="E8" s="514" t="n">
        <v>91866.3304900708</v>
      </c>
      <c r="F8" s="514" t="n">
        <v>8702.40557679583</v>
      </c>
      <c r="G8" s="514" t="n">
        <v>14904.7253894997</v>
      </c>
      <c r="H8" s="514" t="n">
        <v>180362.960491024</v>
      </c>
      <c r="I8" s="514" t="n">
        <v>60034.5954425289</v>
      </c>
      <c r="J8" s="514" t="n">
        <v>6936.03424754636</v>
      </c>
      <c r="K8" s="514" t="n">
        <v>29789.9001449429</v>
      </c>
      <c r="L8" s="514" t="n">
        <v>15079.4087404287</v>
      </c>
      <c r="M8" s="514" t="n">
        <v>53084.3657347051</v>
      </c>
      <c r="N8" s="514" t="n">
        <v>21585.0544818944</v>
      </c>
      <c r="O8" s="514" t="n">
        <v>17057.3989493386</v>
      </c>
      <c r="P8" s="514" t="n">
        <v>13201.3534771092</v>
      </c>
      <c r="Q8" s="514" t="n">
        <v>12253.53911376</v>
      </c>
      <c r="R8" s="514" t="n">
        <v>3042.84856011445</v>
      </c>
      <c r="S8" s="514" t="n">
        <v>232064.498892369</v>
      </c>
      <c r="T8" s="514" t="n">
        <v>412427.459383393</v>
      </c>
      <c r="U8" s="514" t="n">
        <v>30976.949123732</v>
      </c>
      <c r="V8" s="514" t="n">
        <v>3250.45344763</v>
      </c>
      <c r="W8" s="514" t="n">
        <v>38460.33277</v>
      </c>
      <c r="X8" s="514" t="n">
        <f aca="false">'Cuenta Ahorro-Inversión-Financi'!DG19/1000</f>
        <v>485115.194724754</v>
      </c>
    </row>
    <row r="9" customFormat="false" ht="14.45" hidden="false" customHeight="true" outlineLevel="0" collapsed="false">
      <c r="A9" s="515" t="n">
        <v>2005</v>
      </c>
      <c r="B9" s="516" t="n">
        <v>44579.7700503574</v>
      </c>
      <c r="C9" s="516" t="n">
        <v>1666.50404627676</v>
      </c>
      <c r="D9" s="516" t="n">
        <v>28837.4146083548</v>
      </c>
      <c r="E9" s="516" t="n">
        <v>106839.923860476</v>
      </c>
      <c r="F9" s="516" t="n">
        <v>10603.8459274267</v>
      </c>
      <c r="G9" s="516" t="n">
        <v>20478.0224249444</v>
      </c>
      <c r="H9" s="516" t="n">
        <v>213005.480917836</v>
      </c>
      <c r="I9" s="516" t="n">
        <v>72220.3132914937</v>
      </c>
      <c r="J9" s="516" t="n">
        <v>9196.61493525935</v>
      </c>
      <c r="K9" s="516" t="n">
        <v>36320.250477104</v>
      </c>
      <c r="L9" s="516" t="n">
        <v>18744.0700319324</v>
      </c>
      <c r="M9" s="516" t="n">
        <v>61544.1429854623</v>
      </c>
      <c r="N9" s="516" t="n">
        <v>27491.2032788881</v>
      </c>
      <c r="O9" s="516" t="n">
        <v>21799.8466863513</v>
      </c>
      <c r="P9" s="516" t="n">
        <v>16316.5853051665</v>
      </c>
      <c r="Q9" s="516" t="n">
        <v>15212.5079862144</v>
      </c>
      <c r="R9" s="516" t="n">
        <v>3604.77363422069</v>
      </c>
      <c r="S9" s="516" t="n">
        <v>282450.308612093</v>
      </c>
      <c r="T9" s="516" t="n">
        <v>495455.789529929</v>
      </c>
      <c r="U9" s="516" t="n">
        <v>36853.12189667</v>
      </c>
      <c r="V9" s="516" t="n">
        <v>3876.5633269</v>
      </c>
      <c r="W9" s="516" t="n">
        <v>46352.6981837756</v>
      </c>
      <c r="X9" s="516" t="n">
        <f aca="false">'Cuenta Ahorro-Inversión-Financi'!DG20/1000</f>
        <v>582538.172937274</v>
      </c>
    </row>
    <row r="10" customFormat="false" ht="14.45" hidden="false" customHeight="true" outlineLevel="0" collapsed="false">
      <c r="A10" s="513" t="n">
        <v>2006</v>
      </c>
      <c r="B10" s="514" t="n">
        <v>47093.037544981</v>
      </c>
      <c r="C10" s="514" t="n">
        <v>2559.02077425536</v>
      </c>
      <c r="D10" s="514" t="n">
        <v>40991.2016665789</v>
      </c>
      <c r="E10" s="514" t="n">
        <v>127987.889915557</v>
      </c>
      <c r="F10" s="514" t="n">
        <v>11665.6319509132</v>
      </c>
      <c r="G10" s="514" t="n">
        <v>28422.8030567678</v>
      </c>
      <c r="H10" s="514" t="n">
        <v>258719.584909053</v>
      </c>
      <c r="I10" s="514" t="n">
        <v>89062.1682221383</v>
      </c>
      <c r="J10" s="514" t="n">
        <v>11935.3321304704</v>
      </c>
      <c r="K10" s="514" t="n">
        <v>44561.4260483719</v>
      </c>
      <c r="L10" s="514" t="n">
        <v>22814.6002758887</v>
      </c>
      <c r="M10" s="514" t="n">
        <v>73324.1247161768</v>
      </c>
      <c r="N10" s="514" t="n">
        <v>35063.2295665145</v>
      </c>
      <c r="O10" s="514" t="n">
        <v>27992.7447009791</v>
      </c>
      <c r="P10" s="514" t="n">
        <v>20580.8461466419</v>
      </c>
      <c r="Q10" s="514" t="n">
        <v>19119.8460230944</v>
      </c>
      <c r="R10" s="514" t="n">
        <v>4542.81032443699</v>
      </c>
      <c r="S10" s="514" t="n">
        <v>348997.128154713</v>
      </c>
      <c r="T10" s="514" t="n">
        <v>607716.713063766</v>
      </c>
      <c r="U10" s="514" t="n">
        <v>47104.30911027</v>
      </c>
      <c r="V10" s="514" t="n">
        <v>5138.99673361</v>
      </c>
      <c r="W10" s="514" t="n">
        <v>55944.2528262026</v>
      </c>
      <c r="X10" s="514" t="n">
        <f aca="false">'Cuenta Ahorro-Inversión-Financi'!DG21/1000</f>
        <v>715904.271733849</v>
      </c>
    </row>
    <row r="11" customFormat="false" ht="14.45" hidden="false" customHeight="true" outlineLevel="0" collapsed="false">
      <c r="A11" s="515" t="n">
        <v>2007</v>
      </c>
      <c r="B11" s="516" t="n">
        <v>64516.790695969</v>
      </c>
      <c r="C11" s="516" t="n">
        <v>2329.34669045981</v>
      </c>
      <c r="D11" s="516" t="n">
        <v>39241.2054215327</v>
      </c>
      <c r="E11" s="516" t="n">
        <v>152911.936776874</v>
      </c>
      <c r="F11" s="516" t="n">
        <v>14375.6622771257</v>
      </c>
      <c r="G11" s="516" t="n">
        <v>39380.4282849449</v>
      </c>
      <c r="H11" s="516" t="n">
        <v>312755.370146906</v>
      </c>
      <c r="I11" s="516" t="n">
        <v>115030.371259901</v>
      </c>
      <c r="J11" s="516" t="n">
        <v>15574.7703528384</v>
      </c>
      <c r="K11" s="516" t="n">
        <v>55583.1585424353</v>
      </c>
      <c r="L11" s="516" t="n">
        <v>28647.5436384598</v>
      </c>
      <c r="M11" s="516" t="n">
        <v>89841.9047128629</v>
      </c>
      <c r="N11" s="516" t="n">
        <v>46164.7965212466</v>
      </c>
      <c r="O11" s="516" t="n">
        <v>36617.3073575845</v>
      </c>
      <c r="P11" s="516" t="n">
        <v>27140.5457737176</v>
      </c>
      <c r="Q11" s="516" t="n">
        <v>23890.4887133455</v>
      </c>
      <c r="R11" s="516" t="n">
        <v>5589.02473173743</v>
      </c>
      <c r="S11" s="516" t="n">
        <v>444079.911604129</v>
      </c>
      <c r="T11" s="516" t="n">
        <v>756835.281751036</v>
      </c>
      <c r="U11" s="516" t="n">
        <v>62669.31761279</v>
      </c>
      <c r="V11" s="516" t="n">
        <v>7015.29175452267</v>
      </c>
      <c r="W11" s="516" t="n">
        <v>70460.2829535546</v>
      </c>
      <c r="X11" s="516" t="n">
        <f aca="false">'Cuenta Ahorro-Inversión-Financi'!DG22/1000</f>
        <v>896980.174071903</v>
      </c>
    </row>
    <row r="12" customFormat="false" ht="14.45" hidden="false" customHeight="true" outlineLevel="0" collapsed="false">
      <c r="A12" s="513" t="n">
        <v>2008</v>
      </c>
      <c r="B12" s="514" t="n">
        <v>81153.3964821623</v>
      </c>
      <c r="C12" s="514" t="n">
        <v>2988.67891529571</v>
      </c>
      <c r="D12" s="514" t="n">
        <v>42868.6732796351</v>
      </c>
      <c r="E12" s="514" t="n">
        <v>190132.679275126</v>
      </c>
      <c r="F12" s="514" t="n">
        <v>16413.4415395755</v>
      </c>
      <c r="G12" s="514" t="n">
        <v>52625.5145413669</v>
      </c>
      <c r="H12" s="514" t="n">
        <v>386182.384033162</v>
      </c>
      <c r="I12" s="514" t="n">
        <v>148415.94088124</v>
      </c>
      <c r="J12" s="514" t="n">
        <v>20346.5426312992</v>
      </c>
      <c r="K12" s="514" t="n">
        <v>69895.8526776707</v>
      </c>
      <c r="L12" s="514" t="n">
        <v>37216.94370985</v>
      </c>
      <c r="M12" s="514" t="n">
        <v>111708.724245323</v>
      </c>
      <c r="N12" s="514" t="n">
        <v>63293.8457724401</v>
      </c>
      <c r="O12" s="514" t="n">
        <v>50131.8276344631</v>
      </c>
      <c r="P12" s="514" t="n">
        <v>38582.3253082126</v>
      </c>
      <c r="Q12" s="514" t="n">
        <v>30858.1167554451</v>
      </c>
      <c r="R12" s="514" t="n">
        <v>7306.73291263738</v>
      </c>
      <c r="S12" s="514" t="n">
        <v>577756.852528582</v>
      </c>
      <c r="T12" s="514" t="n">
        <v>963939.236561743</v>
      </c>
      <c r="U12" s="514" t="n">
        <v>80228.90482022</v>
      </c>
      <c r="V12" s="514" t="n">
        <v>8987.90753415</v>
      </c>
      <c r="W12" s="514" t="n">
        <v>96490.041667522</v>
      </c>
      <c r="X12" s="514" t="n">
        <f aca="false">'Cuenta Ahorro-Inversión-Financi'!DG23/1000</f>
        <v>1149646.09058364</v>
      </c>
    </row>
    <row r="13" customFormat="false" ht="14.45" hidden="false" customHeight="true" outlineLevel="0" collapsed="false">
      <c r="A13" s="515" t="n">
        <v>2009</v>
      </c>
      <c r="B13" s="516" t="n">
        <v>62929.8353511446</v>
      </c>
      <c r="C13" s="516" t="n">
        <v>2881.25541691563</v>
      </c>
      <c r="D13" s="516" t="n">
        <v>50630.1539429319</v>
      </c>
      <c r="E13" s="516" t="n">
        <v>194474.517782919</v>
      </c>
      <c r="F13" s="516" t="n">
        <v>17406.7304118027</v>
      </c>
      <c r="G13" s="516" t="n">
        <v>53017.5899571824</v>
      </c>
      <c r="H13" s="516" t="n">
        <v>381340.082862897</v>
      </c>
      <c r="I13" s="516" t="n">
        <v>153591.749086943</v>
      </c>
      <c r="J13" s="516" t="n">
        <v>21728.056894523</v>
      </c>
      <c r="K13" s="516" t="n">
        <v>77548.3271739604</v>
      </c>
      <c r="L13" s="516" t="n">
        <v>42817.2353159127</v>
      </c>
      <c r="M13" s="516" t="n">
        <v>128952.116010452</v>
      </c>
      <c r="N13" s="516" t="n">
        <v>81182.9325384594</v>
      </c>
      <c r="O13" s="516" t="n">
        <v>62662.0378417964</v>
      </c>
      <c r="P13" s="516" t="n">
        <v>50577.1281877556</v>
      </c>
      <c r="Q13" s="516" t="n">
        <v>36995.3956001894</v>
      </c>
      <c r="R13" s="516" t="n">
        <v>9166.2099192174</v>
      </c>
      <c r="S13" s="516" t="n">
        <v>665221.18856921</v>
      </c>
      <c r="T13" s="516" t="n">
        <v>1046561.27143211</v>
      </c>
      <c r="U13" s="516" t="n">
        <v>87385.733474901</v>
      </c>
      <c r="V13" s="516" t="n">
        <v>7699.78822951</v>
      </c>
      <c r="W13" s="516" t="n">
        <v>106282.475788502</v>
      </c>
      <c r="X13" s="516" t="n">
        <f aca="false">'Cuenta Ahorro-Inversión-Financi'!DG24/1000</f>
        <v>1247929.26892502</v>
      </c>
    </row>
    <row r="14" customFormat="false" ht="14.45" hidden="false" customHeight="true" outlineLevel="0" collapsed="false">
      <c r="A14" s="513" t="n">
        <v>2010</v>
      </c>
      <c r="B14" s="514" t="n">
        <v>114933.988879434</v>
      </c>
      <c r="C14" s="514" t="n">
        <v>3582.73007250065</v>
      </c>
      <c r="D14" s="514" t="n">
        <v>64353.0684284178</v>
      </c>
      <c r="E14" s="514" t="n">
        <v>263297.36770006</v>
      </c>
      <c r="F14" s="514" t="n">
        <v>19608.8709695897</v>
      </c>
      <c r="G14" s="514" t="n">
        <v>72471.0635537799</v>
      </c>
      <c r="H14" s="514" t="n">
        <v>538247.089603782</v>
      </c>
      <c r="I14" s="514" t="n">
        <v>208305.700861764</v>
      </c>
      <c r="J14" s="514" t="n">
        <v>29901.5889576213</v>
      </c>
      <c r="K14" s="514" t="n">
        <v>99282.6651068018</v>
      </c>
      <c r="L14" s="514" t="n">
        <v>52869.1700963421</v>
      </c>
      <c r="M14" s="514" t="n">
        <v>160089.031303578</v>
      </c>
      <c r="N14" s="514" t="n">
        <v>104800.460596557</v>
      </c>
      <c r="O14" s="514" t="n">
        <v>75998.8171348272</v>
      </c>
      <c r="P14" s="514" t="n">
        <v>65967.3944946743</v>
      </c>
      <c r="Q14" s="514" t="n">
        <v>47292.5931767184</v>
      </c>
      <c r="R14" s="514" t="n">
        <v>11198.7635408875</v>
      </c>
      <c r="S14" s="514" t="n">
        <v>855706.185269771</v>
      </c>
      <c r="T14" s="514" t="n">
        <v>1393953.27487355</v>
      </c>
      <c r="U14" s="514" t="n">
        <v>116385.98716221</v>
      </c>
      <c r="V14" s="514" t="n">
        <v>11428.31272538</v>
      </c>
      <c r="W14" s="514" t="n">
        <v>139953.351183439</v>
      </c>
      <c r="X14" s="514" t="n">
        <f aca="false">'Cuenta Ahorro-Inversión-Financi'!DG25/1000</f>
        <v>1661720.92594458</v>
      </c>
    </row>
    <row r="15" customFormat="false" ht="14.45" hidden="false" customHeight="true" outlineLevel="0" collapsed="false">
      <c r="A15" s="515" t="n">
        <v>2011</v>
      </c>
      <c r="B15" s="516" t="n">
        <v>148881.000742201</v>
      </c>
      <c r="C15" s="516" t="n">
        <v>3623.09507156981</v>
      </c>
      <c r="D15" s="516" t="n">
        <v>73692.0919595074</v>
      </c>
      <c r="E15" s="516" t="n">
        <v>345390.538594644</v>
      </c>
      <c r="F15" s="516" t="n">
        <v>24618.0960926708</v>
      </c>
      <c r="G15" s="516" t="n">
        <v>105690.031318078</v>
      </c>
      <c r="H15" s="516" t="n">
        <v>701894.85377867</v>
      </c>
      <c r="I15" s="516" t="n">
        <v>273903.567101935</v>
      </c>
      <c r="J15" s="516" t="n">
        <v>41427.9139869515</v>
      </c>
      <c r="K15" s="516" t="n">
        <v>125129.922454508</v>
      </c>
      <c r="L15" s="516" t="n">
        <v>69001.2979689815</v>
      </c>
      <c r="M15" s="516" t="n">
        <v>203862.594370668</v>
      </c>
      <c r="N15" s="516" t="n">
        <v>141426.419540782</v>
      </c>
      <c r="O15" s="516" t="n">
        <v>104848.12553531</v>
      </c>
      <c r="P15" s="516" t="n">
        <v>92793.2982721016</v>
      </c>
      <c r="Q15" s="516" t="n">
        <v>61947.9372335527</v>
      </c>
      <c r="R15" s="516" t="n">
        <v>14652.7293987804</v>
      </c>
      <c r="S15" s="516" t="n">
        <v>1128993.80586357</v>
      </c>
      <c r="T15" s="516" t="n">
        <v>1830888.65964224</v>
      </c>
      <c r="U15" s="516" t="n">
        <v>154236.866361707</v>
      </c>
      <c r="V15" s="516" t="n">
        <v>14677.50979322</v>
      </c>
      <c r="W15" s="516" t="n">
        <v>179221.067833611</v>
      </c>
      <c r="X15" s="516" t="n">
        <f aca="false">'Cuenta Ahorro-Inversión-Financi'!DG26/1000</f>
        <v>2179024.10363078</v>
      </c>
    </row>
    <row r="16" customFormat="false" ht="14.45" hidden="false" customHeight="true" outlineLevel="0" collapsed="false">
      <c r="A16" s="513" t="n">
        <v>2012</v>
      </c>
      <c r="B16" s="514" t="n">
        <v>148392.569213711</v>
      </c>
      <c r="C16" s="514" t="n">
        <v>4124.86188830178</v>
      </c>
      <c r="D16" s="514" t="n">
        <v>85876.6211217334</v>
      </c>
      <c r="E16" s="514" t="n">
        <v>401406.098523243</v>
      </c>
      <c r="F16" s="514" t="n">
        <v>29070.7500074754</v>
      </c>
      <c r="G16" s="514" t="n">
        <v>128064.009663161</v>
      </c>
      <c r="H16" s="514" t="n">
        <v>796934.910417625</v>
      </c>
      <c r="I16" s="514" t="n">
        <v>325101.833047298</v>
      </c>
      <c r="J16" s="514" t="n">
        <v>54390.3837636027</v>
      </c>
      <c r="K16" s="514" t="n">
        <v>151238.519973974</v>
      </c>
      <c r="L16" s="514" t="n">
        <v>93262.8612587392</v>
      </c>
      <c r="M16" s="514" t="n">
        <v>248725.757545323</v>
      </c>
      <c r="N16" s="514" t="n">
        <v>184671.507473061</v>
      </c>
      <c r="O16" s="514" t="n">
        <v>135223.297608515</v>
      </c>
      <c r="P16" s="514" t="n">
        <v>124153.072862115</v>
      </c>
      <c r="Q16" s="514" t="n">
        <v>79052.0441214078</v>
      </c>
      <c r="R16" s="514" t="n">
        <v>19635.6455952957</v>
      </c>
      <c r="S16" s="514" t="n">
        <v>1415454.92324933</v>
      </c>
      <c r="T16" s="514" t="n">
        <v>2212389.83366696</v>
      </c>
      <c r="U16" s="514" t="n">
        <v>190496.44035313</v>
      </c>
      <c r="V16" s="514" t="n">
        <v>16642.99794236</v>
      </c>
      <c r="W16" s="514" t="n">
        <v>218384.576253103</v>
      </c>
      <c r="X16" s="514" t="n">
        <f aca="false">'Cuenta Ahorro-Inversión-Financi'!DG27/1000</f>
        <v>2637913.84821555</v>
      </c>
    </row>
    <row r="17" customFormat="false" ht="12" hidden="false" customHeight="true" outlineLevel="0" collapsed="false">
      <c r="A17" s="515" t="n">
        <v>2013</v>
      </c>
      <c r="B17" s="516" t="n">
        <v>194918.847282408</v>
      </c>
      <c r="C17" s="516" t="n">
        <v>7751.53452858309</v>
      </c>
      <c r="D17" s="516" t="n">
        <v>98106.5544873194</v>
      </c>
      <c r="E17" s="516" t="n">
        <v>502616.403786605</v>
      </c>
      <c r="F17" s="516" t="n">
        <v>39698.7522675264</v>
      </c>
      <c r="G17" s="516" t="n">
        <v>163369.255421956</v>
      </c>
      <c r="H17" s="516" t="n">
        <v>1006461.3477744</v>
      </c>
      <c r="I17" s="516" t="n">
        <v>412296.631489185</v>
      </c>
      <c r="J17" s="516" t="n">
        <v>67811.336698678</v>
      </c>
      <c r="K17" s="516" t="n">
        <v>187031.929424045</v>
      </c>
      <c r="L17" s="516" t="n">
        <v>120154.424377176</v>
      </c>
      <c r="M17" s="516" t="n">
        <v>320106.831646527</v>
      </c>
      <c r="N17" s="516" t="n">
        <v>240661.512754116</v>
      </c>
      <c r="O17" s="516" t="n">
        <v>170754.889265749</v>
      </c>
      <c r="P17" s="516" t="n">
        <v>161554.1435919</v>
      </c>
      <c r="Q17" s="516" t="n">
        <v>99046.2671270406</v>
      </c>
      <c r="R17" s="516" t="n">
        <v>25959.6236083604</v>
      </c>
      <c r="S17" s="516" t="n">
        <v>1805377.58998278</v>
      </c>
      <c r="T17" s="516" t="n">
        <v>2811838.93775718</v>
      </c>
      <c r="U17" s="516" t="n">
        <v>249006.25115145</v>
      </c>
      <c r="V17" s="516" t="n">
        <v>23550.52085733</v>
      </c>
      <c r="W17" s="516" t="n">
        <v>263912.77846125</v>
      </c>
      <c r="X17" s="516" t="n">
        <f aca="false">'Cuenta Ahorro-Inversión-Financi'!DG28/1000</f>
        <v>3348308.48822721</v>
      </c>
    </row>
    <row r="18" customFormat="false" ht="12" hidden="false" customHeight="true" outlineLevel="0" collapsed="false">
      <c r="A18" s="513" t="n">
        <v>2014</v>
      </c>
      <c r="B18" s="514" t="n">
        <v>296467.591852072</v>
      </c>
      <c r="C18" s="514" t="n">
        <v>10912.9035059523</v>
      </c>
      <c r="D18" s="514" t="n">
        <v>170194.97253377</v>
      </c>
      <c r="E18" s="514" t="n">
        <v>676458.297228698</v>
      </c>
      <c r="F18" s="514" t="n">
        <v>52741.8678813769</v>
      </c>
      <c r="G18" s="514" t="n">
        <v>212287.738015266</v>
      </c>
      <c r="H18" s="514" t="n">
        <v>1419063.37101714</v>
      </c>
      <c r="I18" s="514" t="n">
        <v>553275.217148189</v>
      </c>
      <c r="J18" s="514" t="n">
        <v>92601.3047232921</v>
      </c>
      <c r="K18" s="514" t="n">
        <v>252845.169538884</v>
      </c>
      <c r="L18" s="514" t="n">
        <v>159736.796114979</v>
      </c>
      <c r="M18" s="514" t="n">
        <v>416131.153750562</v>
      </c>
      <c r="N18" s="514" t="n">
        <v>336546.238066438</v>
      </c>
      <c r="O18" s="514" t="n">
        <v>228889.507320116</v>
      </c>
      <c r="P18" s="514" t="n">
        <v>220024.753491448</v>
      </c>
      <c r="Q18" s="514" t="n">
        <v>130256.887821708</v>
      </c>
      <c r="R18" s="514" t="n">
        <v>33886.2113818159</v>
      </c>
      <c r="S18" s="514" t="n">
        <v>2424193.23935743</v>
      </c>
      <c r="T18" s="514" t="n">
        <v>3843256.61037457</v>
      </c>
      <c r="U18" s="514" t="n">
        <v>331202.80735269</v>
      </c>
      <c r="V18" s="514" t="n">
        <v>30058.4484072</v>
      </c>
      <c r="W18" s="514" t="n">
        <v>374568.559275641</v>
      </c>
      <c r="X18" s="514" t="n">
        <f aca="false">'Cuenta Ahorro-Inversión-Financi'!DG29/1000</f>
        <v>4579086.4254101</v>
      </c>
    </row>
    <row r="19" customFormat="false" ht="12" hidden="false" customHeight="true" outlineLevel="0" collapsed="false">
      <c r="A19" s="515" t="n">
        <v>2015</v>
      </c>
      <c r="B19" s="516" t="n">
        <v>282822.342843166</v>
      </c>
      <c r="C19" s="516" t="n">
        <v>13885.935258007</v>
      </c>
      <c r="D19" s="516" t="n">
        <v>191253.108792919</v>
      </c>
      <c r="E19" s="516" t="n">
        <v>846937.357935133</v>
      </c>
      <c r="F19" s="516" t="n">
        <v>67296.9790271942</v>
      </c>
      <c r="G19" s="516" t="n">
        <v>272256.902344197</v>
      </c>
      <c r="H19" s="516" t="n">
        <v>1674452.62620062</v>
      </c>
      <c r="I19" s="516" t="n">
        <v>706551.403521913</v>
      </c>
      <c r="J19" s="516" t="n">
        <v>125433.790420842</v>
      </c>
      <c r="K19" s="516" t="n">
        <v>325556.968968185</v>
      </c>
      <c r="L19" s="516" t="n">
        <v>202875.537974079</v>
      </c>
      <c r="M19" s="516" t="n">
        <v>569533.907311678</v>
      </c>
      <c r="N19" s="516" t="n">
        <v>469488.243592298</v>
      </c>
      <c r="O19" s="516" t="n">
        <v>314470.429234</v>
      </c>
      <c r="P19" s="516" t="n">
        <v>298463.804720828</v>
      </c>
      <c r="Q19" s="516" t="n">
        <v>177520.913366778</v>
      </c>
      <c r="R19" s="516" t="n">
        <v>44807.9588492332</v>
      </c>
      <c r="S19" s="516" t="n">
        <v>3234702.95795983</v>
      </c>
      <c r="T19" s="516" t="n">
        <v>4909155.58416045</v>
      </c>
      <c r="U19" s="516" t="n">
        <v>433076.24098407</v>
      </c>
      <c r="V19" s="516" t="n">
        <v>35512.31628528</v>
      </c>
      <c r="W19" s="516" t="n">
        <v>476270.307748627</v>
      </c>
      <c r="X19" s="516" t="n">
        <f aca="false">'Cuenta Ahorro-Inversión-Financi'!DG30/1000</f>
        <v>5954510.89569234</v>
      </c>
    </row>
    <row r="20" customFormat="false" ht="12" hidden="false" customHeight="true" outlineLevel="0" collapsed="false">
      <c r="A20" s="513" t="n">
        <v>2016</v>
      </c>
      <c r="B20" s="514" t="n">
        <v>484140.031694749</v>
      </c>
      <c r="C20" s="514" t="n">
        <v>21980.7201616412</v>
      </c>
      <c r="D20" s="514" t="n">
        <v>272029.561087026</v>
      </c>
      <c r="E20" s="514" t="n">
        <v>1113840.67333943</v>
      </c>
      <c r="F20" s="514" t="n">
        <v>106903.190220517</v>
      </c>
      <c r="G20" s="514" t="n">
        <v>317529.372487173</v>
      </c>
      <c r="H20" s="514" t="n">
        <v>2316423.54899054</v>
      </c>
      <c r="I20" s="514" t="n">
        <v>961250.221748472</v>
      </c>
      <c r="J20" s="514" t="n">
        <v>166253.054767827</v>
      </c>
      <c r="K20" s="514" t="n">
        <v>452172.470293382</v>
      </c>
      <c r="L20" s="514" t="n">
        <v>313813.272246653</v>
      </c>
      <c r="M20" s="514" t="n">
        <v>773119.38980547</v>
      </c>
      <c r="N20" s="514" t="n">
        <v>643046.605010581</v>
      </c>
      <c r="O20" s="514" t="n">
        <v>435212.26524287</v>
      </c>
      <c r="P20" s="514" t="n">
        <v>423612.751010013</v>
      </c>
      <c r="Q20" s="514" t="n">
        <v>238631.122376838</v>
      </c>
      <c r="R20" s="514" t="n">
        <v>59655.6219664743</v>
      </c>
      <c r="S20" s="514" t="n">
        <v>4466766.77446858</v>
      </c>
      <c r="T20" s="514" t="n">
        <v>6783190.32345912</v>
      </c>
      <c r="U20" s="514" t="n">
        <v>583486.93634567</v>
      </c>
      <c r="V20" s="514" t="n">
        <v>56364.64902211</v>
      </c>
      <c r="W20" s="514" t="n">
        <v>627203.504433701</v>
      </c>
      <c r="X20" s="514" t="n">
        <f aca="false">'Cuenta Ahorro-Inversión-Financi'!DG31/1000</f>
        <v>8228159.55653643</v>
      </c>
    </row>
    <row r="21" customFormat="false" ht="12" hidden="false" customHeight="true" outlineLevel="0" collapsed="false">
      <c r="A21" s="515" t="n">
        <v>2017</v>
      </c>
      <c r="B21" s="516"/>
      <c r="C21" s="516"/>
      <c r="D21" s="516"/>
      <c r="E21" s="516"/>
      <c r="F21" s="516"/>
      <c r="G21" s="516"/>
      <c r="H21" s="516"/>
      <c r="I21" s="516"/>
      <c r="J21" s="516"/>
      <c r="K21" s="516"/>
      <c r="L21" s="516"/>
      <c r="M21" s="516"/>
      <c r="N21" s="516"/>
      <c r="O21" s="516"/>
      <c r="P21" s="516"/>
      <c r="Q21" s="516"/>
      <c r="R21" s="516"/>
      <c r="S21" s="516"/>
      <c r="T21" s="516"/>
      <c r="U21" s="516"/>
      <c r="V21" s="516"/>
      <c r="W21" s="516"/>
      <c r="X21" s="516" t="n">
        <f aca="false">'Cuenta Ahorro-Inversión-Financi'!DG32/1000</f>
        <v>10644778.799189</v>
      </c>
    </row>
    <row r="22" customFormat="false" ht="12" hidden="false" customHeight="true" outlineLevel="0" collapsed="false">
      <c r="A22" s="513" t="n">
        <v>2018</v>
      </c>
      <c r="B22" s="514"/>
      <c r="C22" s="514"/>
      <c r="D22" s="514"/>
      <c r="E22" s="514"/>
      <c r="F22" s="514"/>
      <c r="G22" s="514"/>
      <c r="H22" s="514"/>
      <c r="I22" s="514"/>
      <c r="J22" s="514"/>
      <c r="K22" s="514"/>
      <c r="L22" s="514"/>
      <c r="M22" s="514"/>
      <c r="N22" s="514"/>
      <c r="O22" s="514"/>
      <c r="P22" s="514"/>
      <c r="Q22" s="514"/>
      <c r="R22" s="514"/>
      <c r="S22" s="514"/>
      <c r="T22" s="514"/>
      <c r="U22" s="514"/>
      <c r="V22" s="514"/>
      <c r="W22" s="514"/>
      <c r="X22" s="514" t="n">
        <f aca="false">'Cuenta Ahorro-Inversión-Financi'!DG33/1000</f>
        <v>14566558.892139</v>
      </c>
    </row>
    <row r="23" customFormat="false" ht="12" hidden="false" customHeight="true" outlineLevel="0" collapsed="false">
      <c r="A23" s="517"/>
      <c r="B23" s="518"/>
      <c r="C23" s="518"/>
      <c r="D23" s="518"/>
      <c r="E23" s="518"/>
      <c r="F23" s="518"/>
      <c r="G23" s="518"/>
      <c r="H23" s="518"/>
      <c r="I23" s="518"/>
      <c r="J23" s="518"/>
      <c r="K23" s="518"/>
      <c r="L23" s="518"/>
      <c r="M23" s="518"/>
      <c r="N23" s="518"/>
      <c r="O23" s="518"/>
      <c r="P23" s="518"/>
      <c r="Q23" s="518"/>
      <c r="R23" s="518"/>
      <c r="S23" s="518"/>
      <c r="T23" s="518"/>
      <c r="U23" s="518"/>
      <c r="V23" s="518"/>
      <c r="W23" s="518"/>
      <c r="X23" s="518" t="n">
        <v>21605824</v>
      </c>
    </row>
    <row r="24" customFormat="false" ht="12" hidden="false" customHeight="true" outlineLevel="0" collapsed="false">
      <c r="A24" s="517"/>
      <c r="B24" s="518"/>
      <c r="C24" s="518"/>
      <c r="D24" s="518"/>
      <c r="E24" s="518"/>
      <c r="F24" s="518"/>
      <c r="G24" s="518"/>
      <c r="H24" s="518"/>
      <c r="I24" s="518"/>
      <c r="J24" s="518"/>
      <c r="K24" s="518"/>
      <c r="L24" s="518"/>
      <c r="M24" s="518"/>
      <c r="N24" s="518"/>
      <c r="O24" s="518"/>
      <c r="P24" s="518"/>
      <c r="Q24" s="518"/>
      <c r="R24" s="518"/>
      <c r="S24" s="518"/>
      <c r="T24" s="518"/>
      <c r="U24" s="518"/>
      <c r="V24" s="518"/>
      <c r="W24" s="518"/>
      <c r="X24" s="518"/>
    </row>
    <row r="25" customFormat="false" ht="12" hidden="false" customHeight="true" outlineLevel="0" collapsed="false">
      <c r="A25" s="517"/>
      <c r="B25" s="518"/>
      <c r="C25" s="518"/>
      <c r="D25" s="518"/>
      <c r="E25" s="518"/>
      <c r="F25" s="518"/>
      <c r="G25" s="518"/>
      <c r="H25" s="518"/>
      <c r="I25" s="518"/>
      <c r="J25" s="518"/>
      <c r="K25" s="518"/>
      <c r="L25" s="518"/>
      <c r="M25" s="518"/>
      <c r="N25" s="518"/>
      <c r="O25" s="518"/>
      <c r="P25" s="518"/>
      <c r="Q25" s="518"/>
      <c r="R25" s="518"/>
      <c r="S25" s="518"/>
      <c r="T25" s="518"/>
      <c r="U25" s="518"/>
      <c r="V25" s="518"/>
      <c r="W25" s="518"/>
      <c r="X25" s="518"/>
    </row>
    <row r="26" customFormat="false" ht="12" hidden="false" customHeight="true" outlineLevel="0" collapsed="false">
      <c r="A26" s="517"/>
      <c r="B26" s="518"/>
      <c r="C26" s="518"/>
      <c r="D26" s="518"/>
      <c r="E26" s="518"/>
      <c r="F26" s="518"/>
      <c r="G26" s="518"/>
      <c r="H26" s="518"/>
      <c r="I26" s="518"/>
      <c r="J26" s="518"/>
      <c r="K26" s="518"/>
      <c r="L26" s="518"/>
      <c r="M26" s="518"/>
      <c r="N26" s="518"/>
      <c r="O26" s="518"/>
      <c r="P26" s="518"/>
      <c r="Q26" s="518"/>
      <c r="R26" s="518"/>
      <c r="S26" s="518"/>
      <c r="T26" s="518"/>
      <c r="U26" s="518"/>
      <c r="V26" s="518"/>
      <c r="W26" s="518"/>
      <c r="X26" s="518"/>
    </row>
    <row r="27" customFormat="false" ht="12" hidden="false" customHeight="true" outlineLevel="0" collapsed="false">
      <c r="A27" s="517"/>
      <c r="B27" s="518"/>
      <c r="C27" s="518"/>
      <c r="D27" s="518"/>
      <c r="E27" s="518"/>
      <c r="F27" s="518"/>
      <c r="G27" s="518"/>
      <c r="H27" s="518"/>
      <c r="I27" s="518"/>
      <c r="J27" s="518"/>
      <c r="K27" s="518"/>
      <c r="L27" s="518"/>
      <c r="M27" s="518"/>
      <c r="N27" s="518"/>
      <c r="O27" s="518"/>
      <c r="P27" s="518"/>
      <c r="Q27" s="518"/>
      <c r="R27" s="518"/>
      <c r="S27" s="518"/>
      <c r="T27" s="518"/>
      <c r="U27" s="518"/>
      <c r="V27" s="518"/>
      <c r="W27" s="519"/>
      <c r="X27" s="519"/>
    </row>
    <row r="28" customFormat="false" ht="12" hidden="false" customHeight="true" outlineLevel="0" collapsed="false">
      <c r="A28" s="517"/>
      <c r="B28" s="518"/>
      <c r="C28" s="518"/>
      <c r="D28" s="518"/>
      <c r="E28" s="518"/>
      <c r="F28" s="518"/>
      <c r="G28" s="518"/>
      <c r="H28" s="518"/>
      <c r="I28" s="518"/>
      <c r="J28" s="518"/>
      <c r="K28" s="518"/>
      <c r="L28" s="518"/>
      <c r="M28" s="518"/>
      <c r="N28" s="518"/>
      <c r="O28" s="518"/>
      <c r="P28" s="518"/>
      <c r="Q28" s="518"/>
      <c r="R28" s="518"/>
      <c r="S28" s="518"/>
      <c r="T28" s="518"/>
      <c r="U28" s="518"/>
      <c r="V28" s="518"/>
      <c r="W28" s="518"/>
      <c r="X28" s="518"/>
    </row>
    <row r="29" customFormat="false" ht="12" hidden="false" customHeight="true" outlineLevel="0" collapsed="false">
      <c r="A29" s="517"/>
      <c r="B29" s="518"/>
      <c r="C29" s="518"/>
      <c r="D29" s="518"/>
      <c r="E29" s="518"/>
      <c r="F29" s="518"/>
      <c r="G29" s="518"/>
      <c r="H29" s="518"/>
      <c r="I29" s="518"/>
      <c r="J29" s="518"/>
      <c r="K29" s="518"/>
      <c r="L29" s="518"/>
      <c r="M29" s="518"/>
      <c r="N29" s="518"/>
      <c r="O29" s="518"/>
      <c r="P29" s="518"/>
      <c r="Q29" s="518"/>
      <c r="R29" s="518"/>
      <c r="S29" s="518"/>
      <c r="T29" s="518"/>
      <c r="U29" s="518"/>
      <c r="V29" s="518"/>
      <c r="W29" s="518"/>
      <c r="X29" s="518"/>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L16" colorId="64" zoomScale="75" zoomScaleNormal="75" zoomScalePageLayoutView="100" workbookViewId="0">
      <selection pane="topLeft" activeCell="V8" activeCellId="0" sqref="V8"/>
    </sheetView>
  </sheetViews>
  <sheetFormatPr defaultColWidth="11.4453125" defaultRowHeight="15" zeroHeight="false" outlineLevelRow="0" outlineLevelCol="0"/>
  <cols>
    <col collapsed="false" customWidth="false" hidden="false" outlineLevel="0" max="22" min="1" style="1" width="11.42"/>
  </cols>
  <sheetData>
    <row r="1" customFormat="false" ht="14.45" hidden="false" customHeight="true" outlineLevel="0" collapsed="false">
      <c r="A1" s="504"/>
      <c r="B1" s="528" t="s">
        <v>674</v>
      </c>
      <c r="C1" s="503"/>
      <c r="D1" s="503"/>
      <c r="E1" s="503"/>
      <c r="F1" s="503"/>
      <c r="G1" s="503"/>
      <c r="H1" s="503"/>
      <c r="I1" s="503"/>
      <c r="J1" s="529" t="s">
        <v>675</v>
      </c>
      <c r="K1" s="503"/>
      <c r="L1" s="503"/>
      <c r="M1" s="503"/>
      <c r="N1" s="503"/>
      <c r="O1" s="503"/>
      <c r="P1" s="503"/>
      <c r="Q1" s="503"/>
      <c r="R1" s="503"/>
      <c r="S1" s="503"/>
      <c r="T1" s="503"/>
      <c r="U1" s="503"/>
      <c r="V1" s="503"/>
    </row>
    <row r="2" customFormat="false" ht="14.45" hidden="false" customHeight="true" outlineLevel="0" collapsed="false">
      <c r="A2" s="505"/>
      <c r="B2" s="505" t="s">
        <v>676</v>
      </c>
    </row>
    <row r="3" customFormat="false" ht="14.45" hidden="false" customHeight="true" outlineLevel="0" collapsed="false">
      <c r="A3" s="506"/>
      <c r="B3" s="506" t="s">
        <v>677</v>
      </c>
    </row>
    <row r="4" customFormat="false" ht="14.45" hidden="false" customHeight="true" outlineLevel="0" collapsed="false">
      <c r="A4" s="506"/>
      <c r="B4" s="507" t="s">
        <v>593</v>
      </c>
      <c r="C4" s="508" t="s">
        <v>594</v>
      </c>
      <c r="D4" s="508" t="s">
        <v>595</v>
      </c>
    </row>
    <row r="5" customFormat="false" ht="14.45" hidden="false" customHeight="true" outlineLevel="0" collapsed="false">
      <c r="A5" s="530"/>
    </row>
    <row r="6" customFormat="false" ht="75.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678</v>
      </c>
      <c r="O6" s="512" t="s">
        <v>679</v>
      </c>
      <c r="P6" s="512" t="s">
        <v>680</v>
      </c>
      <c r="Q6" s="512" t="s">
        <v>613</v>
      </c>
      <c r="R6" s="512" t="s">
        <v>681</v>
      </c>
      <c r="S6" s="512" t="s">
        <v>682</v>
      </c>
      <c r="T6" s="512" t="s">
        <v>615</v>
      </c>
      <c r="U6" s="512" t="s">
        <v>683</v>
      </c>
      <c r="V6" s="512"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8"/>
      <c r="C124" s="518"/>
      <c r="D124" s="518"/>
      <c r="E124" s="518"/>
      <c r="F124" s="518"/>
      <c r="G124" s="518"/>
      <c r="H124" s="518"/>
      <c r="I124" s="518"/>
      <c r="J124" s="518"/>
      <c r="K124" s="518"/>
      <c r="L124" s="518"/>
      <c r="M124" s="518"/>
      <c r="N124" s="518"/>
      <c r="O124" s="518"/>
      <c r="P124" s="518"/>
      <c r="Q124" s="518"/>
      <c r="R124" s="518"/>
      <c r="S124" s="518"/>
      <c r="T124" s="518"/>
      <c r="U124" s="518"/>
      <c r="V124" s="518"/>
    </row>
    <row r="125" customFormat="false" ht="14.45" hidden="false" customHeight="true" outlineLevel="0" collapsed="false">
      <c r="A125" s="522"/>
      <c r="B125" s="518"/>
      <c r="C125" s="518"/>
      <c r="D125" s="518"/>
      <c r="E125" s="518"/>
      <c r="F125" s="518"/>
      <c r="G125" s="518"/>
      <c r="H125" s="518"/>
      <c r="I125" s="518"/>
      <c r="J125" s="518"/>
      <c r="K125" s="518"/>
      <c r="L125" s="518"/>
      <c r="M125" s="518"/>
      <c r="N125" s="518"/>
      <c r="O125" s="518"/>
      <c r="P125" s="518"/>
      <c r="Q125" s="518"/>
      <c r="R125" s="518"/>
      <c r="S125" s="518"/>
      <c r="T125" s="518"/>
      <c r="U125" s="518"/>
      <c r="V125" s="518"/>
    </row>
    <row r="126" customFormat="false" ht="14.45" hidden="false" customHeight="true" outlineLevel="0" collapsed="false">
      <c r="A126" s="522"/>
      <c r="B126" s="518"/>
      <c r="C126" s="518"/>
      <c r="D126" s="518"/>
      <c r="E126" s="518"/>
      <c r="F126" s="518"/>
      <c r="G126" s="518"/>
      <c r="H126" s="518"/>
      <c r="I126" s="518"/>
      <c r="J126" s="518"/>
      <c r="K126" s="518"/>
      <c r="L126" s="518"/>
      <c r="M126" s="518"/>
      <c r="N126" s="518"/>
      <c r="O126" s="518"/>
      <c r="P126" s="518"/>
      <c r="Q126" s="518"/>
      <c r="R126" s="518"/>
      <c r="S126" s="518"/>
      <c r="T126" s="518"/>
      <c r="U126" s="518"/>
      <c r="V126" s="518"/>
    </row>
    <row r="127" customFormat="false" ht="14.45" hidden="false" customHeight="true" outlineLevel="0" collapsed="false">
      <c r="A127" s="522"/>
      <c r="B127" s="518"/>
      <c r="C127" s="518"/>
      <c r="D127" s="518"/>
      <c r="E127" s="518"/>
      <c r="F127" s="518"/>
      <c r="G127" s="518"/>
      <c r="H127" s="518"/>
      <c r="I127" s="518"/>
      <c r="J127" s="518"/>
      <c r="K127" s="518"/>
      <c r="L127" s="518"/>
      <c r="M127" s="518"/>
      <c r="N127" s="518"/>
      <c r="O127" s="518"/>
      <c r="P127" s="518"/>
      <c r="Q127" s="518"/>
      <c r="R127" s="518"/>
      <c r="S127" s="518"/>
      <c r="T127" s="518"/>
      <c r="U127" s="518"/>
      <c r="V127" s="518"/>
    </row>
    <row r="128" customFormat="false" ht="14.45" hidden="false" customHeight="true" outlineLevel="0" collapsed="false">
      <c r="A128" s="522"/>
      <c r="B128" s="518"/>
      <c r="C128" s="518"/>
      <c r="D128" s="518"/>
      <c r="E128" s="518"/>
      <c r="F128" s="518"/>
      <c r="G128" s="518"/>
      <c r="H128" s="518"/>
      <c r="I128" s="518"/>
      <c r="J128" s="518"/>
      <c r="K128" s="518"/>
      <c r="L128" s="518"/>
      <c r="M128" s="518"/>
      <c r="N128" s="518"/>
      <c r="O128" s="518"/>
      <c r="P128" s="518"/>
      <c r="Q128" s="518"/>
      <c r="R128" s="518"/>
      <c r="S128" s="518"/>
      <c r="T128" s="518"/>
      <c r="U128" s="518"/>
      <c r="V128" s="518"/>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V1" colorId="64" zoomScale="75" zoomScaleNormal="75" zoomScalePageLayoutView="100" workbookViewId="0">
      <selection pane="topLeft" activeCell="X30" activeCellId="0" sqref="X30"/>
    </sheetView>
  </sheetViews>
  <sheetFormatPr defaultColWidth="11.4453125" defaultRowHeight="15" zeroHeight="false" outlineLevelRow="0" outlineLevelCol="0"/>
  <cols>
    <col collapsed="false" customWidth="false" hidden="false" outlineLevel="0" max="1" min="1" style="1" width="11.42"/>
    <col collapsed="false" customWidth="true" hidden="false" outlineLevel="0" max="2" min="2" style="1" width="13.86"/>
    <col collapsed="false" customWidth="false" hidden="false" outlineLevel="0" max="5" min="3" style="1" width="11.42"/>
    <col collapsed="false" customWidth="true" hidden="false" outlineLevel="0" max="6" min="6" style="1" width="15"/>
    <col collapsed="false" customWidth="false" hidden="false" outlineLevel="0" max="7" min="7" style="1" width="11.42"/>
    <col collapsed="false" customWidth="true" hidden="false" outlineLevel="0" max="8" min="8" style="1" width="15"/>
    <col collapsed="false" customWidth="false" hidden="false" outlineLevel="0" max="12" min="9" style="1" width="11.42"/>
    <col collapsed="false" customWidth="true" hidden="false" outlineLevel="0" max="25" min="13" style="1" width="18.71"/>
    <col collapsed="false" customWidth="true" hidden="false" outlineLevel="0" max="26" min="26" style="1" width="14.86"/>
    <col collapsed="false" customWidth="false" hidden="false" outlineLevel="0" max="27" min="27" style="1" width="11.42"/>
    <col collapsed="false" customWidth="true" hidden="false" outlineLevel="0" max="258" min="258" style="0" width="13.86"/>
    <col collapsed="false" customWidth="true" hidden="false" outlineLevel="0" max="262" min="262" style="0" width="15"/>
    <col collapsed="false" customWidth="true" hidden="false" outlineLevel="0" max="264" min="264" style="0" width="15"/>
    <col collapsed="false" customWidth="true" hidden="false" outlineLevel="0" max="281" min="269" style="0" width="18.71"/>
    <col collapsed="false" customWidth="true" hidden="false" outlineLevel="0" max="514" min="514" style="0" width="13.86"/>
    <col collapsed="false" customWidth="true" hidden="false" outlineLevel="0" max="518" min="518" style="0" width="15"/>
    <col collapsed="false" customWidth="true" hidden="false" outlineLevel="0" max="520" min="520" style="0" width="15"/>
    <col collapsed="false" customWidth="true" hidden="false" outlineLevel="0" max="537" min="525" style="0" width="18.71"/>
    <col collapsed="false" customWidth="true" hidden="false" outlineLevel="0" max="770" min="770" style="0" width="13.86"/>
    <col collapsed="false" customWidth="true" hidden="false" outlineLevel="0" max="774" min="774" style="0" width="15"/>
    <col collapsed="false" customWidth="true" hidden="false" outlineLevel="0" max="776" min="776" style="0" width="15"/>
    <col collapsed="false" customWidth="true" hidden="false" outlineLevel="0" max="793" min="781" style="0" width="18.71"/>
  </cols>
  <sheetData>
    <row r="1" customFormat="false" ht="15" hidden="false" customHeight="false" outlineLevel="0" collapsed="false">
      <c r="C1" s="1" t="s">
        <v>731</v>
      </c>
    </row>
    <row r="2" customFormat="false" ht="1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4.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5" hidden="false" customHeight="false" outlineLevel="0" collapsed="false">
      <c r="B14" s="1" t="n">
        <f aca="false">'Cálculo masa impuestos copartic'!B13+1</f>
        <v>2004</v>
      </c>
      <c r="C14" s="1" t="n">
        <v>20390.1</v>
      </c>
      <c r="D14" s="458"/>
      <c r="E14" s="458"/>
      <c r="F14" s="458"/>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Ahorro-Inversión-Financi'!AH33/1000</f>
        <v>377160.73908846</v>
      </c>
    </row>
    <row r="30" customFormat="false" ht="1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Ahorro-Inversión-Financi'!AH34/1000</f>
        <v>382990.76633838</v>
      </c>
    </row>
    <row r="33" customFormat="false" ht="16.5" hidden="false" customHeight="false" outlineLevel="0" collapsed="false">
      <c r="N33" s="561"/>
      <c r="T33" s="562"/>
    </row>
    <row r="35" customFormat="false" ht="16.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F218"/>
  <sheetViews>
    <sheetView showFormulas="false" showGridLines="true" showRowColHeaders="true" showZeros="true" rightToLeft="false" tabSelected="false" showOutlineSymbols="true" defaultGridColor="true" view="normal" topLeftCell="BK4" colorId="64" zoomScale="75" zoomScaleNormal="75" zoomScalePageLayoutView="100" workbookViewId="0">
      <selection pane="topLeft" activeCell="CG19" activeCellId="0" sqref="CG19"/>
    </sheetView>
  </sheetViews>
  <sheetFormatPr defaultColWidth="11.43359375" defaultRowHeight="15" zeroHeight="false" outlineLevelRow="0" outlineLevelCol="0"/>
  <cols>
    <col collapsed="false" customWidth="false" hidden="false" outlineLevel="0" max="5" min="1" style="1" width="11.42"/>
    <col collapsed="false" customWidth="true" hidden="false" outlineLevel="0" max="6" min="6" style="1" width="24"/>
    <col collapsed="false" customWidth="true" hidden="false" outlineLevel="0" max="7" min="7" style="1" width="18.42"/>
    <col collapsed="false" customWidth="true" hidden="false" outlineLevel="0" max="8" min="8" style="1" width="19.85"/>
    <col collapsed="false" customWidth="true" hidden="false" outlineLevel="0" max="9" min="9" style="1" width="15.42"/>
    <col collapsed="false" customWidth="true" hidden="false" outlineLevel="0" max="10" min="10" style="1" width="14.69"/>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41"/>
    <col collapsed="false" customWidth="true" hidden="false" outlineLevel="0" max="17" min="17" style="1" width="15"/>
    <col collapsed="false" customWidth="true" hidden="false" outlineLevel="0" max="18" min="18" style="1" width="13.43"/>
    <col collapsed="false" customWidth="true" hidden="false" outlineLevel="0" max="19" min="19" style="1" width="24"/>
    <col collapsed="false" customWidth="true" hidden="false" outlineLevel="0" max="20" min="20" style="1" width="15.15"/>
    <col collapsed="false" customWidth="true" hidden="false" outlineLevel="0" max="21" min="21" style="1" width="15.87"/>
    <col collapsed="false" customWidth="true" hidden="false" outlineLevel="0" max="23" min="22" style="1" width="18.71"/>
    <col collapsed="false" customWidth="true" hidden="false" outlineLevel="0" max="24" min="24" style="1" width="16.71"/>
    <col collapsed="false" customWidth="true" hidden="false" outlineLevel="0" max="25" min="25" style="1" width="17.41"/>
    <col collapsed="false" customWidth="true" hidden="false" outlineLevel="0" max="26" min="26" style="1" width="19.71"/>
    <col collapsed="false" customWidth="true" hidden="false" outlineLevel="0" max="27" min="27" style="1" width="14.69"/>
    <col collapsed="false" customWidth="true" hidden="false" outlineLevel="0" max="28" min="28" style="1" width="19.14"/>
    <col collapsed="false" customWidth="true" hidden="false" outlineLevel="0" max="29" min="29" style="1" width="21.71"/>
    <col collapsed="false" customWidth="true" hidden="false" outlineLevel="0" max="30" min="30" style="1" width="16.87"/>
    <col collapsed="false" customWidth="true" hidden="false" outlineLevel="0" max="31" min="31" style="1" width="14.69"/>
    <col collapsed="false" customWidth="true" hidden="false" outlineLevel="0" max="32" min="32" style="1" width="22.43"/>
    <col collapsed="false" customWidth="true" hidden="false" outlineLevel="0" max="33" min="33" style="1" width="26"/>
    <col collapsed="false" customWidth="true" hidden="false" outlineLevel="0" max="34" min="34" style="1" width="34.71"/>
    <col collapsed="false" customWidth="true" hidden="false" outlineLevel="0" max="35" min="35" style="1" width="23.87"/>
    <col collapsed="false" customWidth="true" hidden="false" outlineLevel="0" max="36" min="36" style="1" width="16.41"/>
    <col collapsed="false" customWidth="true" hidden="false" outlineLevel="0" max="37" min="37" style="1" width="11.99"/>
    <col collapsed="false" customWidth="true" hidden="false" outlineLevel="0" max="38" min="38" style="1" width="14.43"/>
    <col collapsed="false" customWidth="true" hidden="false" outlineLevel="0" max="39" min="39" style="1" width="16"/>
    <col collapsed="false" customWidth="true" hidden="false" outlineLevel="0" max="40" min="40" style="1" width="14.28"/>
    <col collapsed="false" customWidth="true" hidden="false" outlineLevel="0" max="41" min="41" style="1" width="15.42"/>
    <col collapsed="false" customWidth="true" hidden="false" outlineLevel="0" max="42" min="42" style="1" width="27.3"/>
    <col collapsed="false" customWidth="true" hidden="false" outlineLevel="0" max="43" min="43" style="1" width="15.87"/>
    <col collapsed="false" customWidth="true" hidden="false" outlineLevel="0" max="44" min="44" style="1" width="33.14"/>
    <col collapsed="false" customWidth="true" hidden="false" outlineLevel="0" max="45" min="45" style="1" width="18.29"/>
    <col collapsed="false" customWidth="true" hidden="false" outlineLevel="0" max="46" min="46" style="1" width="19.85"/>
    <col collapsed="false" customWidth="true" hidden="false" outlineLevel="0" max="47" min="47" style="1" width="19.42"/>
    <col collapsed="false" customWidth="true" hidden="false" outlineLevel="0" max="48" min="48" style="1" width="21.29"/>
    <col collapsed="false" customWidth="true" hidden="false" outlineLevel="0" max="49" min="49" style="1" width="27"/>
    <col collapsed="false" customWidth="true" hidden="false" outlineLevel="0" max="50" min="50" style="1" width="18.29"/>
    <col collapsed="false" customWidth="true" hidden="false" outlineLevel="0" max="51" min="51" style="1" width="22.43"/>
    <col collapsed="false" customWidth="true" hidden="false" outlineLevel="0" max="52" min="52" style="1" width="18.85"/>
    <col collapsed="false" customWidth="true" hidden="false" outlineLevel="0" max="53" min="53" style="1" width="14.69"/>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43"/>
    <col collapsed="false" customWidth="true" hidden="false" outlineLevel="0" max="63" min="63" style="1" width="18.85"/>
    <col collapsed="false" customWidth="true" hidden="false" outlineLevel="0" max="64" min="64" style="1" width="25"/>
    <col collapsed="false" customWidth="true" hidden="false" outlineLevel="0" max="65" min="65" style="1" width="26.13"/>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3"/>
    <col collapsed="false" customWidth="true" hidden="false" outlineLevel="0" max="84" min="84" style="1" width="28.86"/>
    <col collapsed="false" customWidth="true" hidden="false" outlineLevel="0" max="86" min="85" style="1" width="15.29"/>
    <col collapsed="false" customWidth="true" hidden="false" outlineLevel="0" max="87" min="87" style="1" width="16.87"/>
    <col collapsed="false" customWidth="true" hidden="false" outlineLevel="0" max="88" min="88" style="1" width="25.41"/>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43"/>
    <col collapsed="false" customWidth="true" hidden="false" outlineLevel="0" max="96" min="96" style="1" width="13.29"/>
    <col collapsed="false" customWidth="true" hidden="false" outlineLevel="0" max="97" min="97" style="1" width="14.28"/>
    <col collapsed="false" customWidth="true" hidden="false" outlineLevel="0" max="98" min="98" style="1" width="14.69"/>
    <col collapsed="false" customWidth="true" hidden="false" outlineLevel="0" max="99" min="99" style="1" width="13.29"/>
    <col collapsed="false" customWidth="true" hidden="false" outlineLevel="0" max="102" min="100" style="1" width="13.86"/>
    <col collapsed="false" customWidth="true" hidden="false" outlineLevel="0" max="103" min="103" style="1" width="15.87"/>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1"/>
    <col collapsed="false" customWidth="true" hidden="false" outlineLevel="0" max="110" min="110" style="1" width="19.42"/>
    <col collapsed="false" customWidth="false" hidden="false" outlineLevel="0" max="115" min="111" style="1" width="11.42"/>
    <col collapsed="false" customWidth="true" hidden="false" outlineLevel="0" max="116" min="116" style="1" width="19.85"/>
    <col collapsed="false" customWidth="false" hidden="false" outlineLevel="0" max="262" min="117" style="1" width="11.42"/>
    <col collapsed="false" customWidth="true" hidden="false" outlineLevel="0" max="263" min="263" style="1" width="18.71"/>
    <col collapsed="false" customWidth="true" hidden="false" outlineLevel="0" max="264" min="264" style="1" width="14.69"/>
    <col collapsed="false" customWidth="true" hidden="false" outlineLevel="0" max="265" min="265" style="1" width="19.85"/>
    <col collapsed="false" customWidth="true" hidden="false" outlineLevel="0" max="266" min="266" style="1" width="15.42"/>
    <col collapsed="false" customWidth="true" hidden="false" outlineLevel="0" max="267" min="267" style="1" width="14.69"/>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41"/>
    <col collapsed="false" customWidth="true" hidden="false" outlineLevel="0" max="274" min="274" style="1" width="15"/>
    <col collapsed="false" customWidth="true" hidden="false" outlineLevel="0" max="275" min="275" style="1" width="13.43"/>
    <col collapsed="false" customWidth="true" hidden="false" outlineLevel="0" max="276" min="276" style="1" width="24"/>
    <col collapsed="false" customWidth="true" hidden="false" outlineLevel="0" max="277" min="277" style="1" width="15.15"/>
    <col collapsed="false" customWidth="true" hidden="false" outlineLevel="0" max="278" min="278" style="1" width="15.87"/>
    <col collapsed="false" customWidth="true" hidden="false" outlineLevel="0" max="280" min="279" style="1" width="18.71"/>
    <col collapsed="false" customWidth="true" hidden="false" outlineLevel="0" max="281" min="281" style="1" width="15.29"/>
    <col collapsed="false" customWidth="true" hidden="false" outlineLevel="0" max="282" min="282" style="1" width="17.41"/>
    <col collapsed="false" customWidth="true" hidden="false" outlineLevel="0" max="283" min="283" style="1" width="19.71"/>
    <col collapsed="false" customWidth="true" hidden="false" outlineLevel="0" max="284" min="284" style="1" width="14.69"/>
    <col collapsed="false" customWidth="true" hidden="false" outlineLevel="0" max="285" min="285" style="1" width="19.14"/>
    <col collapsed="false" customWidth="true" hidden="false" outlineLevel="0" max="286" min="286" style="1" width="21.71"/>
    <col collapsed="false" customWidth="true" hidden="false" outlineLevel="0" max="287" min="287" style="1" width="16.87"/>
    <col collapsed="false" customWidth="true" hidden="false" outlineLevel="0" max="288" min="288" style="1" width="14.69"/>
    <col collapsed="false" customWidth="true" hidden="false" outlineLevel="0" max="289" min="289" style="1" width="22.43"/>
    <col collapsed="false" customWidth="true" hidden="false" outlineLevel="0" max="290" min="290" style="1" width="26"/>
    <col collapsed="false" customWidth="true" hidden="false" outlineLevel="0" max="291" min="291" style="1" width="34.71"/>
    <col collapsed="false" customWidth="true" hidden="false" outlineLevel="0" max="292" min="292" style="1" width="23.87"/>
    <col collapsed="false" customWidth="true" hidden="false" outlineLevel="0" max="294" min="293" style="1" width="11.99"/>
    <col collapsed="false" customWidth="true" hidden="false" outlineLevel="0" max="295" min="295" style="1" width="14.43"/>
    <col collapsed="false" customWidth="true" hidden="false" outlineLevel="0" max="296" min="296" style="1" width="16"/>
    <col collapsed="false" customWidth="true" hidden="false" outlineLevel="0" max="297" min="297" style="1" width="14.28"/>
    <col collapsed="false" customWidth="true" hidden="false" outlineLevel="0" max="298" min="298" style="1" width="15.42"/>
    <col collapsed="false" customWidth="true" hidden="false" outlineLevel="0" max="299" min="299" style="1" width="27.3"/>
    <col collapsed="false" customWidth="true" hidden="false" outlineLevel="0" max="300" min="300" style="1" width="15.87"/>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42"/>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69"/>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43"/>
    <col collapsed="false" customWidth="true" hidden="false" outlineLevel="0" max="320" min="320" style="1" width="18.85"/>
    <col collapsed="false" customWidth="true" hidden="false" outlineLevel="0" max="321" min="321" style="1" width="25"/>
    <col collapsed="false" customWidth="true" hidden="false" outlineLevel="0" max="322" min="322" style="1" width="26.13"/>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3"/>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43"/>
    <col collapsed="false" customWidth="true" hidden="false" outlineLevel="0" max="352" min="352" style="1" width="13.29"/>
    <col collapsed="false" customWidth="true" hidden="false" outlineLevel="0" max="353" min="353" style="1" width="14.28"/>
    <col collapsed="false" customWidth="true" hidden="false" outlineLevel="0" max="354" min="354" style="1" width="14.69"/>
    <col collapsed="false" customWidth="true" hidden="false" outlineLevel="0" max="355" min="355" style="1" width="13.29"/>
    <col collapsed="false" customWidth="true" hidden="false" outlineLevel="0" max="358" min="356" style="1" width="13.86"/>
    <col collapsed="false" customWidth="true" hidden="false" outlineLevel="0" max="359" min="359" style="1" width="15.87"/>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1"/>
    <col collapsed="false" customWidth="false" hidden="false" outlineLevel="0" max="371" min="366" style="1" width="11.42"/>
    <col collapsed="false" customWidth="true" hidden="false" outlineLevel="0" max="372" min="372" style="1" width="19.85"/>
    <col collapsed="false" customWidth="false" hidden="false" outlineLevel="0" max="518" min="373" style="1" width="11.42"/>
    <col collapsed="false" customWidth="true" hidden="false" outlineLevel="0" max="519" min="519" style="1" width="18.71"/>
    <col collapsed="false" customWidth="true" hidden="false" outlineLevel="0" max="520" min="520" style="1" width="14.69"/>
    <col collapsed="false" customWidth="true" hidden="false" outlineLevel="0" max="521" min="521" style="1" width="19.85"/>
    <col collapsed="false" customWidth="true" hidden="false" outlineLevel="0" max="522" min="522" style="1" width="15.42"/>
    <col collapsed="false" customWidth="true" hidden="false" outlineLevel="0" max="523" min="523" style="1" width="14.69"/>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41"/>
    <col collapsed="false" customWidth="true" hidden="false" outlineLevel="0" max="530" min="530" style="1" width="15"/>
    <col collapsed="false" customWidth="true" hidden="false" outlineLevel="0" max="531" min="531" style="1" width="13.43"/>
    <col collapsed="false" customWidth="true" hidden="false" outlineLevel="0" max="532" min="532" style="1" width="24"/>
    <col collapsed="false" customWidth="true" hidden="false" outlineLevel="0" max="533" min="533" style="1" width="15.15"/>
    <col collapsed="false" customWidth="true" hidden="false" outlineLevel="0" max="534" min="534" style="1" width="15.87"/>
    <col collapsed="false" customWidth="true" hidden="false" outlineLevel="0" max="536" min="535" style="1" width="18.71"/>
    <col collapsed="false" customWidth="true" hidden="false" outlineLevel="0" max="537" min="537" style="1" width="15.29"/>
    <col collapsed="false" customWidth="true" hidden="false" outlineLevel="0" max="538" min="538" style="1" width="17.41"/>
    <col collapsed="false" customWidth="true" hidden="false" outlineLevel="0" max="539" min="539" style="1" width="19.71"/>
    <col collapsed="false" customWidth="true" hidden="false" outlineLevel="0" max="540" min="540" style="1" width="14.69"/>
    <col collapsed="false" customWidth="true" hidden="false" outlineLevel="0" max="541" min="541" style="1" width="19.14"/>
    <col collapsed="false" customWidth="true" hidden="false" outlineLevel="0" max="542" min="542" style="1" width="21.71"/>
    <col collapsed="false" customWidth="true" hidden="false" outlineLevel="0" max="543" min="543" style="1" width="16.87"/>
    <col collapsed="false" customWidth="true" hidden="false" outlineLevel="0" max="544" min="544" style="1" width="14.69"/>
    <col collapsed="false" customWidth="true" hidden="false" outlineLevel="0" max="545" min="545" style="1" width="22.43"/>
    <col collapsed="false" customWidth="true" hidden="false" outlineLevel="0" max="546" min="546" style="1" width="26"/>
    <col collapsed="false" customWidth="true" hidden="false" outlineLevel="0" max="547" min="547" style="1" width="34.71"/>
    <col collapsed="false" customWidth="true" hidden="false" outlineLevel="0" max="548" min="548" style="1" width="23.87"/>
    <col collapsed="false" customWidth="true" hidden="false" outlineLevel="0" max="550" min="549" style="1" width="11.99"/>
    <col collapsed="false" customWidth="true" hidden="false" outlineLevel="0" max="551" min="551" style="1" width="14.43"/>
    <col collapsed="false" customWidth="true" hidden="false" outlineLevel="0" max="552" min="552" style="1" width="16"/>
    <col collapsed="false" customWidth="true" hidden="false" outlineLevel="0" max="553" min="553" style="1" width="14.28"/>
    <col collapsed="false" customWidth="true" hidden="false" outlineLevel="0" max="554" min="554" style="1" width="15.42"/>
    <col collapsed="false" customWidth="true" hidden="false" outlineLevel="0" max="555" min="555" style="1" width="27.3"/>
    <col collapsed="false" customWidth="true" hidden="false" outlineLevel="0" max="556" min="556" style="1" width="15.87"/>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42"/>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69"/>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43"/>
    <col collapsed="false" customWidth="true" hidden="false" outlineLevel="0" max="576" min="576" style="1" width="18.85"/>
    <col collapsed="false" customWidth="true" hidden="false" outlineLevel="0" max="577" min="577" style="1" width="25"/>
    <col collapsed="false" customWidth="true" hidden="false" outlineLevel="0" max="578" min="578" style="1" width="26.13"/>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3"/>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43"/>
    <col collapsed="false" customWidth="true" hidden="false" outlineLevel="0" max="608" min="608" style="1" width="13.29"/>
    <col collapsed="false" customWidth="true" hidden="false" outlineLevel="0" max="609" min="609" style="1" width="14.28"/>
    <col collapsed="false" customWidth="true" hidden="false" outlineLevel="0" max="610" min="610" style="1" width="14.69"/>
    <col collapsed="false" customWidth="true" hidden="false" outlineLevel="0" max="611" min="611" style="1" width="13.29"/>
    <col collapsed="false" customWidth="true" hidden="false" outlineLevel="0" max="614" min="612" style="1" width="13.86"/>
    <col collapsed="false" customWidth="true" hidden="false" outlineLevel="0" max="615" min="615" style="1" width="15.87"/>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1"/>
    <col collapsed="false" customWidth="false" hidden="false" outlineLevel="0" max="627" min="622" style="1" width="11.42"/>
    <col collapsed="false" customWidth="true" hidden="false" outlineLevel="0" max="628" min="628" style="1" width="19.85"/>
    <col collapsed="false" customWidth="false" hidden="false" outlineLevel="0" max="774" min="629" style="1" width="11.42"/>
    <col collapsed="false" customWidth="true" hidden="false" outlineLevel="0" max="775" min="775" style="1" width="18.71"/>
    <col collapsed="false" customWidth="true" hidden="false" outlineLevel="0" max="776" min="776" style="1" width="14.69"/>
    <col collapsed="false" customWidth="true" hidden="false" outlineLevel="0" max="777" min="777" style="1" width="19.85"/>
    <col collapsed="false" customWidth="true" hidden="false" outlineLevel="0" max="778" min="778" style="1" width="15.42"/>
    <col collapsed="false" customWidth="true" hidden="false" outlineLevel="0" max="779" min="779" style="1" width="14.69"/>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41"/>
    <col collapsed="false" customWidth="true" hidden="false" outlineLevel="0" max="786" min="786" style="1" width="15"/>
    <col collapsed="false" customWidth="true" hidden="false" outlineLevel="0" max="787" min="787" style="1" width="13.43"/>
    <col collapsed="false" customWidth="true" hidden="false" outlineLevel="0" max="788" min="788" style="1" width="24"/>
    <col collapsed="false" customWidth="true" hidden="false" outlineLevel="0" max="789" min="789" style="1" width="15.15"/>
    <col collapsed="false" customWidth="true" hidden="false" outlineLevel="0" max="790" min="790" style="1" width="15.87"/>
    <col collapsed="false" customWidth="true" hidden="false" outlineLevel="0" max="792" min="791" style="1" width="18.71"/>
    <col collapsed="false" customWidth="true" hidden="false" outlineLevel="0" max="793" min="793" style="1" width="15.29"/>
    <col collapsed="false" customWidth="true" hidden="false" outlineLevel="0" max="794" min="794" style="1" width="17.41"/>
    <col collapsed="false" customWidth="true" hidden="false" outlineLevel="0" max="795" min="795" style="1" width="19.71"/>
    <col collapsed="false" customWidth="true" hidden="false" outlineLevel="0" max="796" min="796" style="1" width="14.69"/>
    <col collapsed="false" customWidth="true" hidden="false" outlineLevel="0" max="797" min="797" style="1" width="19.14"/>
    <col collapsed="false" customWidth="true" hidden="false" outlineLevel="0" max="798" min="798" style="1" width="21.71"/>
    <col collapsed="false" customWidth="true" hidden="false" outlineLevel="0" max="799" min="799" style="1" width="16.87"/>
    <col collapsed="false" customWidth="true" hidden="false" outlineLevel="0" max="800" min="800" style="1" width="14.69"/>
    <col collapsed="false" customWidth="true" hidden="false" outlineLevel="0" max="801" min="801" style="1" width="22.43"/>
    <col collapsed="false" customWidth="true" hidden="false" outlineLevel="0" max="802" min="802" style="1" width="26"/>
    <col collapsed="false" customWidth="true" hidden="false" outlineLevel="0" max="803" min="803" style="1" width="34.71"/>
    <col collapsed="false" customWidth="true" hidden="false" outlineLevel="0" max="804" min="804" style="1" width="23.87"/>
    <col collapsed="false" customWidth="true" hidden="false" outlineLevel="0" max="806" min="805" style="1" width="11.99"/>
    <col collapsed="false" customWidth="true" hidden="false" outlineLevel="0" max="807" min="807" style="1" width="14.43"/>
    <col collapsed="false" customWidth="true" hidden="false" outlineLevel="0" max="808" min="808" style="1" width="16"/>
    <col collapsed="false" customWidth="true" hidden="false" outlineLevel="0" max="809" min="809" style="1" width="14.28"/>
    <col collapsed="false" customWidth="true" hidden="false" outlineLevel="0" max="810" min="810" style="1" width="15.42"/>
    <col collapsed="false" customWidth="true" hidden="false" outlineLevel="0" max="811" min="811" style="1" width="27.3"/>
    <col collapsed="false" customWidth="true" hidden="false" outlineLevel="0" max="812" min="812" style="1" width="15.87"/>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42"/>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69"/>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43"/>
    <col collapsed="false" customWidth="true" hidden="false" outlineLevel="0" max="832" min="832" style="1" width="18.85"/>
    <col collapsed="false" customWidth="true" hidden="false" outlineLevel="0" max="833" min="833" style="1" width="25"/>
    <col collapsed="false" customWidth="true" hidden="false" outlineLevel="0" max="834" min="834" style="1" width="26.13"/>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3"/>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43"/>
    <col collapsed="false" customWidth="true" hidden="false" outlineLevel="0" max="864" min="864" style="1" width="13.29"/>
    <col collapsed="false" customWidth="true" hidden="false" outlineLevel="0" max="865" min="865" style="1" width="14.28"/>
    <col collapsed="false" customWidth="true" hidden="false" outlineLevel="0" max="866" min="866" style="1" width="14.69"/>
    <col collapsed="false" customWidth="true" hidden="false" outlineLevel="0" max="867" min="867" style="1" width="13.29"/>
    <col collapsed="false" customWidth="true" hidden="false" outlineLevel="0" max="870" min="868" style="1" width="13.86"/>
    <col collapsed="false" customWidth="true" hidden="false" outlineLevel="0" max="871" min="871" style="1" width="15.87"/>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1"/>
    <col collapsed="false" customWidth="false" hidden="false" outlineLevel="0" max="883" min="878" style="1" width="11.42"/>
    <col collapsed="false" customWidth="true" hidden="false" outlineLevel="0" max="884" min="884" style="1" width="19.85"/>
    <col collapsed="false" customWidth="false" hidden="false" outlineLevel="0" max="1025" min="885" style="1" width="11.42"/>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BN11/BF11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5"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BN9/BF9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BN10/BF10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6" t="s">
        <v>785</v>
      </c>
      <c r="P7" s="587" t="s">
        <v>786</v>
      </c>
      <c r="Q7" s="586" t="s">
        <v>787</v>
      </c>
      <c r="R7" s="587" t="s">
        <v>788</v>
      </c>
      <c r="S7" s="586" t="s">
        <v>789</v>
      </c>
      <c r="T7" s="589" t="s">
        <v>790</v>
      </c>
      <c r="U7" s="587" t="s">
        <v>791</v>
      </c>
      <c r="V7" s="587" t="s">
        <v>792</v>
      </c>
      <c r="W7" s="587" t="s">
        <v>793</v>
      </c>
      <c r="X7" s="586" t="s">
        <v>794</v>
      </c>
      <c r="Y7" s="587" t="s">
        <v>795</v>
      </c>
      <c r="Z7" s="587" t="s">
        <v>796</v>
      </c>
      <c r="AA7" s="586" t="s">
        <v>797</v>
      </c>
      <c r="AB7" s="587" t="s">
        <v>798</v>
      </c>
      <c r="AC7" s="587" t="s">
        <v>799</v>
      </c>
      <c r="AD7" s="585" t="s">
        <v>800</v>
      </c>
      <c r="AE7" s="586" t="s">
        <v>801</v>
      </c>
      <c r="AF7" s="586" t="s">
        <v>802</v>
      </c>
      <c r="AG7" s="585" t="s">
        <v>803</v>
      </c>
      <c r="AH7" s="585" t="s">
        <v>804</v>
      </c>
      <c r="AI7" s="586" t="s">
        <v>805</v>
      </c>
      <c r="AJ7" s="590" t="s">
        <v>806</v>
      </c>
      <c r="AK7" s="586" t="s">
        <v>807</v>
      </c>
      <c r="AL7" s="586" t="s">
        <v>808</v>
      </c>
      <c r="AM7" s="586" t="s">
        <v>809</v>
      </c>
      <c r="AN7" s="586" t="s">
        <v>810</v>
      </c>
      <c r="AO7" s="586" t="s">
        <v>811</v>
      </c>
      <c r="AP7" s="586" t="s">
        <v>812</v>
      </c>
      <c r="AQ7" s="587" t="s">
        <v>813</v>
      </c>
      <c r="AR7" s="587"/>
      <c r="AS7" s="587"/>
      <c r="AW7" s="591" t="s">
        <v>775</v>
      </c>
      <c r="AX7" s="592" t="s">
        <v>814</v>
      </c>
      <c r="AY7" s="593" t="s">
        <v>815</v>
      </c>
      <c r="AZ7" s="594" t="s">
        <v>816</v>
      </c>
      <c r="BA7" s="594" t="s">
        <v>817</v>
      </c>
      <c r="BB7" s="594" t="s">
        <v>818</v>
      </c>
      <c r="BC7" s="593" t="s">
        <v>794</v>
      </c>
      <c r="BD7" s="595" t="s">
        <v>819</v>
      </c>
      <c r="BE7" s="595" t="s">
        <v>820</v>
      </c>
      <c r="BF7" s="596" t="s">
        <v>821</v>
      </c>
      <c r="BG7" s="597" t="s">
        <v>822</v>
      </c>
      <c r="BH7" s="597" t="s">
        <v>823</v>
      </c>
      <c r="BI7" s="594" t="s">
        <v>824</v>
      </c>
      <c r="BJ7" s="594" t="s">
        <v>825</v>
      </c>
      <c r="BK7" s="594" t="s">
        <v>826</v>
      </c>
      <c r="BL7" s="594" t="s">
        <v>827</v>
      </c>
      <c r="BM7" s="593" t="s">
        <v>828</v>
      </c>
      <c r="BN7" s="593" t="s">
        <v>829</v>
      </c>
      <c r="BO7" s="594" t="s">
        <v>830</v>
      </c>
      <c r="BP7" s="594" t="s">
        <v>831</v>
      </c>
      <c r="BQ7" s="594" t="s">
        <v>832</v>
      </c>
      <c r="BR7" s="594" t="s">
        <v>833</v>
      </c>
      <c r="BS7" s="594" t="s">
        <v>834</v>
      </c>
      <c r="BT7" s="594" t="s">
        <v>835</v>
      </c>
      <c r="BU7" s="594" t="s">
        <v>836</v>
      </c>
      <c r="BV7" s="594" t="s">
        <v>837</v>
      </c>
      <c r="BW7" s="594" t="s">
        <v>838</v>
      </c>
      <c r="BX7" s="594" t="s">
        <v>839</v>
      </c>
      <c r="BY7" s="594" t="s">
        <v>840</v>
      </c>
      <c r="BZ7" s="592" t="s">
        <v>841</v>
      </c>
      <c r="CA7" s="593" t="s">
        <v>842</v>
      </c>
      <c r="CB7" s="593" t="s">
        <v>843</v>
      </c>
      <c r="CC7" s="594" t="s">
        <v>830</v>
      </c>
      <c r="CD7" s="594" t="s">
        <v>831</v>
      </c>
      <c r="CE7" s="594" t="s">
        <v>832</v>
      </c>
      <c r="CF7" s="593" t="s">
        <v>844</v>
      </c>
      <c r="CG7" s="592" t="s">
        <v>845</v>
      </c>
      <c r="CH7" s="592" t="s">
        <v>846</v>
      </c>
      <c r="CI7" s="592" t="s">
        <v>847</v>
      </c>
      <c r="CJ7" s="596" t="s">
        <v>848</v>
      </c>
      <c r="CK7" s="596" t="s">
        <v>849</v>
      </c>
      <c r="CL7" s="596" t="s">
        <v>850</v>
      </c>
      <c r="CM7" s="598" t="s">
        <v>851</v>
      </c>
      <c r="CN7" s="598" t="s">
        <v>852</v>
      </c>
      <c r="CO7" s="594" t="s">
        <v>853</v>
      </c>
      <c r="CP7" s="594" t="s">
        <v>854</v>
      </c>
      <c r="CQ7" s="594" t="s">
        <v>855</v>
      </c>
      <c r="CR7" s="594" t="s">
        <v>856</v>
      </c>
      <c r="CS7" s="599" t="s">
        <v>857</v>
      </c>
      <c r="CT7" s="595" t="s">
        <v>813</v>
      </c>
      <c r="CU7" s="594"/>
      <c r="CW7" s="600" t="s">
        <v>32</v>
      </c>
      <c r="CX7" s="601" t="s">
        <v>858</v>
      </c>
      <c r="CY7" s="601" t="s">
        <v>859</v>
      </c>
      <c r="CZ7" s="601" t="s">
        <v>860</v>
      </c>
      <c r="DA7" s="601" t="s">
        <v>861</v>
      </c>
      <c r="DB7" s="602" t="s">
        <v>862</v>
      </c>
      <c r="DC7" s="603" t="s">
        <v>858</v>
      </c>
      <c r="DD7" s="547" t="s">
        <v>859</v>
      </c>
      <c r="DE7" s="547" t="s">
        <v>860</v>
      </c>
      <c r="DF7" s="547" t="s">
        <v>861</v>
      </c>
      <c r="DG7" s="580" t="s">
        <v>862</v>
      </c>
      <c r="DJ7" s="1" t="s">
        <v>863</v>
      </c>
      <c r="DP7" s="604" t="s">
        <v>775</v>
      </c>
      <c r="DQ7" s="604"/>
      <c r="DR7" s="604" t="s">
        <v>864</v>
      </c>
      <c r="DS7" s="604"/>
    </row>
    <row r="8" customFormat="false" ht="30" hidden="false" customHeight="true" outlineLevel="0" collapsed="false">
      <c r="E8" s="584"/>
      <c r="F8" s="585"/>
      <c r="G8" s="586"/>
      <c r="H8" s="587"/>
      <c r="I8" s="587"/>
      <c r="J8" s="587"/>
      <c r="K8" s="587"/>
      <c r="L8" s="587"/>
      <c r="M8" s="586"/>
      <c r="N8" s="586"/>
      <c r="O8" s="586"/>
      <c r="P8" s="587"/>
      <c r="Q8" s="587"/>
      <c r="R8" s="587"/>
      <c r="S8" s="586"/>
      <c r="T8" s="589"/>
      <c r="U8" s="589"/>
      <c r="V8" s="589"/>
      <c r="W8" s="587"/>
      <c r="X8" s="587"/>
      <c r="Y8" s="587"/>
      <c r="Z8" s="587"/>
      <c r="AA8" s="587"/>
      <c r="AB8" s="587"/>
      <c r="AC8" s="587"/>
      <c r="AD8" s="587"/>
      <c r="AE8" s="586"/>
      <c r="AF8" s="586"/>
      <c r="AG8" s="585"/>
      <c r="AH8" s="585"/>
      <c r="AI8" s="585"/>
      <c r="AJ8" s="590"/>
      <c r="AK8" s="586"/>
      <c r="AL8" s="586"/>
      <c r="AM8" s="586"/>
      <c r="AN8" s="586"/>
      <c r="AO8" s="586"/>
      <c r="AP8" s="586"/>
      <c r="AQ8" s="587"/>
      <c r="AR8" s="587"/>
      <c r="AS8" s="587"/>
      <c r="AW8" s="591"/>
      <c r="AX8" s="592"/>
      <c r="AY8" s="592"/>
      <c r="AZ8" s="594"/>
      <c r="BA8" s="594"/>
      <c r="BB8" s="594"/>
      <c r="BC8" s="593"/>
      <c r="BD8" s="595"/>
      <c r="BE8" s="595"/>
      <c r="BF8" s="596"/>
      <c r="BG8" s="597"/>
      <c r="BH8" s="597"/>
      <c r="BI8" s="594"/>
      <c r="BJ8" s="594"/>
      <c r="BK8" s="594"/>
      <c r="BL8" s="594"/>
      <c r="BM8" s="594"/>
      <c r="BN8" s="593"/>
      <c r="BO8" s="594"/>
      <c r="BP8" s="594"/>
      <c r="BQ8" s="594"/>
      <c r="BR8" s="594"/>
      <c r="BS8" s="594"/>
      <c r="BT8" s="594"/>
      <c r="BU8" s="594"/>
      <c r="BV8" s="594"/>
      <c r="BW8" s="594"/>
      <c r="BX8" s="594"/>
      <c r="BY8" s="594"/>
      <c r="BZ8" s="592"/>
      <c r="CA8" s="593"/>
      <c r="CB8" s="593"/>
      <c r="CC8" s="594"/>
      <c r="CD8" s="594"/>
      <c r="CE8" s="594"/>
      <c r="CF8" s="594"/>
      <c r="CG8" s="592"/>
      <c r="CH8" s="592"/>
      <c r="CI8" s="592"/>
      <c r="CJ8" s="592"/>
      <c r="CK8" s="592"/>
      <c r="CL8" s="592"/>
      <c r="CM8" s="598"/>
      <c r="CN8" s="598"/>
      <c r="CO8" s="594"/>
      <c r="CP8" s="594"/>
      <c r="CQ8" s="594"/>
      <c r="CR8" s="594"/>
      <c r="CS8" s="599"/>
      <c r="CT8" s="595"/>
      <c r="CU8" s="595"/>
      <c r="CW8" s="600" t="n">
        <v>1993</v>
      </c>
      <c r="CX8" s="605" t="n">
        <f aca="false">'PIB corriente base 1993'!V41*1000</f>
        <v>212626894.104702</v>
      </c>
      <c r="CY8" s="605" t="n">
        <f aca="false">'PIB corriente base 1993'!V42*1000</f>
        <v>241255279.238847</v>
      </c>
      <c r="CZ8" s="605" t="n">
        <f aca="false">'PIB corriente base 1993'!V43*1000</f>
        <v>243494229.649487</v>
      </c>
      <c r="DA8" s="605" t="n">
        <f aca="false">'PIB corriente base 1993'!V44*1000</f>
        <v>248643519.498031</v>
      </c>
      <c r="DB8" s="606" t="n">
        <f aca="false">'PIB corriente base 1993'!V8*1000</f>
        <v>236504980.622767</v>
      </c>
      <c r="DC8" s="607"/>
      <c r="DD8" s="605"/>
      <c r="DE8" s="605"/>
      <c r="DF8" s="605"/>
      <c r="DG8" s="608"/>
      <c r="DI8" s="1" t="n">
        <v>2001</v>
      </c>
      <c r="DJ8" s="453" t="n">
        <v>2933082</v>
      </c>
      <c r="DK8" s="456" t="n">
        <f aca="false">'Cuenta Ahorro-Inversión-Financi'!DJ8/'PIB corriente base 1993'!V16/1000</f>
        <v>0.0109159580432705</v>
      </c>
      <c r="DL8" s="28" t="n">
        <v>1994592.07047</v>
      </c>
      <c r="DM8" s="456" t="n">
        <f aca="false">'Cuenta Ahorro-Inversión-Financi'!DL8/'PIB corriente base 1993'!V16/1000</f>
        <v>0.00742320990503864</v>
      </c>
      <c r="DP8" s="1" t="s">
        <v>865</v>
      </c>
      <c r="DQ8" s="1" t="s">
        <v>866</v>
      </c>
      <c r="DR8" s="1" t="s">
        <v>865</v>
      </c>
      <c r="DS8" s="1" t="s">
        <v>866</v>
      </c>
      <c r="DT8" s="1" t="s">
        <v>867</v>
      </c>
    </row>
    <row r="9" customFormat="false" ht="15.75" hidden="false" customHeight="true" outlineLevel="0" collapsed="false">
      <c r="B9" s="456" t="n">
        <f aca="false">'Cuenta Ahorro-Inversión-Financi'!G9/'Cuenta Ahorro-Inversión-Financi'!F9</f>
        <v>0.17511212301232</v>
      </c>
      <c r="C9" s="456" t="n">
        <f aca="false">'Cuenta Ahorro-Inversión-Financi'!T9/'Cuenta Ahorro-Inversión-Financi'!F9</f>
        <v>0.804002972953642</v>
      </c>
      <c r="E9" s="609" t="n">
        <v>1993</v>
      </c>
      <c r="F9" s="610" t="n">
        <f aca="false">'Cuenta Ahorro-Inversión-Financi'!G9+'Cuenta Ahorro-Inversión-Financi'!S9+'Cuenta Ahorro-Inversión-Financi'!T9+'Cuenta Ahorro-Inversión-Financi'!X9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c r="S9" s="612" t="n">
        <v>1477.4717</v>
      </c>
      <c r="T9" s="610" t="n">
        <f aca="false">'Cuenta Ahorro-Inversión-Financi'!U9+'Cuenta Ahorro-Inversión-Financi'!V9+'Cuenta Ahorro-Inversión-Financi'!W9</f>
        <v>12400650.68389</v>
      </c>
      <c r="U9" s="612" t="n">
        <v>10726170.86917</v>
      </c>
      <c r="V9" s="612" t="n">
        <v>1674479.81472</v>
      </c>
      <c r="W9" s="612"/>
      <c r="X9" s="612" t="n">
        <f aca="false">'Cuenta Ahorro-Inversión-Financi'!Y9+'Cuenta Ahorro-Inversión-Financi'!Z9</f>
        <v>320643.72462</v>
      </c>
      <c r="Y9" s="612" t="n">
        <v>320643.72462</v>
      </c>
      <c r="Z9" s="612"/>
      <c r="AA9" s="612"/>
      <c r="AB9" s="612"/>
      <c r="AC9" s="612"/>
      <c r="AD9" s="610" t="n">
        <f aca="false">'Cuenta Ahorro-Inversión-Financi'!AE9</f>
        <v>177005.26151</v>
      </c>
      <c r="AE9" s="612" t="n">
        <v>177005.26151</v>
      </c>
      <c r="AF9" s="612"/>
      <c r="AG9" s="610" t="n">
        <f aca="false">'Cuenta Ahorro-Inversión-Financi'!AD9+'Cuenta Ahorro-Inversión-Financi'!F9</f>
        <v>15600643.10993</v>
      </c>
      <c r="AH9" s="610" t="n">
        <v>2950900</v>
      </c>
      <c r="AI9" s="613" t="n">
        <f aca="false">'Cálculo masa impuestos copartic'!U5*1000</f>
        <v>3015865.81949566</v>
      </c>
      <c r="AJ9" s="613"/>
      <c r="AK9" s="613"/>
      <c r="AL9" s="613"/>
      <c r="AM9" s="613"/>
      <c r="AN9" s="612" t="n">
        <f aca="false">'Cuenta Ahorro-Inversión-Financi'!AH9-('Cuenta Ahorro-Inversión-Financi'!AI9+'Cuenta Ahorro-Inversión-Financi'!AK9+'Cuenta Ahorro-Inversión-Financi'!AL9+'Cuenta Ahorro-Inversión-Financi'!AM9)</f>
        <v>-64965.8194956575</v>
      </c>
      <c r="AO9" s="612" t="n">
        <f aca="false">'Cuenta Ahorro-Inversión-Financi'!AH9-'Cuenta Ahorro-Inversión-Financi'!CH9</f>
        <v>1700113.01095</v>
      </c>
      <c r="AP9" s="612" t="n">
        <f aca="false">'Cuenta Ahorro-Inversión-Financi'!AO9</f>
        <v>1700113.01095</v>
      </c>
      <c r="AQ9" s="612" t="s">
        <v>868</v>
      </c>
      <c r="AR9" s="614" t="s">
        <v>869</v>
      </c>
      <c r="AS9" s="612"/>
      <c r="AT9" s="615"/>
      <c r="AU9" s="615"/>
      <c r="AV9" s="615"/>
      <c r="AW9" s="616" t="n">
        <v>1993</v>
      </c>
      <c r="AX9" s="617" t="n">
        <f aca="false">'Cuenta Ahorro-Inversión-Financi'!AY9+'Cuenta Ahorro-Inversión-Financi'!BC9+'Cuenta Ahorro-Inversión-Financi'!BF9+'Cuenta Ahorro-Inversión-Financi'!BX9</f>
        <v>15554768.65</v>
      </c>
      <c r="AY9" s="618" t="n">
        <v>352371.13373</v>
      </c>
      <c r="AZ9" s="618" t="n">
        <v>229221.33837</v>
      </c>
      <c r="BA9" s="618" t="n">
        <f aca="false">(3753925.53+119395869.83)/1000</f>
        <v>123149.79536</v>
      </c>
      <c r="BB9" s="618"/>
      <c r="BC9" s="618"/>
      <c r="BD9" s="618"/>
      <c r="BE9" s="618"/>
      <c r="BF9" s="617" t="n">
        <v>12448934.70519</v>
      </c>
      <c r="BG9" s="617"/>
      <c r="BH9" s="617"/>
      <c r="BI9" s="617"/>
      <c r="BJ9" s="617"/>
      <c r="BK9" s="617"/>
      <c r="BL9" s="617"/>
      <c r="BM9" s="618"/>
      <c r="BN9" s="618" t="n">
        <v>2753462.81108</v>
      </c>
      <c r="BO9" s="619" t="n">
        <v>2462801.27717</v>
      </c>
      <c r="BP9" s="619" t="n">
        <v>290572.36635</v>
      </c>
      <c r="BQ9" s="619" t="n">
        <v>89.16756</v>
      </c>
      <c r="BR9" s="619" t="n">
        <f aca="false">'Cuenta Ahorro-Inversión-Financi'!BN9</f>
        <v>2753462.81108</v>
      </c>
      <c r="BS9" s="618"/>
      <c r="BT9" s="618"/>
      <c r="BU9" s="618"/>
      <c r="BV9" s="618"/>
      <c r="BW9" s="618"/>
      <c r="BX9" s="618" t="n">
        <f aca="false">'Cuenta Ahorro-Inversión-Financi'!BN9-'Cuenta Ahorro-Inversión-Financi'!BV9-'Cuenta Ahorro-Inversión-Financi'!BW9</f>
        <v>2753462.81108</v>
      </c>
      <c r="BY9" s="618"/>
      <c r="BZ9" s="617" t="n">
        <f aca="false">'Cuenta Ahorro-Inversión-Financi'!CA9+'Cuenta Ahorro-Inversión-Financi'!CB9</f>
        <v>11358.69103</v>
      </c>
      <c r="CA9" s="618" t="n">
        <v>9091.93885</v>
      </c>
      <c r="CB9" s="618" t="n">
        <v>2266.75218</v>
      </c>
      <c r="CC9" s="618" t="n">
        <v>1933.79418</v>
      </c>
      <c r="CD9" s="618" t="n">
        <v>332.958</v>
      </c>
      <c r="CE9" s="618"/>
      <c r="CF9" s="618"/>
      <c r="CG9" s="617" t="n">
        <f aca="false">'Cuenta Ahorro-Inversión-Financi'!BZ9+'Cuenta Ahorro-Inversión-Financi'!AX9</f>
        <v>15566127.34103</v>
      </c>
      <c r="CH9" s="617" t="n">
        <v>1250786.98905</v>
      </c>
      <c r="CI9" s="617"/>
      <c r="CJ9" s="620" t="n">
        <v>1036245.35282</v>
      </c>
      <c r="CK9" s="620"/>
      <c r="CL9" s="620" t="n">
        <v>214541.63623</v>
      </c>
      <c r="CM9" s="617"/>
      <c r="CN9" s="617"/>
      <c r="CO9" s="617" t="n">
        <f aca="false">'Cuenta Ahorro-Inversión-Financi'!F9-'Cuenta Ahorro-Inversión-Financi'!AX9</f>
        <v>-131130.801579999</v>
      </c>
      <c r="CP9" s="618" t="n">
        <f aca="false">'Cuenta Ahorro-Inversión-Financi'!CO9+'Cuenta Ahorro-Inversión-Financi'!AD9-'Cuenta Ahorro-Inversión-Financi'!BZ9</f>
        <v>34515.7689000012</v>
      </c>
      <c r="CQ9" s="618" t="n">
        <f aca="false">'Cuenta Ahorro-Inversión-Financi'!T9-'Cuenta Ahorro-Inversión-Financi'!BF9-'Cuenta Ahorro-Inversión-Financi'!BR9</f>
        <v>-2801746.83238</v>
      </c>
      <c r="CR9" s="618" t="n">
        <f aca="false">'Cuenta Ahorro-Inversión-Financi'!F9-'Cuenta Ahorro-Inversión-Financi'!BF9-'Cuenta Ahorro-Inversión-Financi'!BR9-'Cuenta Ahorro-Inversión-Financi'!X9</f>
        <v>-99403.3924699994</v>
      </c>
      <c r="CS9" s="618"/>
      <c r="CT9" s="621" t="s">
        <v>870</v>
      </c>
      <c r="CU9" s="621"/>
      <c r="CW9" s="600" t="n">
        <v>1994</v>
      </c>
      <c r="CX9" s="98" t="n">
        <f aca="false">'PIB corriente base 1993'!V45*1000</f>
        <v>235083114.797091</v>
      </c>
      <c r="CY9" s="98" t="n">
        <f aca="false">'PIB corriente base 1993'!V46*1000</f>
        <v>263684413.350474</v>
      </c>
      <c r="CZ9" s="98" t="n">
        <f aca="false">'PIB corriente base 1993'!V47*1000</f>
        <v>260869631.11863</v>
      </c>
      <c r="DA9" s="98" t="n">
        <f aca="false">'PIB corriente base 1993'!V48*1000</f>
        <v>270122678.162221</v>
      </c>
      <c r="DB9" s="622" t="n">
        <f aca="false">'PIB corriente base 1993'!V9*1000</f>
        <v>257439959.357104</v>
      </c>
      <c r="DC9" s="623"/>
      <c r="DD9" s="98"/>
      <c r="DE9" s="98"/>
      <c r="DF9" s="98"/>
      <c r="DG9" s="624"/>
      <c r="DI9" s="1" t="n">
        <v>2002</v>
      </c>
      <c r="DJ9" s="453" t="n">
        <v>4857335</v>
      </c>
      <c r="DK9" s="456" t="n">
        <f aca="false">'Cuenta Ahorro-Inversión-Financi'!DJ9/'PIB corriente base 1993'!V17/1000</f>
        <v>0.0155394867377431</v>
      </c>
      <c r="DL9" s="28" t="n">
        <v>1721480.99196</v>
      </c>
      <c r="DM9" s="456" t="n">
        <f aca="false">'Cuenta Ahorro-Inversión-Financi'!DL9/'PIB corriente base 1993'!V17/1000</f>
        <v>0.00550732676330524</v>
      </c>
      <c r="DO9" s="1" t="n">
        <v>2008</v>
      </c>
      <c r="DP9" s="1" t="n">
        <v>98224000</v>
      </c>
      <c r="DQ9" s="28" t="n">
        <f aca="false">X24</f>
        <v>1117433.63985</v>
      </c>
      <c r="DR9" s="456" t="n">
        <f aca="false">DP9/DG23</f>
        <v>0.0854384673722807</v>
      </c>
      <c r="DS9" s="456" t="n">
        <f aca="false">DQ9/DG23</f>
        <v>0.000971980550364606</v>
      </c>
      <c r="DV9" s="456" t="n">
        <f aca="false">DP9/DF23</f>
        <v>0.0840489864437777</v>
      </c>
      <c r="DW9" s="456" t="n">
        <f aca="false">DQ9/DF23</f>
        <v>0.000956173286035733</v>
      </c>
    </row>
    <row r="10" customFormat="false" ht="15.75" hidden="false" customHeight="true" outlineLevel="0" collapsed="false">
      <c r="B10" s="456" t="n">
        <f aca="false">'Cuenta Ahorro-Inversión-Financi'!G10/'Cuenta Ahorro-Inversión-Financi'!F10</f>
        <v>0.191431986351368</v>
      </c>
      <c r="C10" s="456" t="n">
        <f aca="false">'Cuenta Ahorro-Inversión-Financi'!T10/'Cuenta Ahorro-Inversión-Financi'!F10</f>
        <v>0.806715429646667</v>
      </c>
      <c r="E10" s="609" t="n">
        <v>1994</v>
      </c>
      <c r="F10" s="625" t="n">
        <f aca="false">'Cuenta Ahorro-Inversión-Financi'!G10+'Cuenta Ahorro-Inversión-Financi'!S10+'Cuenta Ahorro-Inversión-Financi'!T10+'Cuenta Ahorro-Inversión-Financi'!X10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c r="S10" s="627" t="n">
        <v>5520.58856</v>
      </c>
      <c r="T10" s="625" t="n">
        <f aca="false">'Cuenta Ahorro-Inversión-Financi'!U10+'Cuenta Ahorro-Inversión-Financi'!V10</f>
        <v>13089595.27607</v>
      </c>
      <c r="U10" s="627" t="n">
        <v>10616988.96096</v>
      </c>
      <c r="V10" s="627" t="n">
        <v>2472606.31511</v>
      </c>
      <c r="W10" s="627"/>
      <c r="X10" s="627" t="n">
        <f aca="false">'Cuenta Ahorro-Inversión-Financi'!Y10+'Cuenta Ahorro-Inversión-Financi'!Z10</f>
        <v>24539.0507</v>
      </c>
      <c r="Y10" s="627" t="n">
        <v>24539.0507</v>
      </c>
      <c r="Z10" s="627"/>
      <c r="AA10" s="627"/>
      <c r="AB10" s="627"/>
      <c r="AC10" s="627"/>
      <c r="AD10" s="625" t="n">
        <f aca="false">'Cuenta Ahorro-Inversión-Financi'!AE10</f>
        <v>402913.46401</v>
      </c>
      <c r="AE10" s="627" t="n">
        <v>402913.46401</v>
      </c>
      <c r="AF10" s="627"/>
      <c r="AG10" s="625" t="n">
        <f aca="false">'Cuenta Ahorro-Inversión-Financi'!AD10+'Cuenta Ahorro-Inversión-Financi'!F10</f>
        <v>16628703.61879</v>
      </c>
      <c r="AH10" s="629" t="n">
        <v>2655185.68941</v>
      </c>
      <c r="AI10" s="628" t="n">
        <f aca="false">'Cálculo masa impuestos copartic'!U6*1000</f>
        <v>3226509.52498154</v>
      </c>
      <c r="AJ10" s="628"/>
      <c r="AK10" s="628"/>
      <c r="AL10" s="628"/>
      <c r="AM10" s="628"/>
      <c r="AN10" s="627" t="n">
        <f aca="false">'Cuenta Ahorro-Inversión-Financi'!AH10-('Cuenta Ahorro-Inversión-Financi'!AI10+'Cuenta Ahorro-Inversión-Financi'!AK10+'Cuenta Ahorro-Inversión-Financi'!AL10+'Cuenta Ahorro-Inversión-Financi'!AM10)</f>
        <v>-571323.835571541</v>
      </c>
      <c r="AO10" s="627" t="n">
        <f aca="false">'Cuenta Ahorro-Inversión-Financi'!AH10-'Cuenta Ahorro-Inversión-Financi'!CH10</f>
        <v>910950.44945</v>
      </c>
      <c r="AP10" s="627" t="n">
        <f aca="false">'Cuenta Ahorro-Inversión-Financi'!AO10</f>
        <v>910950.44945</v>
      </c>
      <c r="AQ10" s="630" t="s">
        <v>871</v>
      </c>
      <c r="AR10" s="630"/>
      <c r="AS10" s="630"/>
      <c r="AT10" s="615"/>
      <c r="AU10" s="615"/>
      <c r="AV10" s="615"/>
      <c r="AW10" s="631" t="n">
        <v>1994</v>
      </c>
      <c r="AX10" s="625" t="n">
        <f aca="false">'Cuenta Ahorro-Inversión-Financi'!AY10+'Cuenta Ahorro-Inversión-Financi'!BC10+'Cuenta Ahorro-Inversión-Financi'!BF10+'Cuenta Ahorro-Inversión-Financi'!BX10</f>
        <v>18032820.97375</v>
      </c>
      <c r="AY10" s="627" t="n">
        <f aca="false">'Cuenta Ahorro-Inversión-Financi'!AZ10+'Cuenta Ahorro-Inversión-Financi'!BA10</f>
        <v>293763.12069</v>
      </c>
      <c r="AZ10" s="627" t="n">
        <f aca="false">169191444.92/1000</f>
        <v>169191.44492</v>
      </c>
      <c r="BA10" s="627" t="n">
        <f aca="false">(120986031.79+3585643.98)/1000</f>
        <v>124571.67577</v>
      </c>
      <c r="BB10" s="627"/>
      <c r="BC10" s="627" t="n">
        <v>1329.49425</v>
      </c>
      <c r="BD10" s="627" t="n">
        <v>1329.49425</v>
      </c>
      <c r="BE10" s="630"/>
      <c r="BF10" s="625" t="n">
        <f aca="false">14536199591.29/1000</f>
        <v>14536199.59129</v>
      </c>
      <c r="BG10" s="625"/>
      <c r="BH10" s="625"/>
      <c r="BI10" s="625"/>
      <c r="BJ10" s="625"/>
      <c r="BK10" s="625"/>
      <c r="BL10" s="625"/>
      <c r="BM10" s="630"/>
      <c r="BN10" s="632" t="n">
        <v>3201528.76752</v>
      </c>
      <c r="BO10" s="633" t="n">
        <v>2919812.93848</v>
      </c>
      <c r="BP10" s="633" t="n">
        <v>280840.91688</v>
      </c>
      <c r="BQ10" s="633" t="n">
        <v>874.91216</v>
      </c>
      <c r="BR10" s="633" t="n">
        <f aca="false">'Cuenta Ahorro-Inversión-Financi'!BN10</f>
        <v>3201528.76752</v>
      </c>
      <c r="BS10" s="632"/>
      <c r="BT10" s="632"/>
      <c r="BU10" s="632"/>
      <c r="BV10" s="632"/>
      <c r="BW10" s="632"/>
      <c r="BX10" s="632" t="n">
        <f aca="false">'Cuenta Ahorro-Inversión-Financi'!BN10-'Cuenta Ahorro-Inversión-Financi'!BV10-'Cuenta Ahorro-Inversión-Financi'!BW10</f>
        <v>3201528.76752</v>
      </c>
      <c r="BY10" s="632"/>
      <c r="BZ10" s="625" t="n">
        <f aca="false">'Cuenta Ahorro-Inversión-Financi'!CA10+'Cuenta Ahorro-Inversión-Financi'!CB10</f>
        <v>6602.16148</v>
      </c>
      <c r="CA10" s="627" t="n">
        <f aca="false">5285361.48/1000</f>
        <v>5285.36148</v>
      </c>
      <c r="CB10" s="627" t="n">
        <v>1316.8</v>
      </c>
      <c r="CC10" s="627" t="n">
        <v>1316.8</v>
      </c>
      <c r="CD10" s="630"/>
      <c r="CE10" s="630"/>
      <c r="CF10" s="630"/>
      <c r="CG10" s="625" t="n">
        <f aca="false">'Cuenta Ahorro-Inversión-Financi'!BZ10+'Cuenta Ahorro-Inversión-Financi'!AX10</f>
        <v>18039423.13523</v>
      </c>
      <c r="CH10" s="625" t="n">
        <v>1744235.23996</v>
      </c>
      <c r="CI10" s="625"/>
      <c r="CJ10" s="625" t="n">
        <v>1287640.9398</v>
      </c>
      <c r="CK10" s="625"/>
      <c r="CL10" s="625" t="n">
        <f aca="false">272255.70016+184338.6</f>
        <v>456594.30016</v>
      </c>
      <c r="CM10" s="625"/>
      <c r="CN10" s="625"/>
      <c r="CO10" s="625" t="n">
        <f aca="false">'Cuenta Ahorro-Inversión-Financi'!F10-'Cuenta Ahorro-Inversión-Financi'!AX10</f>
        <v>-1807030.81897</v>
      </c>
      <c r="CP10" s="627" t="n">
        <f aca="false">'Cuenta Ahorro-Inversión-Financi'!CO10+'Cuenta Ahorro-Inversión-Financi'!AD10-'Cuenta Ahorro-Inversión-Financi'!BZ10</f>
        <v>-1410719.51644</v>
      </c>
      <c r="CQ10" s="627" t="n">
        <f aca="false">'Cuenta Ahorro-Inversión-Financi'!T10-'Cuenta Ahorro-Inversión-Financi'!BF10-'Cuenta Ahorro-Inversión-Financi'!BR10</f>
        <v>-4648133.08274</v>
      </c>
      <c r="CR10" s="627" t="n">
        <f aca="false">'Cuenta Ahorro-Inversión-Financi'!F10-'Cuenta Ahorro-Inversión-Financi'!BF10-'Cuenta Ahorro-Inversión-Financi'!BR10-'Cuenta Ahorro-Inversión-Financi'!X10</f>
        <v>-1536477.25473</v>
      </c>
      <c r="CS10" s="627"/>
      <c r="CT10" s="634" t="s">
        <v>872</v>
      </c>
      <c r="CU10" s="634" t="s">
        <v>873</v>
      </c>
      <c r="CW10" s="600" t="n">
        <v>1995</v>
      </c>
      <c r="CX10" s="605" t="n">
        <f aca="false">'PIB corriente base 1993'!V49*1000</f>
        <v>250405946.238777</v>
      </c>
      <c r="CY10" s="605" t="n">
        <f aca="false">'PIB corriente base 1993'!V50*1000</f>
        <v>261602918.007641</v>
      </c>
      <c r="CZ10" s="605" t="n">
        <f aca="false">'PIB corriente base 1993'!V51*1000</f>
        <v>256868339.734697</v>
      </c>
      <c r="DA10" s="605" t="n">
        <f aca="false">'PIB corriente base 1993'!V52*1000</f>
        <v>263250336.152224</v>
      </c>
      <c r="DB10" s="606" t="n">
        <f aca="false">'PIB corriente base 1993'!V10*1000</f>
        <v>258031885.033335</v>
      </c>
      <c r="DC10" s="607"/>
      <c r="DD10" s="605"/>
      <c r="DE10" s="605"/>
      <c r="DF10" s="605"/>
      <c r="DG10" s="608"/>
      <c r="DI10" s="1" t="n">
        <v>2003</v>
      </c>
      <c r="DJ10" s="453" t="n">
        <v>5900237</v>
      </c>
      <c r="DK10" s="456" t="n">
        <f aca="false">'Cuenta Ahorro-Inversión-Financi'!DJ10/'PIB corriente base 1993'!V18/1000</f>
        <v>0.0156959033371192</v>
      </c>
      <c r="DL10" s="28" t="n">
        <v>2926862.80533</v>
      </c>
      <c r="DM10" s="456" t="n">
        <f aca="false">'Cuenta Ahorro-Inversión-Financi'!DL10/'PIB corriente base 1993'!V18/1000</f>
        <v>0.00778608650355386</v>
      </c>
      <c r="DO10" s="1" t="n">
        <f aca="false">DO9+1</f>
        <v>2009</v>
      </c>
      <c r="DP10" s="1" t="n">
        <v>135692700</v>
      </c>
      <c r="DQ10" s="28" t="n">
        <f aca="false">X25</f>
        <v>8487113.30096</v>
      </c>
      <c r="DR10" s="456" t="n">
        <f aca="false">DP10/DG24</f>
        <v>0.108734287574557</v>
      </c>
      <c r="DS10" s="456" t="n">
        <f aca="false">DQ10/DG24</f>
        <v>0.00680095700317286</v>
      </c>
      <c r="DT10" s="456" t="n">
        <f aca="false">DQ10/DP9</f>
        <v>0.0864056982098062</v>
      </c>
      <c r="DV10" s="456" t="n">
        <f aca="false">DP10/DF24</f>
        <v>0.0999055290371173</v>
      </c>
      <c r="DW10" s="456" t="n">
        <f aca="false">DQ10/DF24</f>
        <v>0.0062487484170509</v>
      </c>
      <c r="DX10" s="456" t="n">
        <f aca="false">(DF24-DF23)/DF23</f>
        <v>0.162202552063792</v>
      </c>
      <c r="DY10" s="456" t="n">
        <f aca="false">(DP10-DP9)/DP9</f>
        <v>0.381461760873106</v>
      </c>
    </row>
    <row r="11" customFormat="false" ht="15.75" hidden="false" customHeight="true" outlineLevel="0" collapsed="false">
      <c r="B11" s="456" t="n">
        <f aca="false">'Cuenta Ahorro-Inversión-Financi'!G11/'Cuenta Ahorro-Inversión-Financi'!F11</f>
        <v>0.21067072369967</v>
      </c>
      <c r="C11" s="456" t="n">
        <f aca="false">'Cuenta Ahorro-Inversión-Financi'!T11/'Cuenta Ahorro-Inversión-Financi'!F11</f>
        <v>0.788492496193586</v>
      </c>
      <c r="E11" s="609" t="n">
        <v>1995</v>
      </c>
      <c r="F11" s="610" t="n">
        <f aca="false">'Cuenta Ahorro-Inversión-Financi'!G11+'Cuenta Ahorro-Inversión-Financi'!S11+'Cuenta Ahorro-Inversión-Financi'!T11+'Cuenta Ahorro-Inversión-Financi'!X11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c r="S11" s="612" t="n">
        <v>4218.02512</v>
      </c>
      <c r="T11" s="610" t="n">
        <f aca="false">'Cuenta Ahorro-Inversión-Financi'!U11+'Cuenta Ahorro-Inversión-Financi'!V11</f>
        <v>11681609.47549</v>
      </c>
      <c r="U11" s="612" t="n">
        <v>9473972.03033</v>
      </c>
      <c r="V11" s="612" t="n">
        <v>2207637.44516</v>
      </c>
      <c r="W11" s="635"/>
      <c r="X11" s="612" t="n">
        <f aca="false">'Cuenta Ahorro-Inversión-Financi'!Y11+'Cuenta Ahorro-Inversión-Financi'!Z11</f>
        <v>8178.97101</v>
      </c>
      <c r="Y11" s="612" t="n">
        <v>8178.97101</v>
      </c>
      <c r="Z11" s="612"/>
      <c r="AA11" s="612"/>
      <c r="AB11" s="612"/>
      <c r="AC11" s="612"/>
      <c r="AD11" s="610" t="n">
        <f aca="false">'Cuenta Ahorro-Inversión-Financi'!AE11</f>
        <v>343912.63891</v>
      </c>
      <c r="AE11" s="612" t="n">
        <v>343912.63891</v>
      </c>
      <c r="AF11" s="635"/>
      <c r="AG11" s="610" t="n">
        <f aca="false">'Cuenta Ahorro-Inversión-Financi'!AD11+'Cuenta Ahorro-Inversión-Financi'!F11</f>
        <v>15159030.76861</v>
      </c>
      <c r="AH11" s="610" t="n">
        <f aca="false">3218608826.88/1000</f>
        <v>3218608.82688</v>
      </c>
      <c r="AI11" s="613" t="n">
        <f aca="false">'Cálculo masa impuestos copartic'!U7*1000</f>
        <v>2990988.48141767</v>
      </c>
      <c r="AJ11" s="613"/>
      <c r="AK11" s="613"/>
      <c r="AL11" s="613"/>
      <c r="AM11" s="613"/>
      <c r="AN11" s="612" t="n">
        <f aca="false">'Cuenta Ahorro-Inversión-Financi'!AH11-('Cuenta Ahorro-Inversión-Financi'!AI11+'Cuenta Ahorro-Inversión-Financi'!AK11+'Cuenta Ahorro-Inversión-Financi'!AL11+'Cuenta Ahorro-Inversión-Financi'!AM11)</f>
        <v>227620.345462328</v>
      </c>
      <c r="AO11" s="612" t="n">
        <f aca="false">'Cuenta Ahorro-Inversión-Financi'!AH11-'Cuenta Ahorro-Inversión-Financi'!CH11</f>
        <v>1505700.82252</v>
      </c>
      <c r="AP11" s="612" t="n">
        <f aca="false">'Cuenta Ahorro-Inversión-Financi'!AO11</f>
        <v>1505700.82252</v>
      </c>
      <c r="AQ11" s="635" t="s">
        <v>874</v>
      </c>
      <c r="AR11" s="635"/>
      <c r="AS11" s="635"/>
      <c r="AT11" s="615"/>
      <c r="AU11" s="615"/>
      <c r="AV11" s="615"/>
      <c r="AW11" s="631" t="n">
        <v>1995</v>
      </c>
      <c r="AX11" s="617" t="n">
        <f aca="false">'Cuenta Ahorro-Inversión-Financi'!AY11+'Cuenta Ahorro-Inversión-Financi'!BC11+'Cuenta Ahorro-Inversión-Financi'!BF11+'Cuenta Ahorro-Inversión-Financi'!BX11</f>
        <v>15531636.76355</v>
      </c>
      <c r="AY11" s="618" t="n">
        <v>296927.9492</v>
      </c>
      <c r="AZ11" s="618" t="n">
        <v>168650.78216</v>
      </c>
      <c r="BA11" s="618" t="n">
        <f aca="false">(4900839.87+123376327.17)/1000</f>
        <v>128277.16704</v>
      </c>
      <c r="BB11" s="618"/>
      <c r="BC11" s="618" t="n">
        <v>10685.60689</v>
      </c>
      <c r="BD11" s="618" t="n">
        <v>10685.60689</v>
      </c>
      <c r="BE11" s="618"/>
      <c r="BF11" s="617" t="n">
        <v>13842035.42524</v>
      </c>
      <c r="BG11" s="617"/>
      <c r="BH11" s="617"/>
      <c r="BI11" s="617"/>
      <c r="BJ11" s="617"/>
      <c r="BK11" s="617"/>
      <c r="BL11" s="617"/>
      <c r="BM11" s="618"/>
      <c r="BN11" s="618" t="n">
        <v>1381987.78222</v>
      </c>
      <c r="BO11" s="619"/>
      <c r="BP11" s="619"/>
      <c r="BQ11" s="618"/>
      <c r="BR11" s="619" t="n">
        <f aca="false">'Cuenta Ahorro-Inversión-Financi'!BN11</f>
        <v>1381987.78222</v>
      </c>
      <c r="BS11" s="618"/>
      <c r="BT11" s="618"/>
      <c r="BU11" s="618"/>
      <c r="BV11" s="618"/>
      <c r="BW11" s="618"/>
      <c r="BX11" s="618" t="n">
        <f aca="false">'Cuenta Ahorro-Inversión-Financi'!BN11-'Cuenta Ahorro-Inversión-Financi'!BV11-'Cuenta Ahorro-Inversión-Financi'!BW11</f>
        <v>1381987.78222</v>
      </c>
      <c r="BY11" s="618"/>
      <c r="BZ11" s="617" t="n">
        <f aca="false">'Cuenta Ahorro-Inversión-Financi'!CA11+'Cuenta Ahorro-Inversión-Financi'!CB11</f>
        <v>3224.0181</v>
      </c>
      <c r="CA11" s="618" t="n">
        <v>3224.0181</v>
      </c>
      <c r="CB11" s="636"/>
      <c r="CC11" s="636"/>
      <c r="CD11" s="636"/>
      <c r="CE11" s="636"/>
      <c r="CF11" s="636"/>
      <c r="CG11" s="617" t="n">
        <f aca="false">'Cuenta Ahorro-Inversión-Financi'!BZ11+'Cuenta Ahorro-Inversión-Financi'!AX11</f>
        <v>15534860.78165</v>
      </c>
      <c r="CH11" s="617" t="n">
        <f aca="false">'Cuenta Ahorro-Inversión-Financi'!CI11-2566535.788</f>
        <v>1712908.00436</v>
      </c>
      <c r="CI11" s="617" t="n">
        <v>4279443.79236</v>
      </c>
      <c r="CJ11" s="617" t="n">
        <f aca="false">2400-2566535.788+3752061.7223</f>
        <v>1187925.9343</v>
      </c>
      <c r="CK11" s="617"/>
      <c r="CL11" s="617" t="n">
        <f aca="false">340248.51506+184733.555</f>
        <v>524982.07006</v>
      </c>
      <c r="CM11" s="617"/>
      <c r="CN11" s="617"/>
      <c r="CO11" s="617" t="n">
        <f aca="false">'Cuenta Ahorro-Inversión-Financi'!F11-'Cuenta Ahorro-Inversión-Financi'!AX11</f>
        <v>-716518.633850001</v>
      </c>
      <c r="CP11" s="618" t="n">
        <f aca="false">'Cuenta Ahorro-Inversión-Financi'!CO11+'Cuenta Ahorro-Inversión-Financi'!AD11-'Cuenta Ahorro-Inversión-Financi'!BZ11</f>
        <v>-375830.013040001</v>
      </c>
      <c r="CQ11" s="618" t="n">
        <f aca="false">'Cuenta Ahorro-Inversión-Financi'!T11-'Cuenta Ahorro-Inversión-Financi'!BF11-'Cuenta Ahorro-Inversión-Financi'!BR11</f>
        <v>-3542413.73197</v>
      </c>
      <c r="CR11" s="618" t="n">
        <f aca="false">'Cuenta Ahorro-Inversión-Financi'!F11-'Cuenta Ahorro-Inversión-Financi'!BF11-'Cuenta Ahorro-Inversión-Financi'!BR11-'Cuenta Ahorro-Inversión-Financi'!X11</f>
        <v>-417084.048770001</v>
      </c>
      <c r="CS11" s="618"/>
      <c r="CT11" s="637" t="s">
        <v>875</v>
      </c>
      <c r="CU11" s="637"/>
      <c r="CW11" s="600" t="n">
        <v>1996</v>
      </c>
      <c r="CX11" s="98" t="n">
        <f aca="false">'PIB corriente base 1993'!V53*1000</f>
        <v>251199988.676488</v>
      </c>
      <c r="CY11" s="98" t="n">
        <f aca="false">'PIB corriente base 1993'!V54*1000</f>
        <v>280167136.445746</v>
      </c>
      <c r="CZ11" s="98" t="n">
        <f aca="false">'PIB corriente base 1993'!V55*1000</f>
        <v>274502346.767011</v>
      </c>
      <c r="DA11" s="98" t="n">
        <f aca="false">'PIB corriente base 1993'!V56*1000</f>
        <v>282729559.355978</v>
      </c>
      <c r="DB11" s="622" t="n">
        <f aca="false">'PIB corriente base 1993'!V11*1000</f>
        <v>272149757.811306</v>
      </c>
      <c r="DC11" s="623"/>
      <c r="DD11" s="98"/>
      <c r="DE11" s="98"/>
      <c r="DF11" s="98"/>
      <c r="DG11" s="624"/>
      <c r="DI11" s="1" t="n">
        <v>2004</v>
      </c>
      <c r="DJ11" s="453" t="n">
        <v>7681862</v>
      </c>
      <c r="DK11" s="456" t="n">
        <f aca="false">'Cuenta Ahorro-Inversión-Financi'!DJ11/1000/'PIB corriente base 2004'!X8</f>
        <v>0.015835129642473</v>
      </c>
      <c r="DL11" s="28" t="n">
        <v>4445674.9968</v>
      </c>
      <c r="DM11" s="456" t="n">
        <f aca="false">'Cuenta Ahorro-Inversión-Financi'!DL11/1000/'PIB corriente base 2004'!X8</f>
        <v>0.0091641635742257</v>
      </c>
      <c r="DO11" s="1" t="n">
        <f aca="false">DO10+1</f>
        <v>2010</v>
      </c>
      <c r="DP11" s="1" t="n">
        <v>178016000</v>
      </c>
      <c r="DQ11" s="28" t="n">
        <f aca="false">X26</f>
        <v>8714727.55017</v>
      </c>
      <c r="DR11" s="456" t="n">
        <f aca="false">DP11/DG25</f>
        <v>0.107127494888355</v>
      </c>
      <c r="DS11" s="456" t="n">
        <f aca="false">DQ11/DG25</f>
        <v>0.00524439899269864</v>
      </c>
      <c r="DT11" s="456" t="n">
        <f aca="false">DQ11/DP10</f>
        <v>0.0642239969443456</v>
      </c>
      <c r="DV11" s="456" t="n">
        <f aca="false">DP11/DF25</f>
        <v>0.0973230768546964</v>
      </c>
      <c r="DW11" s="456" t="n">
        <f aca="false">DQ11/DF25</f>
        <v>0.00476442622647928</v>
      </c>
      <c r="DX11" s="456" t="n">
        <f aca="false">(DF25-DF24)/DF24</f>
        <v>0.346716705558995</v>
      </c>
      <c r="DY11" s="456" t="n">
        <f aca="false">(DP11-DP10)/DP10</f>
        <v>0.311905504128078</v>
      </c>
    </row>
    <row r="12" customFormat="false" ht="15.75" hidden="false" customHeight="true" outlineLevel="0" collapsed="false">
      <c r="B12" s="456" t="n">
        <f aca="false">'Cuenta Ahorro-Inversión-Financi'!G12/'Cuenta Ahorro-Inversión-Financi'!F12</f>
        <v>0.286301865657118</v>
      </c>
      <c r="C12" s="456" t="n">
        <f aca="false">'Cuenta Ahorro-Inversión-Financi'!T12/'Cuenta Ahorro-Inversión-Financi'!F12</f>
        <v>0.710980760745126</v>
      </c>
      <c r="E12" s="609" t="n">
        <v>1996</v>
      </c>
      <c r="F12" s="625" t="n">
        <f aca="false">'Cuenta Ahorro-Inversión-Financi'!G12+'Cuenta Ahorro-Inversión-Financi'!S12+'Cuenta Ahorro-Inversión-Financi'!T12+'Cuenta Ahorro-Inversión-Financi'!X12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28"/>
      <c r="P12" s="630"/>
      <c r="Q12" s="627" t="n">
        <f aca="false">IVA!AU94</f>
        <v>172304</v>
      </c>
      <c r="R12" s="627" t="n">
        <f aca="false">IVA!AU162*0.7</f>
        <v>0</v>
      </c>
      <c r="S12" s="632" t="n">
        <v>6134.043</v>
      </c>
      <c r="T12" s="629" t="n">
        <v>9902080.73</v>
      </c>
      <c r="U12" s="630"/>
      <c r="V12" s="630"/>
      <c r="W12" s="630"/>
      <c r="X12" s="632" t="n">
        <f aca="false">31711781/1000</f>
        <v>31711.781</v>
      </c>
      <c r="Y12" s="632"/>
      <c r="Z12" s="632"/>
      <c r="AA12" s="632"/>
      <c r="AB12" s="632"/>
      <c r="AC12" s="632"/>
      <c r="AD12" s="625" t="n">
        <f aca="false">'Cuenta Ahorro-Inversión-Financi'!AE12+'Cuenta Ahorro-Inversión-Financi'!AF12</f>
        <v>98838.677</v>
      </c>
      <c r="AE12" s="632" t="n">
        <f aca="false">98835554/1000</f>
        <v>98835.554</v>
      </c>
      <c r="AF12" s="632" t="n">
        <v>3.123</v>
      </c>
      <c r="AG12" s="625" t="n">
        <f aca="false">'Cuenta Ahorro-Inversión-Financi'!AD12+'Cuenta Ahorro-Inversión-Financi'!F12</f>
        <v>14026192.66</v>
      </c>
      <c r="AH12" s="629" t="n">
        <f aca="false">6027771273/1000</f>
        <v>6027771.273</v>
      </c>
      <c r="AI12" s="628" t="n">
        <f aca="false">'Cálculo masa impuestos copartic'!U8*1000</f>
        <v>3231346.71425055</v>
      </c>
      <c r="AJ12" s="628"/>
      <c r="AK12" s="628"/>
      <c r="AL12" s="628"/>
      <c r="AM12" s="628"/>
      <c r="AN12" s="627" t="n">
        <f aca="false">'Cuenta Ahorro-Inversión-Financi'!AH12-('Cuenta Ahorro-Inversión-Financi'!AI12+'Cuenta Ahorro-Inversión-Financi'!AK12+'Cuenta Ahorro-Inversión-Financi'!AL12+'Cuenta Ahorro-Inversión-Financi'!AM12)</f>
        <v>2796424.55874945</v>
      </c>
      <c r="AO12" s="627" t="n">
        <f aca="false">'Cuenta Ahorro-Inversión-Financi'!AI12-'Cuenta Ahorro-Inversión-Financi'!CH12</f>
        <v>1200902.96404055</v>
      </c>
      <c r="AP12" s="627" t="n">
        <f aca="false">'Cuenta Ahorro-Inversión-Financi'!AO12</f>
        <v>1200902.96404055</v>
      </c>
      <c r="AQ12" s="630" t="s">
        <v>876</v>
      </c>
      <c r="AR12" s="630"/>
      <c r="AS12" s="630"/>
      <c r="AT12" s="615"/>
      <c r="AU12" s="615"/>
      <c r="AV12" s="615"/>
      <c r="AW12" s="631" t="n">
        <v>1996</v>
      </c>
      <c r="AX12" s="625" t="n">
        <f aca="false">'Cuenta Ahorro-Inversión-Financi'!AY12+'Cuenta Ahorro-Inversión-Financi'!BC12+'Cuenta Ahorro-Inversión-Financi'!BF12+'Cuenta Ahorro-Inversión-Financi'!BX12</f>
        <v>16567195.649</v>
      </c>
      <c r="AY12" s="627" t="n">
        <v>330883.704</v>
      </c>
      <c r="AZ12" s="627"/>
      <c r="BA12" s="627"/>
      <c r="BB12" s="627"/>
      <c r="BC12" s="627" t="n">
        <v>134577.688</v>
      </c>
      <c r="BD12" s="627"/>
      <c r="BE12" s="627"/>
      <c r="BF12" s="625" t="n">
        <v>14468094.187</v>
      </c>
      <c r="BG12" s="625"/>
      <c r="BH12" s="625"/>
      <c r="BI12" s="625"/>
      <c r="BJ12" s="625"/>
      <c r="BK12" s="625"/>
      <c r="BL12" s="625"/>
      <c r="BM12" s="627"/>
      <c r="BN12" s="627" t="n">
        <v>1633640.07</v>
      </c>
      <c r="BO12" s="628"/>
      <c r="BP12" s="628"/>
      <c r="BQ12" s="627"/>
      <c r="BR12" s="628"/>
      <c r="BS12" s="627"/>
      <c r="BT12" s="627"/>
      <c r="BU12" s="627"/>
      <c r="BV12" s="627"/>
      <c r="BW12" s="627"/>
      <c r="BX12" s="627" t="n">
        <f aca="false">'Cuenta Ahorro-Inversión-Financi'!BN12-'Cuenta Ahorro-Inversión-Financi'!BV12-'Cuenta Ahorro-Inversión-Financi'!BW12</f>
        <v>1633640.07</v>
      </c>
      <c r="BY12" s="627"/>
      <c r="BZ12" s="625" t="n">
        <f aca="false">'Cuenta Ahorro-Inversión-Financi'!CA12+'Cuenta Ahorro-Inversión-Financi'!CB12</f>
        <v>7389.67</v>
      </c>
      <c r="CA12" s="627" t="n">
        <v>7389.67</v>
      </c>
      <c r="CB12" s="627"/>
      <c r="CC12" s="627"/>
      <c r="CD12" s="627"/>
      <c r="CE12" s="627"/>
      <c r="CF12" s="627"/>
      <c r="CG12" s="625" t="n">
        <f aca="false">'Cuenta Ahorro-Inversión-Financi'!BZ12+'Cuenta Ahorro-Inversión-Financi'!AX12</f>
        <v>16574585.319</v>
      </c>
      <c r="CH12" s="625" t="n">
        <f aca="false">'Cuenta Ahorro-Inversión-Financi'!CI12-2491204.07079-233300</f>
        <v>2030443.75021</v>
      </c>
      <c r="CI12" s="625" t="n">
        <v>4754947.821</v>
      </c>
      <c r="CJ12" s="625" t="n">
        <f aca="false">225182.67637+3510646.16297-2491204.07079-233300</f>
        <v>1011324.76855</v>
      </c>
      <c r="CK12" s="625" t="n">
        <v>536454.52933</v>
      </c>
      <c r="CL12" s="625" t="n">
        <f aca="false">843279.20165+175800+39.78-CK12</f>
        <v>482664.45232</v>
      </c>
      <c r="CM12" s="625"/>
      <c r="CN12" s="625"/>
      <c r="CO12" s="625" t="n">
        <f aca="false">'Cuenta Ahorro-Inversión-Financi'!F12-'Cuenta Ahorro-Inversión-Financi'!AX12</f>
        <v>-2639841.666</v>
      </c>
      <c r="CP12" s="627" t="n">
        <f aca="false">'Cuenta Ahorro-Inversión-Financi'!CO12+'Cuenta Ahorro-Inversión-Financi'!AD12-'Cuenta Ahorro-Inversión-Financi'!BZ12</f>
        <v>-2548392.659</v>
      </c>
      <c r="CQ12" s="627" t="n">
        <f aca="false">'Cuenta Ahorro-Inversión-Financi'!T12-'Cuenta Ahorro-Inversión-Financi'!BF12-'Cuenta Ahorro-Inversión-Financi'!BN12</f>
        <v>-6199653.527</v>
      </c>
      <c r="CR12" s="627" t="n">
        <f aca="false">'Cuenta Ahorro-Inversión-Financi'!F12-'Cuenta Ahorro-Inversión-Financi'!BF12-'Cuenta Ahorro-Inversión-Financi'!BN12-'Cuenta Ahorro-Inversión-Financi'!X12</f>
        <v>-2206092.055</v>
      </c>
      <c r="CS12" s="627"/>
      <c r="CT12" s="634" t="s">
        <v>877</v>
      </c>
      <c r="CU12" s="634"/>
      <c r="CW12" s="600" t="n">
        <v>1997</v>
      </c>
      <c r="CX12" s="605" t="n">
        <f aca="false">'PIB corriente base 1993'!V57*1000</f>
        <v>271260456.309178</v>
      </c>
      <c r="CY12" s="605" t="n">
        <f aca="false">'PIB corriente base 1993'!V58*1000</f>
        <v>299872538.771224</v>
      </c>
      <c r="CZ12" s="605" t="n">
        <f aca="false">'PIB corriente base 1993'!V59*1000</f>
        <v>298264991.508642</v>
      </c>
      <c r="DA12" s="605" t="n">
        <f aca="false">'PIB corriente base 1993'!V60*1000</f>
        <v>302037522.729126</v>
      </c>
      <c r="DB12" s="606" t="n">
        <f aca="false">'PIB corriente base 1993'!V12*1000</f>
        <v>292858877.329543</v>
      </c>
      <c r="DC12" s="607"/>
      <c r="DD12" s="605"/>
      <c r="DE12" s="605"/>
      <c r="DF12" s="605"/>
      <c r="DG12" s="608"/>
      <c r="DI12" s="1" t="n">
        <v>2005</v>
      </c>
      <c r="DJ12" s="453" t="n">
        <v>9434291</v>
      </c>
      <c r="DK12" s="456" t="n">
        <f aca="false">'Cuenta Ahorro-Inversión-Financi'!DJ12/1000/'PIB corriente base 2004'!X9</f>
        <v>0.0161951464097716</v>
      </c>
      <c r="DL12" s="28" t="n">
        <v>5603319.4768</v>
      </c>
      <c r="DM12" s="456" t="n">
        <f aca="false">'Cuenta Ahorro-Inversión-Financi'!DL12/1000/'PIB corriente base 2004'!X9</f>
        <v>0.00961880222981258</v>
      </c>
      <c r="DO12" s="1" t="n">
        <f aca="false">DO11+1</f>
        <v>2011</v>
      </c>
      <c r="DP12" s="1" t="n">
        <v>199490000</v>
      </c>
      <c r="DQ12" s="28" t="n">
        <f aca="false">X27</f>
        <v>11038679.15411</v>
      </c>
      <c r="DR12" s="456" t="n">
        <f aca="false">DP12/DG26</f>
        <v>0.0915501575533753</v>
      </c>
      <c r="DS12" s="456" t="n">
        <f aca="false">DQ12/DG26</f>
        <v>0.00506588207799855</v>
      </c>
      <c r="DT12" s="456" t="n">
        <f aca="false">DQ12/DP11</f>
        <v>0.0620094775419625</v>
      </c>
      <c r="DV12" s="456" t="n">
        <f aca="false">DP12/DF26</f>
        <v>0.0852645925437724</v>
      </c>
      <c r="DW12" s="456" t="n">
        <f aca="false">DQ12/DF26</f>
        <v>0.00471807348887976</v>
      </c>
      <c r="DX12" s="456" t="n">
        <f aca="false">(DF26-DF25)/DF25</f>
        <v>0.279113850761342</v>
      </c>
      <c r="DY12" s="456" t="n">
        <f aca="false">(DP12-DP11)/DP11</f>
        <v>0.120629606327521</v>
      </c>
    </row>
    <row r="13" customFormat="false" ht="15.75" hidden="false" customHeight="true" outlineLevel="0" collapsed="false">
      <c r="B13" s="456" t="n">
        <f aca="false">'Cuenta Ahorro-Inversión-Financi'!G13/'Cuenta Ahorro-Inversión-Financi'!F13</f>
        <v>0.363987999705586</v>
      </c>
      <c r="C13" s="456" t="n">
        <f aca="false">'Cuenta Ahorro-Inversión-Financi'!T13/'Cuenta Ahorro-Inversión-Financi'!F13</f>
        <v>0.63385280000017</v>
      </c>
      <c r="E13" s="609" t="n">
        <v>1997</v>
      </c>
      <c r="F13" s="610" t="n">
        <f aca="false">'Cuenta Ahorro-Inversión-Financi'!G13+'Cuenta Ahorro-Inversión-Financi'!S13+'Cuenta Ahorro-Inversión-Financi'!T13+'Cuenta Ahorro-Inversión-Financi'!X13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3"/>
      <c r="P13" s="612"/>
      <c r="Q13" s="612" t="n">
        <f aca="false">IVA!AU95</f>
        <v>193825</v>
      </c>
      <c r="R13" s="612" t="n">
        <f aca="false">IVA!AU163*0.7</f>
        <v>0</v>
      </c>
      <c r="S13" s="612" t="n">
        <v>3157.02127</v>
      </c>
      <c r="T13" s="610" t="n">
        <f aca="false">'Cuenta Ahorro-Inversión-Financi'!U13+'Cuenta Ahorro-Inversión-Financi'!V13+'Cuenta Ahorro-Inversión-Financi'!W13</f>
        <v>10237807.4847</v>
      </c>
      <c r="U13" s="612" t="n">
        <v>7573541.50233</v>
      </c>
      <c r="V13" s="612" t="n">
        <v>1984461.86394</v>
      </c>
      <c r="W13" s="612" t="n">
        <v>679804.11843</v>
      </c>
      <c r="X13" s="612" t="n">
        <f aca="false">'Cuenta Ahorro-Inversión-Financi'!Y13+'Cuenta Ahorro-Inversión-Financi'!Z13</f>
        <v>31717.7587</v>
      </c>
      <c r="Y13" s="612" t="n">
        <v>2254.85678</v>
      </c>
      <c r="Z13" s="612" t="n">
        <v>29462.90192</v>
      </c>
      <c r="AA13" s="612"/>
      <c r="AB13" s="612"/>
      <c r="AC13" s="612"/>
      <c r="AD13" s="610" t="n">
        <f aca="false">'Cuenta Ahorro-Inversión-Financi'!AE13+'Cuenta Ahorro-Inversión-Financi'!AF13</f>
        <v>208802.02321</v>
      </c>
      <c r="AE13" s="612" t="n">
        <v>208802.02321</v>
      </c>
      <c r="AF13" s="612"/>
      <c r="AG13" s="610" t="n">
        <f aca="false">'Cuenta Ahorro-Inversión-Financi'!AD13+'Cuenta Ahorro-Inversión-Financi'!F13</f>
        <v>16360513.40588</v>
      </c>
      <c r="AH13" s="610" t="n">
        <v>4254603.114</v>
      </c>
      <c r="AI13" s="613" t="n">
        <f aca="false">'Cálculo masa impuestos copartic'!U9*1000</f>
        <v>3598188.08761998</v>
      </c>
      <c r="AJ13" s="613"/>
      <c r="AK13" s="613"/>
      <c r="AL13" s="613"/>
      <c r="AM13" s="613"/>
      <c r="AN13" s="612" t="n">
        <f aca="false">'Cuenta Ahorro-Inversión-Financi'!AH13-('Cuenta Ahorro-Inversión-Financi'!AI13+'Cuenta Ahorro-Inversión-Financi'!AK13+'Cuenta Ahorro-Inversión-Financi'!AL13+'Cuenta Ahorro-Inversión-Financi'!AM13)</f>
        <v>656415.026380015</v>
      </c>
      <c r="AO13" s="612" t="n">
        <f aca="false">'Cuenta Ahorro-Inversión-Financi'!AI13-'Cuenta Ahorro-Inversión-Financi'!CH13</f>
        <v>1484490.82121999</v>
      </c>
      <c r="AP13" s="612" t="n">
        <f aca="false">'Cuenta Ahorro-Inversión-Financi'!AO13</f>
        <v>1484490.82121999</v>
      </c>
      <c r="AQ13" s="635" t="s">
        <v>878</v>
      </c>
      <c r="AR13" s="635"/>
      <c r="AS13" s="635"/>
      <c r="AT13" s="615"/>
      <c r="AU13" s="615"/>
      <c r="AV13" s="615"/>
      <c r="AW13" s="631" t="n">
        <v>1997</v>
      </c>
      <c r="AX13" s="617" t="n">
        <f aca="false">'Cuenta Ahorro-Inversión-Financi'!AY13+'Cuenta Ahorro-Inversión-Financi'!BC13+'Cuenta Ahorro-Inversión-Financi'!BF13+'Cuenta Ahorro-Inversión-Financi'!BX13</f>
        <v>16575986.93394</v>
      </c>
      <c r="AY13" s="620" t="n">
        <f aca="false">'Cuenta Ahorro-Inversión-Financi'!AZ13+'Cuenta Ahorro-Inversión-Financi'!BA13+'Cuenta Ahorro-Inversión-Financi'!BB13</f>
        <v>246102.79437</v>
      </c>
      <c r="AZ13" s="618" t="n">
        <v>146970.04983</v>
      </c>
      <c r="BA13" s="618" t="n">
        <f aca="false">4225.64075+87032.27746</f>
        <v>91257.91821</v>
      </c>
      <c r="BB13" s="618" t="n">
        <v>7874.82633</v>
      </c>
      <c r="BC13" s="618" t="n">
        <v>86467.45971</v>
      </c>
      <c r="BD13" s="618"/>
      <c r="BE13" s="618"/>
      <c r="BF13" s="617" t="n">
        <f aca="false">'Cuenta Ahorro-Inversión-Financi'!BI13+'Cuenta Ahorro-Inversión-Financi'!BK13</f>
        <v>14662262.7961</v>
      </c>
      <c r="BG13" s="617"/>
      <c r="BH13" s="617"/>
      <c r="BI13" s="618" t="n">
        <v>12697081.06917</v>
      </c>
      <c r="BJ13" s="618"/>
      <c r="BK13" s="618" t="n">
        <v>1965181.72693</v>
      </c>
      <c r="BL13" s="618"/>
      <c r="BM13" s="618" t="n">
        <v>471.80554</v>
      </c>
      <c r="BN13" s="618" t="n">
        <f aca="false">'Cuenta Ahorro-Inversión-Financi'!BR13+'Cuenta Ahorro-Inversión-Financi'!BT13</f>
        <v>1581153.88376</v>
      </c>
      <c r="BO13" s="619"/>
      <c r="BP13" s="619"/>
      <c r="BQ13" s="618"/>
      <c r="BR13" s="619" t="n">
        <v>1386027.1318</v>
      </c>
      <c r="BS13" s="619" t="n">
        <v>1834031.94926</v>
      </c>
      <c r="BT13" s="619" t="n">
        <v>195126.75196</v>
      </c>
      <c r="BU13" s="619" t="n">
        <v>316225.90165</v>
      </c>
      <c r="BV13" s="619"/>
      <c r="BW13" s="619"/>
      <c r="BX13" s="619" t="n">
        <f aca="false">'Cuenta Ahorro-Inversión-Financi'!BN13-'Cuenta Ahorro-Inversión-Financi'!BV13-'Cuenta Ahorro-Inversión-Financi'!BW13</f>
        <v>1581153.88376</v>
      </c>
      <c r="BY13" s="619" t="n">
        <v>362252.51751</v>
      </c>
      <c r="BZ13" s="617" t="n">
        <f aca="false">'Cuenta Ahorro-Inversión-Financi'!CA13+'Cuenta Ahorro-Inversión-Financi'!CB13</f>
        <v>8841.46136</v>
      </c>
      <c r="CA13" s="618" t="n">
        <v>8841.46136</v>
      </c>
      <c r="CB13" s="618"/>
      <c r="CC13" s="618"/>
      <c r="CD13" s="618"/>
      <c r="CE13" s="618"/>
      <c r="CF13" s="618"/>
      <c r="CG13" s="617" t="n">
        <f aca="false">'Cuenta Ahorro-Inversión-Financi'!BZ13+'Cuenta Ahorro-Inversión-Financi'!AX13</f>
        <v>16584828.3953</v>
      </c>
      <c r="CH13" s="617" t="n">
        <f aca="false">'Cuenta Ahorro-Inversión-Financi'!CI13-2636695.817</f>
        <v>2113697.2664</v>
      </c>
      <c r="CI13" s="617" t="n">
        <v>4750393.0834</v>
      </c>
      <c r="CJ13" s="617" t="n">
        <f aca="false">3450901.24005+288462.01752-2636695.817</f>
        <v>1102667.44057</v>
      </c>
      <c r="CK13" s="617" t="n">
        <v>546500.521</v>
      </c>
      <c r="CL13" s="617" t="n">
        <f aca="false">853623.47683+157406.349-CK13</f>
        <v>464529.30483</v>
      </c>
      <c r="CM13" s="617"/>
      <c r="CN13" s="617"/>
      <c r="CO13" s="617" t="n">
        <f aca="false">'Cuenta Ahorro-Inversión-Financi'!F13-'Cuenta Ahorro-Inversión-Financi'!AX13</f>
        <v>-424275.551269999</v>
      </c>
      <c r="CP13" s="618" t="n">
        <f aca="false">'Cuenta Ahorro-Inversión-Financi'!CO13+'Cuenta Ahorro-Inversión-Financi'!AD13-'Cuenta Ahorro-Inversión-Financi'!BZ13</f>
        <v>-224314.989419999</v>
      </c>
      <c r="CQ13" s="618" t="n">
        <f aca="false">'Cuenta Ahorro-Inversión-Financi'!T13-'Cuenta Ahorro-Inversión-Financi'!BF13-'Cuenta Ahorro-Inversión-Financi'!BR13-'Cuenta Ahorro-Inversión-Financi'!BT13</f>
        <v>-6005609.19516</v>
      </c>
      <c r="CR13" s="618" t="n">
        <f aca="false">'Cuenta Ahorro-Inversión-Financi'!F13-'Cuenta Ahorro-Inversión-Financi'!BF13-'Cuenta Ahorro-Inversión-Financi'!BR13-'Cuenta Ahorro-Inversión-Financi'!X13</f>
        <v>71703.6960700002</v>
      </c>
      <c r="CS13" s="618"/>
      <c r="CT13" s="637" t="s">
        <v>879</v>
      </c>
      <c r="CU13" s="637"/>
      <c r="CW13" s="600" t="n">
        <v>1998</v>
      </c>
      <c r="CX13" s="98" t="n">
        <f aca="false">'PIB corriente base 1993'!V61*1000</f>
        <v>282764232.298568</v>
      </c>
      <c r="CY13" s="98" t="n">
        <f aca="false">'PIB corriente base 1993'!V62*1000</f>
        <v>312129111.033039</v>
      </c>
      <c r="CZ13" s="98" t="n">
        <f aca="false">'PIB corriente base 1993'!V63*1000</f>
        <v>305474768.316651</v>
      </c>
      <c r="DA13" s="98" t="n">
        <f aca="false">'PIB corriente base 1993'!V64*1000</f>
        <v>295425322.568576</v>
      </c>
      <c r="DB13" s="622" t="n">
        <f aca="false">'PIB corriente base 1993'!V13*1000</f>
        <v>298948358.554208</v>
      </c>
      <c r="DC13" s="623"/>
      <c r="DD13" s="98"/>
      <c r="DE13" s="98"/>
      <c r="DF13" s="98"/>
      <c r="DG13" s="624"/>
      <c r="DI13" s="1" t="n">
        <v>2006</v>
      </c>
      <c r="DJ13" s="453" t="n">
        <v>11685685</v>
      </c>
      <c r="DK13" s="456" t="n">
        <f aca="false">'Cuenta Ahorro-Inversión-Financi'!DJ13/1000/'PIB corriente base 2004'!X10</f>
        <v>0.0163229714661409</v>
      </c>
      <c r="DL13" s="28" t="n">
        <v>6733513.05459</v>
      </c>
      <c r="DM13" s="456" t="n">
        <f aca="false">'Cuenta Ahorro-Inversión-Financi'!DL13/1000/'PIB corriente base 2004'!X10</f>
        <v>0.00940560535877528</v>
      </c>
      <c r="DO13" s="1" t="n">
        <f aca="false">DO12+1</f>
        <v>2012</v>
      </c>
      <c r="DP13" s="1" t="n">
        <v>244799000</v>
      </c>
      <c r="DQ13" s="28" t="n">
        <f aca="false">X28</f>
        <v>17349286.77895</v>
      </c>
      <c r="DR13" s="456" t="n">
        <f aca="false">DP13/DG27</f>
        <v>0.0928002255136563</v>
      </c>
      <c r="DS13" s="456" t="n">
        <f aca="false">DQ13/DG27</f>
        <v>0.00657689666047515</v>
      </c>
      <c r="DT13" s="456" t="n">
        <f aca="false">DQ13/DP12</f>
        <v>0.0869682028119204</v>
      </c>
      <c r="DV13" s="456" t="n">
        <f aca="false">DP13/DF27</f>
        <v>0.0858892569216934</v>
      </c>
      <c r="DW13" s="456" t="n">
        <f aca="false">DQ13/DF27</f>
        <v>0.00608710554195636</v>
      </c>
      <c r="DX13" s="456" t="n">
        <f aca="false">(DF27-DF26)/DF26</f>
        <v>0.218199409540601</v>
      </c>
      <c r="DY13" s="456" t="n">
        <f aca="false">(DP13-DP12)/DP12</f>
        <v>0.227124166624893</v>
      </c>
    </row>
    <row r="14" customFormat="false" ht="15.75" hidden="false" customHeight="true" outlineLevel="0" collapsed="false">
      <c r="B14" s="456" t="n">
        <f aca="false">'Cuenta Ahorro-Inversión-Financi'!G14/'Cuenta Ahorro-Inversión-Financi'!F14</f>
        <v>0.390007913922373</v>
      </c>
      <c r="C14" s="456" t="n">
        <f aca="false">'Cuenta Ahorro-Inversión-Financi'!T14/'Cuenta Ahorro-Inversión-Financi'!F14</f>
        <v>0.608877303777804</v>
      </c>
      <c r="E14" s="609" t="n">
        <v>1998</v>
      </c>
      <c r="F14" s="625" t="n">
        <f aca="false">'Cuenta Ahorro-Inversión-Financi'!G14+'Cuenta Ahorro-Inversión-Financi'!S14+'Cuenta Ahorro-Inversión-Financi'!T14+'Cuenta Ahorro-Inversión-Financi'!X14</f>
        <v>16285156.62914</v>
      </c>
      <c r="G14" s="626" t="n">
        <f aca="false">'Cuenta Ahorro-Inversión-Financi'!H14+'Cuenta Ahorro-Inversión-Financi'!I14+'Cuenta Ahorro-Inversión-Financi'!J14+'Cuenta Ahorro-Inversión-Financi'!P14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3"/>
      <c r="P14" s="632" t="n">
        <v>65953.87737</v>
      </c>
      <c r="Q14" s="632" t="n">
        <f aca="false">IVA!AU96</f>
        <v>197766</v>
      </c>
      <c r="R14" s="632" t="n">
        <f aca="false">IVA!AU164*0.7</f>
        <v>43509.9</v>
      </c>
      <c r="S14" s="632" t="n">
        <v>3656.51354</v>
      </c>
      <c r="T14" s="625" t="n">
        <f aca="false">'Cuenta Ahorro-Inversión-Financi'!U14+'Cuenta Ahorro-Inversión-Financi'!V14</f>
        <v>9915662.25995</v>
      </c>
      <c r="U14" s="632" t="n">
        <v>7921091.73638</v>
      </c>
      <c r="V14" s="632" t="n">
        <v>1994570.52357</v>
      </c>
      <c r="W14" s="632"/>
      <c r="X14" s="632" t="n">
        <f aca="false">'Cuenta Ahorro-Inversión-Financi'!Y14+'Cuenta Ahorro-Inversión-Financi'!Z14</f>
        <v>14497.89082</v>
      </c>
      <c r="Y14" s="632" t="n">
        <v>654.42277</v>
      </c>
      <c r="Z14" s="632" t="n">
        <v>13843.46805</v>
      </c>
      <c r="AA14" s="632"/>
      <c r="AB14" s="632"/>
      <c r="AC14" s="632"/>
      <c r="AD14" s="625" t="n">
        <f aca="false">'Cuenta Ahorro-Inversión-Financi'!AE14+'Cuenta Ahorro-Inversión-Financi'!AF14</f>
        <v>87288.85525</v>
      </c>
      <c r="AE14" s="632" t="n">
        <v>87012.99737</v>
      </c>
      <c r="AF14" s="632" t="n">
        <v>275.85788</v>
      </c>
      <c r="AG14" s="625" t="n">
        <f aca="false">'Cuenta Ahorro-Inversión-Financi'!AD14+'Cuenta Ahorro-Inversión-Financi'!F14</f>
        <v>16372445.48439</v>
      </c>
      <c r="AH14" s="629" t="n">
        <v>5469305.52074</v>
      </c>
      <c r="AI14" s="628" t="n">
        <f aca="false">'Cálculo masa impuestos copartic'!U10*1000</f>
        <v>3797640.46271228</v>
      </c>
      <c r="AJ14" s="628"/>
      <c r="AK14" s="628"/>
      <c r="AL14" s="628"/>
      <c r="AM14" s="628"/>
      <c r="AN14" s="627" t="n">
        <f aca="false">'Cuenta Ahorro-Inversión-Financi'!AH14-('Cuenta Ahorro-Inversión-Financi'!AI14+'Cuenta Ahorro-Inversión-Financi'!AK14+'Cuenta Ahorro-Inversión-Financi'!AL14+'Cuenta Ahorro-Inversión-Financi'!AM14)</f>
        <v>1671665.05802772</v>
      </c>
      <c r="AO14" s="627" t="n">
        <f aca="false">'Cuenta Ahorro-Inversión-Financi'!AI14-'Cuenta Ahorro-Inversión-Financi'!CH14</f>
        <v>1352023.22908228</v>
      </c>
      <c r="AP14" s="627" t="n">
        <f aca="false">'Cuenta Ahorro-Inversión-Financi'!AO14</f>
        <v>1352023.22908228</v>
      </c>
      <c r="AQ14" s="630" t="s">
        <v>880</v>
      </c>
      <c r="AR14" s="630"/>
      <c r="AS14" s="630"/>
      <c r="AT14" s="615"/>
      <c r="AU14" s="615"/>
      <c r="AV14" s="615"/>
      <c r="AW14" s="631" t="n">
        <v>1998</v>
      </c>
      <c r="AX14" s="625" t="n">
        <f aca="false">'Cuenta Ahorro-Inversión-Financi'!AY14+'Cuenta Ahorro-Inversión-Financi'!BC14+'Cuenta Ahorro-Inversión-Financi'!BF14+'Cuenta Ahorro-Inversión-Financi'!BX14</f>
        <v>18824074.88225</v>
      </c>
      <c r="AY14" s="627" t="n">
        <f aca="false">'Cuenta Ahorro-Inversión-Financi'!AZ14+'Cuenta Ahorro-Inversión-Financi'!BA14</f>
        <v>231684.89787</v>
      </c>
      <c r="AZ14" s="627" t="n">
        <v>139297.26647</v>
      </c>
      <c r="BA14" s="627" t="n">
        <f aca="false">3576.85772+88810.77368</f>
        <v>92387.6314</v>
      </c>
      <c r="BB14" s="627"/>
      <c r="BC14" s="627" t="n">
        <v>74681.3132</v>
      </c>
      <c r="BD14" s="627"/>
      <c r="BE14" s="627"/>
      <c r="BF14" s="625" t="n">
        <v>14705376.04773</v>
      </c>
      <c r="BG14" s="625"/>
      <c r="BH14" s="625"/>
      <c r="BI14" s="625"/>
      <c r="BJ14" s="625"/>
      <c r="BK14" s="625"/>
      <c r="BL14" s="625"/>
      <c r="BM14" s="627" t="n">
        <v>252.48541</v>
      </c>
      <c r="BN14" s="627" t="n">
        <f aca="false">'Cuenta Ahorro-Inversión-Financi'!BR14+'Cuenta Ahorro-Inversión-Financi'!BT14+'Cuenta Ahorro-Inversión-Financi'!BS14+'Cuenta Ahorro-Inversión-Financi'!BU14</f>
        <v>3812332.62345</v>
      </c>
      <c r="BO14" s="628" t="n">
        <v>3642256.51507</v>
      </c>
      <c r="BP14" s="628" t="n">
        <v>169967.13617</v>
      </c>
      <c r="BQ14" s="628" t="n">
        <v>108.97221</v>
      </c>
      <c r="BR14" s="628" t="n">
        <v>1426088.28147</v>
      </c>
      <c r="BS14" s="628" t="n">
        <v>2059167.4577</v>
      </c>
      <c r="BT14" s="627"/>
      <c r="BU14" s="628" t="n">
        <v>327076.88428</v>
      </c>
      <c r="BV14" s="628"/>
      <c r="BW14" s="628"/>
      <c r="BX14" s="628" t="n">
        <f aca="false">'Cuenta Ahorro-Inversión-Financi'!BN14-'Cuenta Ahorro-Inversión-Financi'!BV14-'Cuenta Ahorro-Inversión-Financi'!BW14</f>
        <v>3812332.62345</v>
      </c>
      <c r="BY14" s="628" t="n">
        <v>2556320.45036</v>
      </c>
      <c r="BZ14" s="625" t="n">
        <f aca="false">'Cuenta Ahorro-Inversión-Financi'!CA14+'Cuenta Ahorro-Inversión-Financi'!CB14</f>
        <v>13983.22416</v>
      </c>
      <c r="CA14" s="627" t="n">
        <v>13383.22416</v>
      </c>
      <c r="CB14" s="627" t="n">
        <v>600</v>
      </c>
      <c r="CC14" s="627"/>
      <c r="CD14" s="627"/>
      <c r="CE14" s="627"/>
      <c r="CF14" s="627"/>
      <c r="CG14" s="625" t="n">
        <f aca="false">'Cuenta Ahorro-Inversión-Financi'!BZ14+'Cuenta Ahorro-Inversión-Financi'!AX14</f>
        <v>18838058.10641</v>
      </c>
      <c r="CH14" s="625" t="n">
        <v>2445617.23363</v>
      </c>
      <c r="CI14" s="625"/>
      <c r="CJ14" s="625" t="n">
        <f aca="false">(1304595241.64+19200000)/1000</f>
        <v>1323795.24164</v>
      </c>
      <c r="CK14" s="625" t="n">
        <f aca="false">531780434.92/1000</f>
        <v>531780.43492</v>
      </c>
      <c r="CL14" s="625" t="n">
        <f aca="false">1030534.99199+91287-CK14</f>
        <v>590041.55707</v>
      </c>
      <c r="CM14" s="625"/>
      <c r="CN14" s="625"/>
      <c r="CO14" s="625" t="n">
        <f aca="false">'Cuenta Ahorro-Inversión-Financi'!F14-'Cuenta Ahorro-Inversión-Financi'!AX14</f>
        <v>-2538918.25311</v>
      </c>
      <c r="CP14" s="627" t="n">
        <f aca="false">'Cuenta Ahorro-Inversión-Financi'!CO14+'Cuenta Ahorro-Inversión-Financi'!AD14-'Cuenta Ahorro-Inversión-Financi'!BZ14</f>
        <v>-2465612.62202</v>
      </c>
      <c r="CQ14" s="627" t="n">
        <f aca="false">'Cuenta Ahorro-Inversión-Financi'!T14-'Cuenta Ahorro-Inversión-Financi'!BF14-'Cuenta Ahorro-Inversión-Financi'!BR14</f>
        <v>-6215802.06925</v>
      </c>
      <c r="CR14" s="627" t="n">
        <f aca="false">'Cuenta Ahorro-Inversión-Financi'!F14-'Cuenta Ahorro-Inversión-Financi'!BF14-'Cuenta Ahorro-Inversión-Financi'!BR14-'Cuenta Ahorro-Inversión-Financi'!X14</f>
        <v>139194.409119998</v>
      </c>
      <c r="CS14" s="627"/>
      <c r="CT14" s="634" t="s">
        <v>881</v>
      </c>
      <c r="CU14" s="634"/>
      <c r="CW14" s="600" t="n">
        <v>1999</v>
      </c>
      <c r="CX14" s="605" t="n">
        <f aca="false">'PIB corriente base 1993'!V65*1000</f>
        <v>270746389.618936</v>
      </c>
      <c r="CY14" s="605" t="n">
        <f aca="false">'PIB corriente base 1993'!V66*1000</f>
        <v>288829855.936148</v>
      </c>
      <c r="CZ14" s="605" t="n">
        <f aca="false">'PIB corriente base 1993'!V67*1000</f>
        <v>285087021.390668</v>
      </c>
      <c r="DA14" s="605" t="n">
        <f aca="false">'PIB corriente base 1993'!V68*1000</f>
        <v>289428828.976948</v>
      </c>
      <c r="DB14" s="606" t="n">
        <f aca="false">'PIB corriente base 1993'!V14*1000</f>
        <v>283523023.980675</v>
      </c>
      <c r="DC14" s="607"/>
      <c r="DD14" s="605"/>
      <c r="DE14" s="605"/>
      <c r="DF14" s="605"/>
      <c r="DG14" s="608"/>
      <c r="DI14" s="1" t="n">
        <v>2007</v>
      </c>
      <c r="DJ14" s="453" t="n">
        <v>15064961</v>
      </c>
      <c r="DK14" s="456" t="n">
        <f aca="false">'Cuenta Ahorro-Inversión-Financi'!DJ14/1000/'PIB corriente base 2004'!X11</f>
        <v>0.0167951995322389</v>
      </c>
      <c r="DL14" s="28" t="n">
        <v>8488745.60076</v>
      </c>
      <c r="DM14" s="456" t="n">
        <f aca="false">'Cuenta Ahorro-Inversión-Financi'!DL14/1000/'PIB corriente base 2004'!X11</f>
        <v>0.00946369367588668</v>
      </c>
      <c r="DO14" s="1" t="n">
        <f aca="false">DO13+1</f>
        <v>2013</v>
      </c>
      <c r="DP14" s="1" t="n">
        <v>329472000</v>
      </c>
      <c r="DQ14" s="28" t="n">
        <f aca="false">X29</f>
        <v>22873121.48436</v>
      </c>
      <c r="DR14" s="456" t="n">
        <f aca="false">DP14/DG28</f>
        <v>0.0983995355142567</v>
      </c>
      <c r="DS14" s="456" t="n">
        <f aca="false">DQ14/DG28</f>
        <v>0.00683124675183988</v>
      </c>
      <c r="DT14" s="456" t="n">
        <f aca="false">DQ14/DP13</f>
        <v>0.0934363354603573</v>
      </c>
      <c r="DV14" s="456" t="n">
        <f aca="false">DP14/DF28</f>
        <v>0.089532973932766</v>
      </c>
      <c r="DW14" s="456" t="n">
        <f aca="false">DQ14/DF28</f>
        <v>0.00621569841935034</v>
      </c>
      <c r="DX14" s="456" t="n">
        <f aca="false">(DF28-DF27)/DF27</f>
        <v>0.291114349626851</v>
      </c>
      <c r="DY14" s="456" t="n">
        <f aca="false">(DP14-DP13)/DP13</f>
        <v>0.345887850849064</v>
      </c>
    </row>
    <row r="15" customFormat="false" ht="15.75" hidden="false" customHeight="true" outlineLevel="0" collapsed="false">
      <c r="B15" s="456" t="n">
        <f aca="false">'Cuenta Ahorro-Inversión-Financi'!G15/'Cuenta Ahorro-Inversión-Financi'!F15</f>
        <v>0.401159547544072</v>
      </c>
      <c r="C15" s="456" t="n">
        <f aca="false">'Cuenta Ahorro-Inversión-Financi'!T15/'Cuenta Ahorro-Inversión-Financi'!F15</f>
        <v>0.597594660646409</v>
      </c>
      <c r="E15" s="609" t="n">
        <v>1999</v>
      </c>
      <c r="F15" s="610" t="n">
        <f aca="false">'Cuenta Ahorro-Inversión-Financi'!G15+'Cuenta Ahorro-Inversión-Financi'!S15+'Cuenta Ahorro-Inversión-Financi'!T15+'Cuenta Ahorro-Inversión-Financi'!X15</f>
        <v>15105454.73667</v>
      </c>
      <c r="G15" s="611" t="n">
        <f aca="false">'Cuenta Ahorro-Inversión-Financi'!H15+'Cuenta Ahorro-Inversión-Financi'!I15+'Cuenta Ahorro-Inversión-Financi'!J15+'Cuenta Ahorro-Inversión-Financi'!P15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3"/>
      <c r="P15" s="612" t="n">
        <v>265204.8</v>
      </c>
      <c r="Q15" s="612" t="n">
        <f aca="false">IVA!AU97</f>
        <v>196994</v>
      </c>
      <c r="R15" s="612" t="n">
        <f aca="false">IVA!AU165*0.7</f>
        <v>193381.3</v>
      </c>
      <c r="S15" s="612" t="n">
        <v>16294.64454</v>
      </c>
      <c r="T15" s="610" t="n">
        <f aca="false">'Cuenta Ahorro-Inversión-Financi'!U15+'Cuenta Ahorro-Inversión-Financi'!V15</f>
        <v>9026939.09727</v>
      </c>
      <c r="U15" s="612" t="n">
        <v>7061301.00882</v>
      </c>
      <c r="V15" s="612" t="n">
        <v>1965638.08845</v>
      </c>
      <c r="W15" s="612"/>
      <c r="X15" s="612" t="n">
        <f aca="false">'Cuenta Ahorro-Inversión-Financi'!Y15+'Cuenta Ahorro-Inversión-Financi'!Z15</f>
        <v>2523.60725</v>
      </c>
      <c r="Y15" s="612" t="n">
        <v>1493.49044</v>
      </c>
      <c r="Z15" s="612" t="n">
        <v>1030.11681</v>
      </c>
      <c r="AA15" s="612"/>
      <c r="AB15" s="612"/>
      <c r="AC15" s="612"/>
      <c r="AD15" s="610" t="n">
        <f aca="false">'Cuenta Ahorro-Inversión-Financi'!AE15+'Cuenta Ahorro-Inversión-Financi'!AF15</f>
        <v>63245.38943</v>
      </c>
      <c r="AE15" s="612" t="n">
        <v>63245.38943</v>
      </c>
      <c r="AF15" s="612"/>
      <c r="AG15" s="610" t="n">
        <f aca="false">'Cuenta Ahorro-Inversión-Financi'!AD15+'Cuenta Ahorro-Inversión-Financi'!F15</f>
        <v>15168700.1261</v>
      </c>
      <c r="AH15" s="610" t="n">
        <v>6958966.507</v>
      </c>
      <c r="AI15" s="613" t="n">
        <f aca="false">'Cálculo masa impuestos copartic'!U11*1000</f>
        <v>3702544.47452621</v>
      </c>
      <c r="AJ15" s="613"/>
      <c r="AK15" s="613"/>
      <c r="AL15" s="613"/>
      <c r="AM15" s="613"/>
      <c r="AN15" s="612" t="n">
        <f aca="false">'Cuenta Ahorro-Inversión-Financi'!AH15-('Cuenta Ahorro-Inversión-Financi'!AI15+'Cuenta Ahorro-Inversión-Financi'!AK15+'Cuenta Ahorro-Inversión-Financi'!AL15+'Cuenta Ahorro-Inversión-Financi'!AM15)</f>
        <v>3256422.03247379</v>
      </c>
      <c r="AO15" s="612" t="n">
        <f aca="false">'Cuenta Ahorro-Inversión-Financi'!AI15-'Cuenta Ahorro-Inversión-Financi'!CH15</f>
        <v>1241117.14049621</v>
      </c>
      <c r="AP15" s="612" t="n">
        <f aca="false">'Cuenta Ahorro-Inversión-Financi'!AO15</f>
        <v>1241117.14049621</v>
      </c>
      <c r="AQ15" s="635" t="s">
        <v>882</v>
      </c>
      <c r="AR15" s="635"/>
      <c r="AS15" s="635"/>
      <c r="AT15" s="615"/>
      <c r="AU15" s="615"/>
      <c r="AV15" s="615"/>
      <c r="AW15" s="631" t="n">
        <v>1999</v>
      </c>
      <c r="AX15" s="617" t="n">
        <f aca="false">'Cuenta Ahorro-Inversión-Financi'!AY15+'Cuenta Ahorro-Inversión-Financi'!BC15+'Cuenta Ahorro-Inversión-Financi'!BF15+'Cuenta Ahorro-Inversión-Financi'!BX15</f>
        <v>18972498.74862</v>
      </c>
      <c r="AY15" s="620" t="n">
        <f aca="false">'Cuenta Ahorro-Inversión-Financi'!AZ15+'Cuenta Ahorro-Inversión-Financi'!BA15</f>
        <v>239526.32367</v>
      </c>
      <c r="AZ15" s="618" t="n">
        <v>145895.66</v>
      </c>
      <c r="BA15" s="618" t="n">
        <v>93630.66367</v>
      </c>
      <c r="BB15" s="618"/>
      <c r="BC15" s="618" t="n">
        <v>4033.55556</v>
      </c>
      <c r="BD15" s="618"/>
      <c r="BE15" s="618"/>
      <c r="BF15" s="617" t="n">
        <v>14672228.68991</v>
      </c>
      <c r="BG15" s="617"/>
      <c r="BH15" s="617"/>
      <c r="BI15" s="618"/>
      <c r="BJ15" s="618"/>
      <c r="BK15" s="618"/>
      <c r="BL15" s="618"/>
      <c r="BM15" s="618" t="n">
        <v>321.41527</v>
      </c>
      <c r="BN15" s="618" t="n">
        <f aca="false">'Cuenta Ahorro-Inversión-Financi'!BR15+'Cuenta Ahorro-Inversión-Financi'!BT15+'Cuenta Ahorro-Inversión-Financi'!BS15+'Cuenta Ahorro-Inversión-Financi'!BU15</f>
        <v>4056710.17948</v>
      </c>
      <c r="BO15" s="619" t="n">
        <v>3892282.82256</v>
      </c>
      <c r="BP15" s="619" t="n">
        <v>164321.77632</v>
      </c>
      <c r="BQ15" s="619" t="n">
        <v>105.5806</v>
      </c>
      <c r="BR15" s="619" t="n">
        <v>1665195.43063</v>
      </c>
      <c r="BS15" s="619" t="n">
        <v>2077571.46401</v>
      </c>
      <c r="BT15" s="618"/>
      <c r="BU15" s="619" t="n">
        <v>313943.28484</v>
      </c>
      <c r="BV15" s="619"/>
      <c r="BW15" s="619"/>
      <c r="BX15" s="619" t="n">
        <f aca="false">'Cuenta Ahorro-Inversión-Financi'!BN15-'Cuenta Ahorro-Inversión-Financi'!BV15-'Cuenta Ahorro-Inversión-Financi'!BW15</f>
        <v>4056710.17948</v>
      </c>
      <c r="BY15" s="619" t="n">
        <v>2555642.65777</v>
      </c>
      <c r="BZ15" s="617" t="n">
        <f aca="false">'Cuenta Ahorro-Inversión-Financi'!CA15+'Cuenta Ahorro-Inversión-Financi'!CB15</f>
        <v>6710.9869</v>
      </c>
      <c r="CA15" s="618" t="n">
        <v>5050.9869</v>
      </c>
      <c r="CB15" s="618" t="n">
        <v>1660</v>
      </c>
      <c r="CC15" s="618"/>
      <c r="CD15" s="618"/>
      <c r="CE15" s="618"/>
      <c r="CF15" s="618"/>
      <c r="CG15" s="617" t="n">
        <f aca="false">'Cuenta Ahorro-Inversión-Financi'!BZ15+'Cuenta Ahorro-Inversión-Financi'!AX15</f>
        <v>18979209.73552</v>
      </c>
      <c r="CH15" s="617" t="n">
        <v>2461427.33403</v>
      </c>
      <c r="CI15" s="617"/>
      <c r="CJ15" s="617" t="n">
        <f aca="false">(73938269.54+1334413547.09)/1000</f>
        <v>1408351.81663</v>
      </c>
      <c r="CK15" s="617" t="n">
        <f aca="false">540982768.27/1000</f>
        <v>540982.76827</v>
      </c>
      <c r="CL15" s="617" t="n">
        <f aca="false">(1053053017.4+22500)/1000-CK15</f>
        <v>512092.74913</v>
      </c>
      <c r="CM15" s="617"/>
      <c r="CN15" s="617"/>
      <c r="CO15" s="617" t="n">
        <f aca="false">'Cuenta Ahorro-Inversión-Financi'!F15-'Cuenta Ahorro-Inversión-Financi'!AX15</f>
        <v>-3867044.01195</v>
      </c>
      <c r="CP15" s="618" t="n">
        <f aca="false">'Cuenta Ahorro-Inversión-Financi'!CO15+'Cuenta Ahorro-Inversión-Financi'!AD15-'Cuenta Ahorro-Inversión-Financi'!BZ15</f>
        <v>-3810509.60942</v>
      </c>
      <c r="CQ15" s="618" t="n">
        <f aca="false">'Cuenta Ahorro-Inversión-Financi'!T15-'Cuenta Ahorro-Inversión-Financi'!BF15-'Cuenta Ahorro-Inversión-Financi'!BR15</f>
        <v>-7310485.02327</v>
      </c>
      <c r="CR15" s="618" t="n">
        <f aca="false">'Cuenta Ahorro-Inversión-Financi'!F15-'Cuenta Ahorro-Inversión-Financi'!BF15-'Cuenta Ahorro-Inversión-Financi'!BR15-'Cuenta Ahorro-Inversión-Financi'!X15</f>
        <v>-1234492.99112</v>
      </c>
      <c r="CS15" s="618"/>
      <c r="CT15" s="637" t="s">
        <v>883</v>
      </c>
      <c r="CU15" s="637"/>
      <c r="CW15" s="600" t="n">
        <v>2000</v>
      </c>
      <c r="CX15" s="98" t="n">
        <f aca="false">'PIB corriente base 1993'!V69*1000</f>
        <v>270444298.062085</v>
      </c>
      <c r="CY15" s="98" t="n">
        <f aca="false">'PIB corriente base 1993'!V70*1000</f>
        <v>291796004.446794</v>
      </c>
      <c r="CZ15" s="98" t="n">
        <f aca="false">'PIB corriente base 1993'!V71*1000</f>
        <v>287495642.393761</v>
      </c>
      <c r="DA15" s="98" t="n">
        <f aca="false">'PIB corriente base 1993'!V72*1000</f>
        <v>287079012.355848</v>
      </c>
      <c r="DB15" s="622" t="n">
        <f aca="false">'PIB corriente base 1993'!V15*1000</f>
        <v>284203739.314622</v>
      </c>
      <c r="DC15" s="623"/>
      <c r="DD15" s="98"/>
      <c r="DE15" s="98"/>
      <c r="DF15" s="98"/>
      <c r="DG15" s="624"/>
      <c r="DI15" s="1" t="n">
        <v>2008</v>
      </c>
      <c r="DJ15" s="453" t="n">
        <v>19495157</v>
      </c>
      <c r="DK15" s="456" t="n">
        <f aca="false">'Cuenta Ahorro-Inversión-Financi'!DJ15/1000/'PIB corriente base 2004'!X12</f>
        <v>0.0169575290688833</v>
      </c>
      <c r="DL15" s="28" t="n">
        <v>10735671.1304</v>
      </c>
      <c r="DM15" s="456" t="n">
        <f aca="false">'Cuenta Ahorro-Inversión-Financi'!DL15/1000/'PIB corriente base 2004'!X12</f>
        <v>0.00933824001867381</v>
      </c>
      <c r="DO15" s="1" t="n">
        <f aca="false">DO14+1</f>
        <v>2014</v>
      </c>
      <c r="DP15" s="1" t="n">
        <v>472265000</v>
      </c>
      <c r="DQ15" s="28" t="n">
        <f aca="false">X30</f>
        <v>38383803.98011</v>
      </c>
      <c r="DR15" s="456" t="n">
        <f aca="false">DP15/DG29</f>
        <v>0.103135201244363</v>
      </c>
      <c r="DS15" s="456" t="n">
        <f aca="false">DQ15/DG29</f>
        <v>0.00838241527111434</v>
      </c>
      <c r="DT15" s="456" t="n">
        <f aca="false">DQ15/DP14</f>
        <v>0.116500959049965</v>
      </c>
      <c r="DV15" s="456" t="n">
        <f aca="false">DP15/DF29</f>
        <v>0.0942538567403139</v>
      </c>
      <c r="DW15" s="456" t="n">
        <f aca="false">DQ15/DF29</f>
        <v>0.00766057523104524</v>
      </c>
      <c r="DX15" s="456" t="n">
        <f aca="false">(DF29-DF28)/DF28</f>
        <v>0.361604972886551</v>
      </c>
      <c r="DY15" s="456" t="n">
        <f aca="false">(DP15-DP14)/DP14</f>
        <v>0.43339949980575</v>
      </c>
    </row>
    <row r="16" customFormat="false" ht="15.75" hidden="false" customHeight="true" outlineLevel="0" collapsed="false">
      <c r="B16" s="456" t="n">
        <f aca="false">'Cuenta Ahorro-Inversión-Financi'!G16/'Cuenta Ahorro-Inversión-Financi'!F16</f>
        <v>0.431238348628608</v>
      </c>
      <c r="C16" s="456" t="n">
        <f aca="false">'Cuenta Ahorro-Inversión-Financi'!T16/'Cuenta Ahorro-Inversión-Financi'!F16</f>
        <v>0.56833247238802</v>
      </c>
      <c r="E16" s="609" t="n">
        <v>2000</v>
      </c>
      <c r="F16" s="625" t="n">
        <f aca="false">'Cuenta Ahorro-Inversión-Financi'!G16+'Cuenta Ahorro-Inversión-Financi'!S16+'Cuenta Ahorro-Inversión-Financi'!T16+'Cuenta Ahorro-Inversión-Financi'!X16</f>
        <v>15512852.48799</v>
      </c>
      <c r="G16" s="626" t="n">
        <f aca="false">'Cuenta Ahorro-Inversión-Financi'!H16+'Cuenta Ahorro-Inversión-Financi'!I16+'Cuenta Ahorro-Inversión-Financi'!J16+'Cuenta Ahorro-Inversión-Financi'!P16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3"/>
      <c r="P16" s="632" t="n">
        <v>738119.8</v>
      </c>
      <c r="Q16" s="632" t="n">
        <f aca="false">IVA!AU98</f>
        <v>487254.75526</v>
      </c>
      <c r="R16" s="632" t="n">
        <f aca="false">IVA!AU166*0.7</f>
        <v>225126.798267</v>
      </c>
      <c r="S16" s="632" t="n">
        <v>5213.87003</v>
      </c>
      <c r="T16" s="625" t="n">
        <f aca="false">'Cuenta Ahorro-Inversión-Financi'!U16+'Cuenta Ahorro-Inversión-Financi'!V16</f>
        <v>8816457.80829</v>
      </c>
      <c r="U16" s="632" t="n">
        <v>6712857.24236</v>
      </c>
      <c r="V16" s="632" t="n">
        <v>2103600.56593</v>
      </c>
      <c r="W16" s="632"/>
      <c r="X16" s="632" t="n">
        <f aca="false">'Cuenta Ahorro-Inversión-Financi'!Y16+'Cuenta Ahorro-Inversión-Financi'!Z16</f>
        <v>1443.92023</v>
      </c>
      <c r="Y16" s="632" t="n">
        <v>1443.92023</v>
      </c>
      <c r="Z16" s="632"/>
      <c r="AA16" s="632"/>
      <c r="AB16" s="632"/>
      <c r="AC16" s="632"/>
      <c r="AD16" s="625" t="n">
        <f aca="false">'Cuenta Ahorro-Inversión-Financi'!AE16+'Cuenta Ahorro-Inversión-Financi'!AF16</f>
        <v>82996.15594</v>
      </c>
      <c r="AE16" s="632" t="n">
        <v>82996.15594</v>
      </c>
      <c r="AF16" s="632"/>
      <c r="AG16" s="625" t="n">
        <f aca="false">'Cuenta Ahorro-Inversión-Financi'!AD16+'Cuenta Ahorro-Inversión-Financi'!F16</f>
        <v>15595848.64393</v>
      </c>
      <c r="AH16" s="629" t="n">
        <v>6052619.336</v>
      </c>
      <c r="AI16" s="628" t="n">
        <f aca="false">'Cálculo masa impuestos copartic'!U12*1000</f>
        <v>3765213.6844696</v>
      </c>
      <c r="AJ16" s="628"/>
      <c r="AK16" s="628"/>
      <c r="AL16" s="628"/>
      <c r="AM16" s="628"/>
      <c r="AN16" s="627" t="n">
        <f aca="false">'Cuenta Ahorro-Inversión-Financi'!AH16-('Cuenta Ahorro-Inversión-Financi'!AI16+'Cuenta Ahorro-Inversión-Financi'!AK16+'Cuenta Ahorro-Inversión-Financi'!AL16+'Cuenta Ahorro-Inversión-Financi'!AM16)</f>
        <v>2287405.6515304</v>
      </c>
      <c r="AO16" s="627" t="n">
        <f aca="false">'Cuenta Ahorro-Inversión-Financi'!AI16-'Cuenta Ahorro-Inversión-Financi'!CH16</f>
        <v>1371140.0927096</v>
      </c>
      <c r="AP16" s="627" t="n">
        <f aca="false">'Cuenta Ahorro-Inversión-Financi'!AO16</f>
        <v>1371140.0927096</v>
      </c>
      <c r="AQ16" s="630" t="s">
        <v>884</v>
      </c>
      <c r="AR16" s="630"/>
      <c r="AS16" s="630"/>
      <c r="AT16" s="615"/>
      <c r="AU16" s="615"/>
      <c r="AV16" s="615"/>
      <c r="AW16" s="631" t="n">
        <v>2000</v>
      </c>
      <c r="AX16" s="625" t="n">
        <f aca="false">'Cuenta Ahorro-Inversión-Financi'!AY16+'Cuenta Ahorro-Inversión-Financi'!BC16+'Cuenta Ahorro-Inversión-Financi'!BF16+'Cuenta Ahorro-Inversión-Financi'!BX16</f>
        <v>19118281.12071</v>
      </c>
      <c r="AY16" s="627" t="n">
        <f aca="false">'Cuenta Ahorro-Inversión-Financi'!AZ16+'Cuenta Ahorro-Inversión-Financi'!BA16</f>
        <v>215402.99416</v>
      </c>
      <c r="AZ16" s="627" t="n">
        <v>136565.76</v>
      </c>
      <c r="BA16" s="627" t="n">
        <v>78837.23416</v>
      </c>
      <c r="BB16" s="627"/>
      <c r="BC16" s="627" t="n">
        <v>1700</v>
      </c>
      <c r="BD16" s="627"/>
      <c r="BE16" s="627"/>
      <c r="BF16" s="625" t="n">
        <v>14736000.84866</v>
      </c>
      <c r="BG16" s="625"/>
      <c r="BH16" s="625"/>
      <c r="BI16" s="625"/>
      <c r="BJ16" s="625"/>
      <c r="BK16" s="625"/>
      <c r="BL16" s="625"/>
      <c r="BM16" s="627" t="n">
        <v>239.91913</v>
      </c>
      <c r="BN16" s="627" t="n">
        <v>4165177.27789</v>
      </c>
      <c r="BO16" s="628" t="n">
        <v>3997048.38125</v>
      </c>
      <c r="BP16" s="628" t="n">
        <v>168053.71563</v>
      </c>
      <c r="BQ16" s="628" t="n">
        <v>75.18101</v>
      </c>
      <c r="BR16" s="628" t="n">
        <v>1742407.70325</v>
      </c>
      <c r="BS16" s="628" t="n">
        <v>2086290.74864</v>
      </c>
      <c r="BT16" s="627"/>
      <c r="BU16" s="628" t="n">
        <v>336478.826</v>
      </c>
      <c r="BV16" s="628"/>
      <c r="BW16" s="628"/>
      <c r="BX16" s="628" t="n">
        <f aca="false">'Cuenta Ahorro-Inversión-Financi'!BN16-'Cuenta Ahorro-Inversión-Financi'!BV16-'Cuenta Ahorro-Inversión-Financi'!BW16</f>
        <v>4165177.27789</v>
      </c>
      <c r="BY16" s="628" t="n">
        <v>2590803.25128</v>
      </c>
      <c r="BZ16" s="625" t="n">
        <f aca="false">'Cuenta Ahorro-Inversión-Financi'!CA16+'Cuenta Ahorro-Inversión-Financi'!CB16</f>
        <v>5168.12335</v>
      </c>
      <c r="CA16" s="627" t="n">
        <v>5168.12335</v>
      </c>
      <c r="CB16" s="627"/>
      <c r="CC16" s="627"/>
      <c r="CD16" s="627"/>
      <c r="CE16" s="627"/>
      <c r="CF16" s="627"/>
      <c r="CG16" s="625" t="n">
        <f aca="false">'Cuenta Ahorro-Inversión-Financi'!BZ16+'Cuenta Ahorro-Inversión-Financi'!AX16</f>
        <v>19123449.24406</v>
      </c>
      <c r="CH16" s="625" t="n">
        <v>2394073.59176</v>
      </c>
      <c r="CI16" s="625"/>
      <c r="CJ16" s="625" t="n">
        <f aca="false">1300825337.34/1000</f>
        <v>1300825.33734</v>
      </c>
      <c r="CK16" s="625" t="n">
        <f aca="false">668539287.47/1000</f>
        <v>668539.28747</v>
      </c>
      <c r="CL16" s="625" t="n">
        <f aca="false">(1052557742.67+40690511.75)/1000-CK16</f>
        <v>424708.96695</v>
      </c>
      <c r="CM16" s="625"/>
      <c r="CN16" s="625"/>
      <c r="CO16" s="625" t="n">
        <f aca="false">'Cuenta Ahorro-Inversión-Financi'!F16-'Cuenta Ahorro-Inversión-Financi'!AX16</f>
        <v>-3605428.63272</v>
      </c>
      <c r="CP16" s="627" t="n">
        <f aca="false">'Cuenta Ahorro-Inversión-Financi'!CO16+'Cuenta Ahorro-Inversión-Financi'!AD16-'Cuenta Ahorro-Inversión-Financi'!BZ16</f>
        <v>-3527600.60013</v>
      </c>
      <c r="CQ16" s="627" t="n">
        <f aca="false">'Cuenta Ahorro-Inversión-Financi'!T16-'Cuenta Ahorro-Inversión-Financi'!BF16-'Cuenta Ahorro-Inversión-Financi'!BR16</f>
        <v>-7661950.74362</v>
      </c>
      <c r="CR16" s="627" t="n">
        <f aca="false">'Cuenta Ahorro-Inversión-Financi'!F16-'Cuenta Ahorro-Inversión-Financi'!BF16-'Cuenta Ahorro-Inversión-Financi'!BR16-'Cuenta Ahorro-Inversión-Financi'!X16</f>
        <v>-966999.984150002</v>
      </c>
      <c r="CS16" s="627"/>
      <c r="CT16" s="634" t="s">
        <v>885</v>
      </c>
      <c r="CU16" s="634"/>
      <c r="CW16" s="600" t="n">
        <v>2001</v>
      </c>
      <c r="CX16" s="605" t="n">
        <f aca="false">'PIB corriente base 1993'!V73*1000</f>
        <v>263330588.686953</v>
      </c>
      <c r="CY16" s="605" t="n">
        <f aca="false">'PIB corriente base 1993'!V74*1000</f>
        <v>288026075.229806</v>
      </c>
      <c r="CZ16" s="605" t="n">
        <f aca="false">'PIB corriente base 1993'!V75*1000</f>
        <v>271367227.09886</v>
      </c>
      <c r="DA16" s="605" t="n">
        <f aca="false">'PIB corriente base 1993'!V76*1000</f>
        <v>252062944.321547</v>
      </c>
      <c r="DB16" s="606" t="n">
        <f aca="false">'PIB corriente base 1993'!V16*1000</f>
        <v>268696708.834292</v>
      </c>
      <c r="DC16" s="607"/>
      <c r="DD16" s="605"/>
      <c r="DE16" s="605"/>
      <c r="DF16" s="605"/>
      <c r="DG16" s="608"/>
      <c r="DI16" s="1" t="n">
        <v>2009</v>
      </c>
      <c r="DJ16" s="453" t="n">
        <v>20561471</v>
      </c>
      <c r="DK16" s="456" t="n">
        <f aca="false">'Cuenta Ahorro-Inversión-Financi'!DJ16/1000/'PIB corriente base 2004'!X13</f>
        <v>0.0164764714731884</v>
      </c>
      <c r="DL16" s="28" t="n">
        <v>11102856.8612</v>
      </c>
      <c r="DM16" s="456" t="n">
        <f aca="false">'Cuenta Ahorro-Inversión-Financi'!DL16/1000/'PIB corriente base 2004'!X13</f>
        <v>0.00889702416448981</v>
      </c>
      <c r="DO16" s="1" t="n">
        <f aca="false">DO15+1</f>
        <v>2015</v>
      </c>
      <c r="DP16" s="1" t="n">
        <v>664029000</v>
      </c>
      <c r="DQ16" s="28" t="n">
        <f aca="false">X31</f>
        <v>53180983.23675</v>
      </c>
      <c r="DR16" s="456" t="n">
        <f aca="false">DP16/DG30</f>
        <v>0.111516967830284</v>
      </c>
      <c r="DS16" s="456" t="n">
        <f aca="false">DQ16/DG30</f>
        <v>0.00893120932488722</v>
      </c>
      <c r="DT16" s="456" t="n">
        <f aca="false">DQ16/DP15</f>
        <v>0.112608351744783</v>
      </c>
      <c r="DV16" s="456" t="n">
        <f aca="false">DP16/DF30</f>
        <v>0.101345358395663</v>
      </c>
      <c r="DW16" s="456" t="n">
        <f aca="false">DQ16/DF30</f>
        <v>0.00811658196548976</v>
      </c>
      <c r="DX16" s="456" t="n">
        <f aca="false">(DF30-DF29)/DF29</f>
        <v>0.307665159822634</v>
      </c>
      <c r="DY16" s="456" t="n">
        <f aca="false">(DP16-DP15)/DP15</f>
        <v>0.406051687082464</v>
      </c>
    </row>
    <row r="17" customFormat="false" ht="15.75" hidden="false" customHeight="true" outlineLevel="0" collapsed="false">
      <c r="B17" s="456" t="n">
        <f aca="false">'Cuenta Ahorro-Inversión-Financi'!G17/'Cuenta Ahorro-Inversión-Financi'!F17</f>
        <v>0.419197675568423</v>
      </c>
      <c r="C17" s="456" t="n">
        <f aca="false">'Cuenta Ahorro-Inversión-Financi'!T17/'Cuenta Ahorro-Inversión-Financi'!F17</f>
        <v>0.577757117509731</v>
      </c>
      <c r="E17" s="609" t="n">
        <v>2001</v>
      </c>
      <c r="F17" s="610" t="n">
        <f aca="false">'Cuenta Ahorro-Inversión-Financi'!G17+'Cuenta Ahorro-Inversión-Financi'!S17+'Cuenta Ahorro-Inversión-Financi'!T17+'Cuenta Ahorro-Inversión-Financi'!X17</f>
        <v>13647956.7355</v>
      </c>
      <c r="G17" s="611" t="n">
        <f aca="false">'Cuenta Ahorro-Inversión-Financi'!H17+'Cuenta Ahorro-Inversión-Financi'!I17+'Cuenta Ahorro-Inversión-Financi'!J17+'Cuenta Ahorro-Inversión-Financi'!P17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3"/>
      <c r="P17" s="612" t="n">
        <v>433953.5007</v>
      </c>
      <c r="Q17" s="612" t="n">
        <f aca="false">IVA!AU99</f>
        <v>225853.29969</v>
      </c>
      <c r="R17" s="612" t="n">
        <f aca="false">IVA!AU167*0.7</f>
        <v>213002.63159</v>
      </c>
      <c r="S17" s="612" t="n">
        <v>41217.05386</v>
      </c>
      <c r="T17" s="610" t="n">
        <f aca="false">'Cuenta Ahorro-Inversión-Financi'!U17+'Cuenta Ahorro-Inversión-Financi'!V17</f>
        <v>7885204.1434</v>
      </c>
      <c r="U17" s="612" t="n">
        <v>6415367.59116</v>
      </c>
      <c r="V17" s="612" t="n">
        <v>1469836.55224</v>
      </c>
      <c r="W17" s="612"/>
      <c r="X17" s="612" t="n">
        <f aca="false">'Cuenta Ahorro-Inversión-Financi'!Y17+'Cuenta Ahorro-Inversión-Financi'!Z17</f>
        <v>343.79846</v>
      </c>
      <c r="Y17" s="612" t="n">
        <v>343.79846</v>
      </c>
      <c r="Z17" s="612"/>
      <c r="AA17" s="612"/>
      <c r="AB17" s="612"/>
      <c r="AC17" s="612"/>
      <c r="AD17" s="610" t="n">
        <f aca="false">'Cuenta Ahorro-Inversión-Financi'!AE17+'Cuenta Ahorro-Inversión-Financi'!AF17</f>
        <v>4777.7691</v>
      </c>
      <c r="AE17" s="612" t="n">
        <v>4777.7691</v>
      </c>
      <c r="AF17" s="612"/>
      <c r="AG17" s="610" t="n">
        <f aca="false">'Cuenta Ahorro-Inversión-Financi'!AD17+'Cuenta Ahorro-Inversión-Financi'!F17</f>
        <v>13652734.5046</v>
      </c>
      <c r="AH17" s="610" t="n">
        <v>6487130.574</v>
      </c>
      <c r="AI17" s="613" t="n">
        <f aca="false">'Cálculo masa impuestos copartic'!U13*1000</f>
        <v>3343942.45631307</v>
      </c>
      <c r="AJ17" s="613"/>
      <c r="AK17" s="613"/>
      <c r="AL17" s="613"/>
      <c r="AM17" s="613"/>
      <c r="AN17" s="612" t="n">
        <f aca="false">'Cuenta Ahorro-Inversión-Financi'!AH17-('Cuenta Ahorro-Inversión-Financi'!AI17+'Cuenta Ahorro-Inversión-Financi'!AK17+'Cuenta Ahorro-Inversión-Financi'!AL17+'Cuenta Ahorro-Inversión-Financi'!AM17)</f>
        <v>3143188.11768693</v>
      </c>
      <c r="AO17" s="612" t="n">
        <f aca="false">'Cuenta Ahorro-Inversión-Financi'!AI17-'Cuenta Ahorro-Inversión-Financi'!CH17</f>
        <v>1058361.64307307</v>
      </c>
      <c r="AP17" s="612" t="n">
        <f aca="false">'Cuenta Ahorro-Inversión-Financi'!AO17</f>
        <v>1058361.64307307</v>
      </c>
      <c r="AQ17" s="635" t="s">
        <v>884</v>
      </c>
      <c r="AR17" s="635"/>
      <c r="AS17" s="635"/>
      <c r="AT17" s="615"/>
      <c r="AU17" s="615"/>
      <c r="AV17" s="615"/>
      <c r="AW17" s="631" t="n">
        <v>2001</v>
      </c>
      <c r="AX17" s="617" t="n">
        <f aca="false">'Cuenta Ahorro-Inversión-Financi'!AY17+'Cuenta Ahorro-Inversión-Financi'!BC17+'Cuenta Ahorro-Inversión-Financi'!BF17+'Cuenta Ahorro-Inversión-Financi'!BX17</f>
        <v>17999214.21093</v>
      </c>
      <c r="AY17" s="620" t="n">
        <f aca="false">'Cuenta Ahorro-Inversión-Financi'!AZ17+'Cuenta Ahorro-Inversión-Financi'!BA17</f>
        <v>184976.21637</v>
      </c>
      <c r="AZ17" s="618" t="n">
        <v>125278.75</v>
      </c>
      <c r="BA17" s="618" t="n">
        <v>59697.46637</v>
      </c>
      <c r="BB17" s="618"/>
      <c r="BC17" s="618" t="n">
        <v>19.415</v>
      </c>
      <c r="BD17" s="618"/>
      <c r="BE17" s="618"/>
      <c r="BF17" s="617" t="n">
        <v>14112362.47576</v>
      </c>
      <c r="BG17" s="617"/>
      <c r="BH17" s="617"/>
      <c r="BI17" s="618"/>
      <c r="BJ17" s="618"/>
      <c r="BK17" s="618"/>
      <c r="BL17" s="618"/>
      <c r="BM17" s="618" t="n">
        <v>0.26332</v>
      </c>
      <c r="BN17" s="618" t="n">
        <v>3701856.1038</v>
      </c>
      <c r="BO17" s="619" t="n">
        <v>3559464.31316</v>
      </c>
      <c r="BP17" s="619" t="n">
        <v>142265.99523</v>
      </c>
      <c r="BQ17" s="619" t="n">
        <v>125.79541</v>
      </c>
      <c r="BR17" s="619" t="n">
        <v>1670406.61644</v>
      </c>
      <c r="BS17" s="619" t="n">
        <v>2031449.48736</v>
      </c>
      <c r="BT17" s="618"/>
      <c r="BU17" s="618"/>
      <c r="BV17" s="618"/>
      <c r="BW17" s="618"/>
      <c r="BX17" s="618" t="n">
        <f aca="false">'Cuenta Ahorro-Inversión-Financi'!BN17-'Cuenta Ahorro-Inversión-Financi'!BV17-'Cuenta Ahorro-Inversión-Financi'!BW17</f>
        <v>3701856.1038</v>
      </c>
      <c r="BY17" s="619" t="n">
        <v>2173864.078</v>
      </c>
      <c r="BZ17" s="617" t="n">
        <f aca="false">'Cuenta Ahorro-Inversión-Financi'!CA17+'Cuenta Ahorro-Inversión-Financi'!CB17</f>
        <v>4323.76657</v>
      </c>
      <c r="CA17" s="618" t="n">
        <v>4323.76657</v>
      </c>
      <c r="CB17" s="618"/>
      <c r="CC17" s="618"/>
      <c r="CD17" s="618"/>
      <c r="CE17" s="618"/>
      <c r="CF17" s="618"/>
      <c r="CG17" s="617" t="n">
        <f aca="false">'Cuenta Ahorro-Inversión-Financi'!BZ17+'Cuenta Ahorro-Inversión-Financi'!AX17</f>
        <v>18003537.9775</v>
      </c>
      <c r="CH17" s="617" t="n">
        <v>2285580.81324</v>
      </c>
      <c r="CI17" s="617"/>
      <c r="CJ17" s="617" t="n">
        <f aca="false">1232567647.49/1000</f>
        <v>1232567.64749</v>
      </c>
      <c r="CK17" s="617" t="n">
        <f aca="false">678337147.87/1000</f>
        <v>678337.14787</v>
      </c>
      <c r="CL17" s="617" t="n">
        <f aca="false">(1014164460.62+38848705.13)/1000-CK17</f>
        <v>374676.01788</v>
      </c>
      <c r="CM17" s="617"/>
      <c r="CN17" s="617"/>
      <c r="CO17" s="617" t="n">
        <f aca="false">'Cuenta Ahorro-Inversión-Financi'!F17-'Cuenta Ahorro-Inversión-Financi'!AX17</f>
        <v>-4351257.47543</v>
      </c>
      <c r="CP17" s="618" t="n">
        <f aca="false">'Cuenta Ahorro-Inversión-Financi'!CO17+'Cuenta Ahorro-Inversión-Financi'!AD17-'Cuenta Ahorro-Inversión-Financi'!BZ17</f>
        <v>-4350803.4729</v>
      </c>
      <c r="CQ17" s="618" t="n">
        <f aca="false">'Cuenta Ahorro-Inversión-Financi'!T17-'Cuenta Ahorro-Inversión-Financi'!BF17-'Cuenta Ahorro-Inversión-Financi'!BR17</f>
        <v>-7897564.9488</v>
      </c>
      <c r="CR17" s="618" t="n">
        <f aca="false">'Cuenta Ahorro-Inversión-Financi'!F17-'Cuenta Ahorro-Inversión-Financi'!BF17-'Cuenta Ahorro-Inversión-Financi'!BR17-'Cuenta Ahorro-Inversión-Financi'!X17</f>
        <v>-2135156.15516</v>
      </c>
      <c r="CS17" s="618"/>
      <c r="CT17" s="637" t="s">
        <v>885</v>
      </c>
      <c r="CU17" s="637"/>
      <c r="CW17" s="600" t="n">
        <v>2002</v>
      </c>
      <c r="CX17" s="98" t="n">
        <f aca="false">'PIB corriente base 1993'!V77*1000</f>
        <v>237056719.888918</v>
      </c>
      <c r="CY17" s="98" t="n">
        <f aca="false">'PIB corriente base 1993'!V78*1000</f>
        <v>339008201.679561</v>
      </c>
      <c r="CZ17" s="98" t="n">
        <f aca="false">'PIB corriente base 1993'!V79*1000</f>
        <v>334006230.849009</v>
      </c>
      <c r="DA17" s="98" t="n">
        <f aca="false">'PIB corriente base 1993'!V80*1000</f>
        <v>340249423.023982</v>
      </c>
      <c r="DB17" s="622" t="n">
        <f aca="false">'PIB corriente base 1993'!V17*1000</f>
        <v>312580143.860367</v>
      </c>
      <c r="DC17" s="623"/>
      <c r="DD17" s="98"/>
      <c r="DE17" s="98"/>
      <c r="DF17" s="98"/>
      <c r="DG17" s="624"/>
      <c r="DI17" s="1" t="n">
        <v>2010</v>
      </c>
      <c r="DJ17" s="453" t="n">
        <v>26884733</v>
      </c>
      <c r="DK17" s="456" t="n">
        <f aca="false">'Cuenta Ahorro-Inversión-Financi'!DJ17/1000/'PIB corriente base 2004'!X14</f>
        <v>0.0161788496372926</v>
      </c>
      <c r="DL17" s="28" t="n">
        <v>15263717.30188</v>
      </c>
      <c r="DM17" s="456" t="n">
        <f aca="false">'Cuenta Ahorro-Inversión-Financi'!DL17/1000/'PIB corriente base 2004'!X14</f>
        <v>0.00918548780578398</v>
      </c>
      <c r="DO17" s="1" t="n">
        <f aca="false">DO16+1</f>
        <v>2016</v>
      </c>
      <c r="DP17" s="1" t="n">
        <v>875380000</v>
      </c>
      <c r="DQ17" s="28" t="n">
        <f aca="false">X32</f>
        <v>72470214.43759</v>
      </c>
      <c r="DR17" s="456" t="n">
        <f aca="false">DP17/DG31</f>
        <v>0.106388311260275</v>
      </c>
      <c r="DS17" s="456" t="n">
        <f aca="false">DQ17/DG31</f>
        <v>0.00880758496959625</v>
      </c>
      <c r="DT17" s="456" t="n">
        <f aca="false">DQ17/DP16</f>
        <v>0.109137122682277</v>
      </c>
      <c r="DU17" s="456" t="n">
        <f aca="false">AVERAGE(DT15:DT18)</f>
        <v>0.11605552595328</v>
      </c>
      <c r="DV17" s="456" t="n">
        <f aca="false">DP17/DF31</f>
        <v>0.0976571578000756</v>
      </c>
      <c r="DW17" s="456" t="n">
        <f aca="false">DQ17/DF31</f>
        <v>0.0080847576676838</v>
      </c>
      <c r="DX17" s="456" t="n">
        <f aca="false">(DF31-DF30)/DF30</f>
        <v>0.368073264176837</v>
      </c>
      <c r="DY17" s="456" t="n">
        <f aca="false">(DP17-DP16)/DP16</f>
        <v>0.318285797758833</v>
      </c>
    </row>
    <row r="18" customFormat="false" ht="15.75" hidden="false" customHeight="true" outlineLevel="0" collapsed="false">
      <c r="B18" s="456" t="n">
        <f aca="false">'Cuenta Ahorro-Inversión-Financi'!G18/'Cuenta Ahorro-Inversión-Financi'!F18</f>
        <v>0.400248984048122</v>
      </c>
      <c r="C18" s="456" t="n">
        <f aca="false">'Cuenta Ahorro-Inversión-Financi'!T18/'Cuenta Ahorro-Inversión-Financi'!F18</f>
        <v>0.598997837472964</v>
      </c>
      <c r="E18" s="609" t="n">
        <v>2002</v>
      </c>
      <c r="F18" s="625" t="n">
        <f aca="false">'Cuenta Ahorro-Inversión-Financi'!G18+'Cuenta Ahorro-Inversión-Financi'!S18+'Cuenta Ahorro-Inversión-Financi'!T18+'Cuenta Ahorro-Inversión-Financi'!X18+'Cuenta Ahorro-Inversión-Financi'!AA18</f>
        <v>13308284.57081</v>
      </c>
      <c r="G18" s="626" t="n">
        <f aca="false">'Cuenta Ahorro-Inversión-Financi'!H18+'Cuenta Ahorro-Inversión-Financi'!I18+'Cuenta Ahorro-Inversión-Financi'!J18+'Cuenta Ahorro-Inversión-Financi'!P18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3"/>
      <c r="P18" s="632" t="n">
        <v>341186.49593</v>
      </c>
      <c r="Q18" s="632" t="n">
        <f aca="false">IVA!AU100</f>
        <v>217634.09198</v>
      </c>
      <c r="R18" s="632" t="n">
        <f aca="false">IVA!AU168*0.7</f>
        <v>161900.70904</v>
      </c>
      <c r="S18" s="632" t="n">
        <v>4589.50749</v>
      </c>
      <c r="T18" s="625" t="n">
        <f aca="false">'Cuenta Ahorro-Inversión-Financi'!U18+'Cuenta Ahorro-Inversión-Financi'!V18</f>
        <v>7971633.67839</v>
      </c>
      <c r="U18" s="632" t="n">
        <v>6392638.92665</v>
      </c>
      <c r="V18" s="632" t="n">
        <v>1578994.75174</v>
      </c>
      <c r="W18" s="632"/>
      <c r="X18" s="632" t="n">
        <f aca="false">'Cuenta Ahorro-Inversión-Financi'!Y18+'Cuenta Ahorro-Inversión-Financi'!Z18</f>
        <v>5371.0926</v>
      </c>
      <c r="Y18" s="632" t="n">
        <v>5371.0926</v>
      </c>
      <c r="Z18" s="632"/>
      <c r="AA18" s="632" t="n">
        <v>62.91344</v>
      </c>
      <c r="AB18" s="632"/>
      <c r="AC18" s="632"/>
      <c r="AD18" s="625" t="n">
        <f aca="false">'Cuenta Ahorro-Inversión-Financi'!AE18+'Cuenta Ahorro-Inversión-Financi'!AF18</f>
        <v>4387.15118</v>
      </c>
      <c r="AE18" s="632" t="n">
        <v>4387.15118</v>
      </c>
      <c r="AF18" s="632"/>
      <c r="AG18" s="625" t="n">
        <f aca="false">'Cuenta Ahorro-Inversión-Financi'!AD18+'Cuenta Ahorro-Inversión-Financi'!F18</f>
        <v>13312671.72199</v>
      </c>
      <c r="AH18" s="629" t="n">
        <v>7316819.886</v>
      </c>
      <c r="AI18" s="628" t="n">
        <f aca="false">'Cálculo masa impuestos copartic'!U14*1000</f>
        <v>3012321.73270982</v>
      </c>
      <c r="AJ18" s="628"/>
      <c r="AK18" s="628"/>
      <c r="AL18" s="628"/>
      <c r="AM18" s="628"/>
      <c r="AN18" s="627" t="n">
        <f aca="false">'Cuenta Ahorro-Inversión-Financi'!AH18-('Cuenta Ahorro-Inversión-Financi'!AI18+'Cuenta Ahorro-Inversión-Financi'!AK18+'Cuenta Ahorro-Inversión-Financi'!AL18+'Cuenta Ahorro-Inversión-Financi'!AM18)</f>
        <v>4304498.15329018</v>
      </c>
      <c r="AO18" s="627" t="n">
        <f aca="false">'Cuenta Ahorro-Inversión-Financi'!AI18-'Cuenta Ahorro-Inversión-Financi'!CH18</f>
        <v>887174.37547982</v>
      </c>
      <c r="AP18" s="627" t="n">
        <f aca="false">'Cuenta Ahorro-Inversión-Financi'!AO18</f>
        <v>887174.37547982</v>
      </c>
      <c r="AQ18" s="630" t="s">
        <v>886</v>
      </c>
      <c r="AR18" s="630"/>
      <c r="AS18" s="630"/>
      <c r="AT18" s="615"/>
      <c r="AU18" s="615"/>
      <c r="AV18" s="615"/>
      <c r="AW18" s="631" t="n">
        <v>2002</v>
      </c>
      <c r="AX18" s="625" t="n">
        <f aca="false">'Cuenta Ahorro-Inversión-Financi'!AY18+'Cuenta Ahorro-Inversión-Financi'!BC18+'Cuenta Ahorro-Inversión-Financi'!BF18+'Cuenta Ahorro-Inversión-Financi'!BX18</f>
        <v>18302999.50723</v>
      </c>
      <c r="AY18" s="627" t="n">
        <f aca="false">'Cuenta Ahorro-Inversión-Financi'!AZ18+'Cuenta Ahorro-Inversión-Financi'!BA18</f>
        <v>210715.14495</v>
      </c>
      <c r="AZ18" s="627" t="n">
        <v>148282.41964</v>
      </c>
      <c r="BA18" s="627" t="n">
        <v>62432.72531</v>
      </c>
      <c r="BB18" s="627"/>
      <c r="BC18" s="627"/>
      <c r="BD18" s="627"/>
      <c r="BE18" s="627"/>
      <c r="BF18" s="625" t="n">
        <v>13860479.61076</v>
      </c>
      <c r="BG18" s="625"/>
      <c r="BH18" s="625"/>
      <c r="BI18" s="625"/>
      <c r="BJ18" s="625"/>
      <c r="BK18" s="625"/>
      <c r="BL18" s="625"/>
      <c r="BM18" s="627"/>
      <c r="BN18" s="627" t="n">
        <v>4231804.75152</v>
      </c>
      <c r="BO18" s="628" t="n">
        <v>3926557.39812</v>
      </c>
      <c r="BP18" s="628" t="n">
        <v>305172.4734</v>
      </c>
      <c r="BQ18" s="628" t="n">
        <v>74.88</v>
      </c>
      <c r="BR18" s="628" t="n">
        <v>2121143.08549</v>
      </c>
      <c r="BS18" s="628" t="n">
        <v>1911661.88117</v>
      </c>
      <c r="BT18" s="627"/>
      <c r="BU18" s="628" t="n">
        <v>198999.78486</v>
      </c>
      <c r="BV18" s="628"/>
      <c r="BW18" s="628"/>
      <c r="BX18" s="628" t="n">
        <f aca="false">'Cuenta Ahorro-Inversión-Financi'!BN18-'Cuenta Ahorro-Inversión-Financi'!BV18-'Cuenta Ahorro-Inversión-Financi'!BW18</f>
        <v>4231804.75152</v>
      </c>
      <c r="BY18" s="628" t="n">
        <v>2416072.51943</v>
      </c>
      <c r="BZ18" s="625" t="n">
        <f aca="false">'Cuenta Ahorro-Inversión-Financi'!CA18+'Cuenta Ahorro-Inversión-Financi'!CB18</f>
        <v>1669.1997</v>
      </c>
      <c r="CA18" s="627" t="n">
        <v>1669.1997</v>
      </c>
      <c r="CB18" s="627"/>
      <c r="CC18" s="627"/>
      <c r="CD18" s="627"/>
      <c r="CE18" s="627"/>
      <c r="CF18" s="627"/>
      <c r="CG18" s="625" t="n">
        <f aca="false">'Cuenta Ahorro-Inversión-Financi'!BZ18+'Cuenta Ahorro-Inversión-Financi'!AX18</f>
        <v>18304668.70693</v>
      </c>
      <c r="CH18" s="625" t="n">
        <v>2125147.35723</v>
      </c>
      <c r="CI18" s="625"/>
      <c r="CJ18" s="625" t="n">
        <f aca="false">1228490334.47/1000</f>
        <v>1228490.33447</v>
      </c>
      <c r="CK18" s="625" t="n">
        <f aca="false">599173218.95/1000</f>
        <v>599173.21895</v>
      </c>
      <c r="CL18" s="625" t="n">
        <f aca="false">(6841.32+896650181.44)/1000-CK18</f>
        <v>297483.80381</v>
      </c>
      <c r="CM18" s="625"/>
      <c r="CN18" s="625"/>
      <c r="CO18" s="625" t="n">
        <f aca="false">'Cuenta Ahorro-Inversión-Financi'!F18-'Cuenta Ahorro-Inversión-Financi'!AX18</f>
        <v>-4994714.93642</v>
      </c>
      <c r="CP18" s="627" t="n">
        <f aca="false">'Cuenta Ahorro-Inversión-Financi'!CO18+'Cuenta Ahorro-Inversión-Financi'!AD18-'Cuenta Ahorro-Inversión-Financi'!BZ18</f>
        <v>-4991996.98494</v>
      </c>
      <c r="CQ18" s="627" t="n">
        <f aca="false">'Cuenta Ahorro-Inversión-Financi'!T18-'Cuenta Ahorro-Inversión-Financi'!BF18-'Cuenta Ahorro-Inversión-Financi'!BR18</f>
        <v>-8009989.01786</v>
      </c>
      <c r="CR18" s="627" t="n">
        <f aca="false">'Cuenta Ahorro-Inversión-Financi'!F18-'Cuenta Ahorro-Inversión-Financi'!BF18-'Cuenta Ahorro-Inversión-Financi'!BR18-'Cuenta Ahorro-Inversión-Financi'!X18</f>
        <v>-2678709.21804</v>
      </c>
      <c r="CS18" s="627"/>
      <c r="CT18" s="634" t="s">
        <v>887</v>
      </c>
      <c r="CU18" s="634"/>
      <c r="CW18" s="600" t="n">
        <v>2003</v>
      </c>
      <c r="CX18" s="605" t="n">
        <f aca="false">'PIB corriente base 1993'!V81*1000</f>
        <v>327361767.059957</v>
      </c>
      <c r="CY18" s="605" t="n">
        <f aca="false">'PIB corriente base 1993'!V82*1000</f>
        <v>399118836.681335</v>
      </c>
      <c r="CZ18" s="605" t="n">
        <f aca="false">'PIB corriente base 1993'!V83*1000</f>
        <v>377887242.827428</v>
      </c>
      <c r="DA18" s="605" t="n">
        <f aca="false">'PIB corriente base 1993'!V84*1000</f>
        <v>399269599.017877</v>
      </c>
      <c r="DB18" s="606" t="n">
        <f aca="false">'PIB corriente base 1993'!V18*1000</f>
        <v>375909361.396649</v>
      </c>
      <c r="DC18" s="607"/>
      <c r="DD18" s="605"/>
      <c r="DE18" s="605"/>
      <c r="DF18" s="605"/>
      <c r="DG18" s="608"/>
      <c r="DI18" s="1" t="n">
        <v>2011</v>
      </c>
      <c r="DJ18" s="453" t="n">
        <v>36179425</v>
      </c>
      <c r="DK18" s="456" t="n">
        <f aca="false">'Cuenta Ahorro-Inversión-Financi'!DJ18/1000/'PIB corriente base 2004'!X15</f>
        <v>0.0166034992177078</v>
      </c>
      <c r="DL18" s="28" t="n">
        <v>21562243.17099</v>
      </c>
      <c r="DM18" s="456" t="n">
        <f aca="false">'Cuenta Ahorro-Inversión-Financi'!DL18/1000/'PIB corriente base 2004'!X15</f>
        <v>0.00989536698334916</v>
      </c>
      <c r="DO18" s="1" t="n">
        <f aca="false">DO17+1</f>
        <v>2017</v>
      </c>
      <c r="DP18" s="1" t="n">
        <v>1202579000</v>
      </c>
      <c r="DQ18" s="28" t="n">
        <f aca="false">X33</f>
        <v>110276582.29881</v>
      </c>
      <c r="DR18" s="456" t="n">
        <f aca="false">DP18/DG32</f>
        <v>0.11297360167706</v>
      </c>
      <c r="DS18" s="456" t="n">
        <f aca="false">DQ18/DG32</f>
        <v>0.0103596875406384</v>
      </c>
      <c r="DT18" s="456" t="n">
        <f aca="false">DQ18/DP17</f>
        <v>0.125975670336094</v>
      </c>
      <c r="DU18" s="456" t="n">
        <f aca="false">AVERAGE(DT10:DT18)</f>
        <v>0.0952517571979457</v>
      </c>
      <c r="DV18" s="456" t="n">
        <f aca="false">DP18/DF32</f>
        <v>0.102788854147417</v>
      </c>
      <c r="DW18" s="456" t="n">
        <f aca="false">DQ18/DF32</f>
        <v>0.00942574544690034</v>
      </c>
      <c r="DX18" s="456" t="n">
        <f aca="false">(DF32-DF31)/DF31</f>
        <v>0.30519394845613</v>
      </c>
      <c r="DY18" s="456" t="n">
        <f aca="false">(DP18-DP17)/DP17</f>
        <v>0.373779387237543</v>
      </c>
      <c r="DZ18" s="456" t="n">
        <f aca="false">(DP18-DP10)/DP10</f>
        <v>7.86251802786738</v>
      </c>
      <c r="EA18" s="456" t="n">
        <f aca="false">(DF32-DF24)/DF24</f>
        <v>7.61391596899451</v>
      </c>
      <c r="EB18" s="456" t="n">
        <f aca="false">(DZ18-EA18)/EA18</f>
        <v>0.0326510116325462</v>
      </c>
    </row>
    <row r="19" customFormat="false" ht="15.75" hidden="false" customHeight="true" outlineLevel="0" collapsed="false">
      <c r="B19" s="456" t="n">
        <f aca="false">'Cuenta Ahorro-Inversión-Financi'!G19/'Cuenta Ahorro-Inversión-Financi'!F19</f>
        <v>0.490363966172183</v>
      </c>
      <c r="C19" s="456" t="n">
        <f aca="false">'Cuenta Ahorro-Inversión-Financi'!T19/'Cuenta Ahorro-Inversión-Financi'!F19</f>
        <v>0.507582078320783</v>
      </c>
      <c r="E19" s="609" t="n">
        <v>2003</v>
      </c>
      <c r="F19" s="610" t="n">
        <f aca="false">'Cuenta Ahorro-Inversión-Financi'!G19+'Cuenta Ahorro-Inversión-Financi'!S19+'Cuenta Ahorro-Inversión-Financi'!T19+'Cuenta Ahorro-Inversión-Financi'!X19+'Cuenta Ahorro-Inversión-Financi'!AA19</f>
        <v>15161823.34201</v>
      </c>
      <c r="G19" s="611" t="n">
        <f aca="false">'Cuenta Ahorro-Inversión-Financi'!H19+'Cuenta Ahorro-Inversión-Financi'!I19+'Cuenta Ahorro-Inversión-Financi'!J19+'Cuenta Ahorro-Inversión-Financi'!P19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3"/>
      <c r="P19" s="612" t="n">
        <v>439114.9929</v>
      </c>
      <c r="Q19" s="612" t="n">
        <f aca="false">IVA!AU101</f>
        <v>256304.73254</v>
      </c>
      <c r="R19" s="612" t="n">
        <f aca="false">IVA!AU169*0.7</f>
        <v>206266.978848</v>
      </c>
      <c r="S19" s="612" t="n">
        <v>29015.75369</v>
      </c>
      <c r="T19" s="610" t="n">
        <f aca="false">'Cuenta Ahorro-Inversión-Financi'!U19+'Cuenta Ahorro-Inversión-Financi'!V19</f>
        <v>7695869.80307</v>
      </c>
      <c r="U19" s="612" t="n">
        <v>7354693.92752</v>
      </c>
      <c r="V19" s="612" t="n">
        <v>341175.87555</v>
      </c>
      <c r="W19" s="612"/>
      <c r="X19" s="612" t="n">
        <f aca="false">'Cuenta Ahorro-Inversión-Financi'!Y19+'Cuenta Ahorro-Inversión-Financi'!Z19</f>
        <v>2052.35573</v>
      </c>
      <c r="Y19" s="612" t="n">
        <v>2052.35573</v>
      </c>
      <c r="Z19" s="612"/>
      <c r="AA19" s="612" t="n">
        <v>73.60113</v>
      </c>
      <c r="AB19" s="612"/>
      <c r="AC19" s="612"/>
      <c r="AD19" s="610" t="n">
        <f aca="false">'Cuenta Ahorro-Inversión-Financi'!AE19+'Cuenta Ahorro-Inversión-Financi'!AF19</f>
        <v>1414.75932</v>
      </c>
      <c r="AE19" s="612" t="n">
        <v>1414.73632</v>
      </c>
      <c r="AF19" s="612" t="n">
        <v>0.023</v>
      </c>
      <c r="AG19" s="610" t="n">
        <f aca="false">'Cuenta Ahorro-Inversión-Financi'!AD19+'Cuenta Ahorro-Inversión-Financi'!F19</f>
        <v>15163238.10133</v>
      </c>
      <c r="AH19" s="610" t="n">
        <v>7420910.727</v>
      </c>
      <c r="AI19" s="613" t="n">
        <f aca="false">'Cálculo masa impuestos copartic'!U15*1000</f>
        <v>4436735.16197493</v>
      </c>
      <c r="AJ19" s="613"/>
      <c r="AK19" s="613"/>
      <c r="AL19" s="613"/>
      <c r="AM19" s="613"/>
      <c r="AN19" s="612" t="n">
        <f aca="false">'Cuenta Ahorro-Inversión-Financi'!AH19-('Cuenta Ahorro-Inversión-Financi'!AI19+'Cuenta Ahorro-Inversión-Financi'!AK19+'Cuenta Ahorro-Inversión-Financi'!AL19+'Cuenta Ahorro-Inversión-Financi'!AM19)</f>
        <v>2984175.56502507</v>
      </c>
      <c r="AO19" s="612" t="n">
        <f aca="false">'Cuenta Ahorro-Inversión-Financi'!AI19-'Cuenta Ahorro-Inversión-Financi'!CH19</f>
        <v>1881989.18451493</v>
      </c>
      <c r="AP19" s="612" t="n">
        <f aca="false">'Cuenta Ahorro-Inversión-Financi'!AO19</f>
        <v>1881989.18451493</v>
      </c>
      <c r="AQ19" s="635" t="s">
        <v>886</v>
      </c>
      <c r="AR19" s="635"/>
      <c r="AS19" s="635"/>
      <c r="AT19" s="615"/>
      <c r="AU19" s="615"/>
      <c r="AV19" s="615"/>
      <c r="AW19" s="631" t="n">
        <v>2003</v>
      </c>
      <c r="AX19" s="617" t="n">
        <f aca="false">'Cuenta Ahorro-Inversión-Financi'!AY19+'Cuenta Ahorro-Inversión-Financi'!BC19+'Cuenta Ahorro-Inversión-Financi'!BF19+'Cuenta Ahorro-Inversión-Financi'!BX19</f>
        <v>18895945.76522</v>
      </c>
      <c r="AY19" s="620" t="n">
        <f aca="false">'Cuenta Ahorro-Inversión-Financi'!AZ19+'Cuenta Ahorro-Inversión-Financi'!BA19</f>
        <v>256579.96757</v>
      </c>
      <c r="AZ19" s="618" t="n">
        <v>176440.61</v>
      </c>
      <c r="BA19" s="618" t="n">
        <v>80139.35757</v>
      </c>
      <c r="BB19" s="618"/>
      <c r="BC19" s="618" t="n">
        <v>4906.81067</v>
      </c>
      <c r="BD19" s="618"/>
      <c r="BE19" s="618"/>
      <c r="BF19" s="617" t="n">
        <v>15568477.88478</v>
      </c>
      <c r="BG19" s="617"/>
      <c r="BH19" s="617"/>
      <c r="BI19" s="618"/>
      <c r="BJ19" s="618"/>
      <c r="BK19" s="618"/>
      <c r="BL19" s="618"/>
      <c r="BM19" s="618"/>
      <c r="BN19" s="618" t="n">
        <v>3065981.1022</v>
      </c>
      <c r="BO19" s="619" t="n">
        <v>2556953.86847</v>
      </c>
      <c r="BP19" s="619" t="n">
        <v>508850.85291</v>
      </c>
      <c r="BQ19" s="619" t="n">
        <v>176.38082</v>
      </c>
      <c r="BR19" s="619" t="n">
        <v>2027023.9475</v>
      </c>
      <c r="BS19" s="619" t="n">
        <v>985262.73394</v>
      </c>
      <c r="BT19" s="618"/>
      <c r="BU19" s="619" t="n">
        <v>53694.42076</v>
      </c>
      <c r="BV19" s="619"/>
      <c r="BW19" s="619"/>
      <c r="BX19" s="619" t="n">
        <f aca="false">'Cuenta Ahorro-Inversión-Financi'!BN19-'Cuenta Ahorro-Inversión-Financi'!BV19-'Cuenta Ahorro-Inversión-Financi'!BW19</f>
        <v>3065981.1022</v>
      </c>
      <c r="BY19" s="619" t="n">
        <v>1547975.26261</v>
      </c>
      <c r="BZ19" s="617" t="n">
        <f aca="false">'Cuenta Ahorro-Inversión-Financi'!CA19+'Cuenta Ahorro-Inversión-Financi'!CB19</f>
        <v>5555.39094</v>
      </c>
      <c r="CA19" s="618" t="n">
        <v>5555.39094</v>
      </c>
      <c r="CB19" s="618"/>
      <c r="CC19" s="618"/>
      <c r="CD19" s="618"/>
      <c r="CE19" s="618"/>
      <c r="CF19" s="618"/>
      <c r="CG19" s="617" t="n">
        <f aca="false">'Cuenta Ahorro-Inversión-Financi'!BZ19+'Cuenta Ahorro-Inversión-Financi'!AX19</f>
        <v>18901501.15616</v>
      </c>
      <c r="CH19" s="617" t="n">
        <v>2554745.97746</v>
      </c>
      <c r="CI19" s="617"/>
      <c r="CJ19" s="617" t="n">
        <f aca="false">(1474624887.3+12056.52)/1000</f>
        <v>1474636.94382</v>
      </c>
      <c r="CK19" s="617" t="n">
        <f aca="false">687878694.59/1000</f>
        <v>687878.69459</v>
      </c>
      <c r="CL19" s="617" t="n">
        <f aca="false">(1068785361.64+11323672)/1000-CK19</f>
        <v>392230.33905</v>
      </c>
      <c r="CM19" s="617"/>
      <c r="CN19" s="617"/>
      <c r="CO19" s="617" t="n">
        <f aca="false">'Cuenta Ahorro-Inversión-Financi'!F19-'Cuenta Ahorro-Inversión-Financi'!AX19</f>
        <v>-3734122.42321</v>
      </c>
      <c r="CP19" s="618" t="n">
        <f aca="false">'Cuenta Ahorro-Inversión-Financi'!CO19+'Cuenta Ahorro-Inversión-Financi'!AD19-'Cuenta Ahorro-Inversión-Financi'!BZ19</f>
        <v>-3738263.05483</v>
      </c>
      <c r="CQ19" s="618" t="n">
        <f aca="false">'Cuenta Ahorro-Inversión-Financi'!T19-'Cuenta Ahorro-Inversión-Financi'!BF19-'Cuenta Ahorro-Inversión-Financi'!BN19</f>
        <v>-10938589.18391</v>
      </c>
      <c r="CR19" s="618" t="n">
        <f aca="false">'Cuenta Ahorro-Inversión-Financi'!F19-'Cuenta Ahorro-Inversión-Financi'!BF19-'Cuenta Ahorro-Inversión-Financi'!BN19-'Cuenta Ahorro-Inversión-Financi'!X19</f>
        <v>-3474688.0007</v>
      </c>
      <c r="CS19" s="618"/>
      <c r="CT19" s="637" t="s">
        <v>888</v>
      </c>
      <c r="CU19" s="637"/>
      <c r="CW19" s="600" t="n">
        <v>2004</v>
      </c>
      <c r="CX19" s="98" t="n">
        <f aca="false">'PIB corriente base 1993'!V85*1000</f>
        <v>392817429.996902</v>
      </c>
      <c r="CY19" s="98" t="n">
        <f aca="false">'PIB corriente base 1993'!V86*1000</f>
        <v>474213080.063172</v>
      </c>
      <c r="CZ19" s="98" t="n">
        <f aca="false">'PIB corriente base 1993'!V87*1000</f>
        <v>452079663.840847</v>
      </c>
      <c r="DA19" s="98" t="n">
        <f aca="false">'PIB corriente base 1993'!V88*1000</f>
        <v>471463528.666443</v>
      </c>
      <c r="DB19" s="622" t="n">
        <f aca="false">'PIB corriente base 1993'!V19*1000</f>
        <v>447643425.641841</v>
      </c>
      <c r="DC19" s="623" t="n">
        <f aca="false">'PIB corriente base 2004'!X40*1000</f>
        <v>439195865.000173</v>
      </c>
      <c r="DD19" s="98" t="n">
        <f aca="false">'PIB corriente base 2004'!X41*1000</f>
        <v>509498663.246883</v>
      </c>
      <c r="DE19" s="98" t="n">
        <f aca="false">'PIB corriente base 2004'!X42*1000</f>
        <v>488462382.591183</v>
      </c>
      <c r="DF19" s="98" t="n">
        <f aca="false">'PIB corriente base 2004'!X43*1000</f>
        <v>503303868.060779</v>
      </c>
      <c r="DG19" s="622" t="n">
        <f aca="false">('Cuenta Ahorro-Inversión-Financi'!DC19+'Cuenta Ahorro-Inversión-Financi'!DD19+'Cuenta Ahorro-Inversión-Financi'!DE19+'Cuenta Ahorro-Inversión-Financi'!DF19)/4</f>
        <v>485115194.724754</v>
      </c>
      <c r="DI19" s="1" t="n">
        <v>2012</v>
      </c>
      <c r="DJ19" s="453" t="n">
        <v>43931228</v>
      </c>
      <c r="DK19" s="456" t="n">
        <f aca="false">'Cuenta Ahorro-Inversión-Financi'!DJ19/1000/'PIB corriente base 2004'!X16</f>
        <v>0.0166537766309987</v>
      </c>
      <c r="DL19" s="28" t="n">
        <v>27594331.3664</v>
      </c>
      <c r="DM19" s="456" t="n">
        <f aca="false">'Cuenta Ahorro-Inversión-Financi'!DL19/1000/'PIB corriente base 2004'!X16</f>
        <v>0.0104606643560655</v>
      </c>
    </row>
    <row r="20" customFormat="false" ht="15.75" hidden="false" customHeight="true" outlineLevel="0" collapsed="false">
      <c r="B20" s="456" t="n">
        <f aca="false">'Cuenta Ahorro-Inversión-Financi'!G20/'Cuenta Ahorro-Inversión-Financi'!F20</f>
        <v>0.519998099061133</v>
      </c>
      <c r="C20" s="456" t="n">
        <f aca="false">'Cuenta Ahorro-Inversión-Financi'!T20/'Cuenta Ahorro-Inversión-Financi'!F20</f>
        <v>0.477872262995204</v>
      </c>
      <c r="E20" s="609" t="n">
        <v>2004</v>
      </c>
      <c r="F20" s="625" t="n">
        <f aca="false">'Cuenta Ahorro-Inversión-Financi'!G20+'Cuenta Ahorro-Inversión-Financi'!S20+'Cuenta Ahorro-Inversión-Financi'!T20+'Cuenta Ahorro-Inversión-Financi'!X20+'Cuenta Ahorro-Inversión-Financi'!AA20</f>
        <v>20159369.17717</v>
      </c>
      <c r="G20" s="626" t="n">
        <f aca="false">'Cuenta Ahorro-Inversión-Financi'!H20+'Cuenta Ahorro-Inversión-Financi'!I20+'Cuenta Ahorro-Inversión-Financi'!J20+'Cuenta Ahorro-Inversión-Financi'!P20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3"/>
      <c r="P20" s="632" t="n">
        <v>684966.6</v>
      </c>
      <c r="Q20" s="632" t="n">
        <f aca="false">IVA!AU102</f>
        <v>343399.86403</v>
      </c>
      <c r="R20" s="632" t="n">
        <f aca="false">IVA!AU170*0.7</f>
        <v>319188.208521</v>
      </c>
      <c r="S20" s="632" t="n">
        <v>31653.79783</v>
      </c>
      <c r="T20" s="625" t="n">
        <f aca="false">'Cuenta Ahorro-Inversión-Financi'!U20+'Cuenta Ahorro-Inversión-Financi'!V20</f>
        <v>9633603.36925</v>
      </c>
      <c r="U20" s="632" t="n">
        <v>9630140.38859</v>
      </c>
      <c r="V20" s="632" t="n">
        <v>3462.98066</v>
      </c>
      <c r="W20" s="632"/>
      <c r="X20" s="632" t="n">
        <f aca="false">'Cuenta Ahorro-Inversión-Financi'!Y20+'Cuenta Ahorro-Inversión-Financi'!Z20</f>
        <v>11200.38667</v>
      </c>
      <c r="Y20" s="632" t="n">
        <v>10924.8595</v>
      </c>
      <c r="Z20" s="632" t="n">
        <v>275.52717</v>
      </c>
      <c r="AA20" s="632" t="n">
        <v>77.97302</v>
      </c>
      <c r="AB20" s="632"/>
      <c r="AC20" s="632"/>
      <c r="AD20" s="625" t="n">
        <f aca="false">'Cuenta Ahorro-Inversión-Financi'!AE20+'Cuenta Ahorro-Inversión-Financi'!AF20</f>
        <v>1946.04328</v>
      </c>
      <c r="AE20" s="632" t="n">
        <v>1946.04328</v>
      </c>
      <c r="AF20" s="632"/>
      <c r="AG20" s="625" t="n">
        <f aca="false">'Cuenta Ahorro-Inversión-Financi'!AD20+'Cuenta Ahorro-Inversión-Financi'!F20</f>
        <v>20161315.22045</v>
      </c>
      <c r="AH20" s="629" t="n">
        <v>6463812.455</v>
      </c>
      <c r="AI20" s="628" t="n">
        <f aca="false">'Cálculo masa impuestos copartic'!U16*1000</f>
        <v>6613425.98806711</v>
      </c>
      <c r="AJ20" s="628"/>
      <c r="AK20" s="628"/>
      <c r="AL20" s="628"/>
      <c r="AM20" s="628"/>
      <c r="AN20" s="627" t="n">
        <f aca="false">'Cuenta Ahorro-Inversión-Financi'!AH20-('Cuenta Ahorro-Inversión-Financi'!AI20+'Cuenta Ahorro-Inversión-Financi'!AK20+'Cuenta Ahorro-Inversión-Financi'!AL20+'Cuenta Ahorro-Inversión-Financi'!AM20)</f>
        <v>-149613.533067113</v>
      </c>
      <c r="AO20" s="627" t="n">
        <f aca="false">'Cuenta Ahorro-Inversión-Financi'!AI20-'Cuenta Ahorro-Inversión-Financi'!CH20</f>
        <v>3585227.33027711</v>
      </c>
      <c r="AP20" s="627" t="n">
        <f aca="false">'Cuenta Ahorro-Inversión-Financi'!AO20</f>
        <v>3585227.33027711</v>
      </c>
      <c r="AQ20" s="630" t="s">
        <v>886</v>
      </c>
      <c r="AR20" s="630"/>
      <c r="AS20" s="630"/>
      <c r="AT20" s="615"/>
      <c r="AU20" s="615"/>
      <c r="AV20" s="615"/>
      <c r="AW20" s="631" t="n">
        <v>2004</v>
      </c>
      <c r="AX20" s="625" t="n">
        <f aca="false">'Cuenta Ahorro-Inversión-Financi'!AY20+'Cuenta Ahorro-Inversión-Financi'!BC20+'Cuenta Ahorro-Inversión-Financi'!BF20+'Cuenta Ahorro-Inversión-Financi'!BX20</f>
        <v>21741196.5353</v>
      </c>
      <c r="AY20" s="627" t="n">
        <f aca="false">'Cuenta Ahorro-Inversión-Financi'!AZ20+'Cuenta Ahorro-Inversión-Financi'!BA20</f>
        <v>292385.97512</v>
      </c>
      <c r="AZ20" s="627" t="n">
        <v>188507.25582</v>
      </c>
      <c r="BA20" s="627" t="n">
        <v>103878.7193</v>
      </c>
      <c r="BB20" s="627"/>
      <c r="BC20" s="627" t="n">
        <v>8470.26034</v>
      </c>
      <c r="BD20" s="627"/>
      <c r="BE20" s="627"/>
      <c r="BF20" s="625" t="n">
        <v>17806364.7793</v>
      </c>
      <c r="BG20" s="625"/>
      <c r="BH20" s="625"/>
      <c r="BI20" s="625"/>
      <c r="BJ20" s="625"/>
      <c r="BK20" s="625"/>
      <c r="BL20" s="625"/>
      <c r="BM20" s="627"/>
      <c r="BN20" s="627" t="n">
        <v>3633975.52054</v>
      </c>
      <c r="BO20" s="628" t="n">
        <v>2435693.33283</v>
      </c>
      <c r="BP20" s="628" t="n">
        <v>1197820.40588</v>
      </c>
      <c r="BQ20" s="628" t="n">
        <v>461.78183</v>
      </c>
      <c r="BR20" s="628" t="n">
        <v>2916772.19649</v>
      </c>
      <c r="BS20" s="628" t="n">
        <v>717203.32405</v>
      </c>
      <c r="BT20" s="627"/>
      <c r="BU20" s="627"/>
      <c r="BV20" s="627"/>
      <c r="BW20" s="627"/>
      <c r="BX20" s="627" t="n">
        <f aca="false">'Cuenta Ahorro-Inversión-Financi'!BN20-'Cuenta Ahorro-Inversión-Financi'!BV20-'Cuenta Ahorro-Inversión-Financi'!BW20</f>
        <v>3633975.52054</v>
      </c>
      <c r="BY20" s="628" t="n">
        <v>1915433.66177</v>
      </c>
      <c r="BZ20" s="625" t="n">
        <f aca="false">'Cuenta Ahorro-Inversión-Financi'!CA20+'Cuenta Ahorro-Inversión-Financi'!CB20+'Cuenta Ahorro-Inversión-Financi'!CF20</f>
        <v>17800.71868</v>
      </c>
      <c r="CA20" s="627" t="n">
        <v>17800.71868</v>
      </c>
      <c r="CB20" s="627"/>
      <c r="CC20" s="627"/>
      <c r="CD20" s="627"/>
      <c r="CE20" s="627"/>
      <c r="CF20" s="641"/>
      <c r="CG20" s="625" t="n">
        <f aca="false">'Cuenta Ahorro-Inversión-Financi'!BZ20+'Cuenta Ahorro-Inversión-Financi'!AX20</f>
        <v>21758997.25398</v>
      </c>
      <c r="CH20" s="625" t="n">
        <v>3028198.65779</v>
      </c>
      <c r="CI20" s="625"/>
      <c r="CJ20" s="625" t="n">
        <f aca="false">1469347762.51/1000</f>
        <v>1469347.76251</v>
      </c>
      <c r="CK20" s="625" t="n">
        <f aca="false">1112706705.47/1000</f>
        <v>1112706.70547</v>
      </c>
      <c r="CL20" s="625" t="n">
        <f aca="false">(1558699405.28+151490)/1000-CK20</f>
        <v>446144.18981</v>
      </c>
      <c r="CM20" s="625"/>
      <c r="CN20" s="625"/>
      <c r="CO20" s="625" t="n">
        <f aca="false">'Cuenta Ahorro-Inversión-Financi'!F20-'Cuenta Ahorro-Inversión-Financi'!AX20</f>
        <v>-1581827.35813</v>
      </c>
      <c r="CP20" s="627" t="n">
        <f aca="false">'Cuenta Ahorro-Inversión-Financi'!CO20+'Cuenta Ahorro-Inversión-Financi'!AD20-'Cuenta Ahorro-Inversión-Financi'!BZ20</f>
        <v>-1597682.03353</v>
      </c>
      <c r="CQ20" s="627" t="n">
        <f aca="false">'Cuenta Ahorro-Inversión-Financi'!T20-'Cuenta Ahorro-Inversión-Financi'!BF20-'Cuenta Ahorro-Inversión-Financi'!BN20</f>
        <v>-11806736.93059</v>
      </c>
      <c r="CR20" s="627" t="n">
        <f aca="false">'Cuenta Ahorro-Inversión-Financi'!F20-'Cuenta Ahorro-Inversión-Financi'!BF20-'Cuenta Ahorro-Inversión-Financi'!BN20-'Cuenta Ahorro-Inversión-Financi'!X20</f>
        <v>-1292171.50934</v>
      </c>
      <c r="CS20" s="627"/>
      <c r="CT20" s="634" t="s">
        <v>889</v>
      </c>
      <c r="CU20" s="634"/>
      <c r="CW20" s="600" t="n">
        <v>2005</v>
      </c>
      <c r="CX20" s="605" t="n">
        <f aca="false">'PIB corriente base 1993'!V89*1000</f>
        <v>456763738.571404</v>
      </c>
      <c r="CY20" s="605" t="n">
        <f aca="false">'PIB corriente base 1993'!V90*1000</f>
        <v>552411829.673941</v>
      </c>
      <c r="CZ20" s="605" t="n">
        <f aca="false">'PIB corriente base 1993'!V91*1000</f>
        <v>544228166.865614</v>
      </c>
      <c r="DA20" s="605" t="n">
        <f aca="false">'PIB corriente base 1993'!V92*1000</f>
        <v>574351154.07466</v>
      </c>
      <c r="DB20" s="606" t="n">
        <f aca="false">'PIB corriente base 1993'!V20*1000</f>
        <v>531938722.296405</v>
      </c>
      <c r="DC20" s="607" t="n">
        <f aca="false">'PIB corriente base 2004'!X44*1000</f>
        <v>510703427.015116</v>
      </c>
      <c r="DD20" s="605" t="n">
        <f aca="false">'PIB corriente base 2004'!X45*1000</f>
        <v>605771775.84651</v>
      </c>
      <c r="DE20" s="605" t="n">
        <f aca="false">'PIB corriente base 2004'!X46*1000</f>
        <v>590219559.142629</v>
      </c>
      <c r="DF20" s="605" t="n">
        <f aca="false">'PIB corriente base 2004'!X47*1000</f>
        <v>623457929.744843</v>
      </c>
      <c r="DG20" s="606" t="n">
        <f aca="false">('Cuenta Ahorro-Inversión-Financi'!DC20+'Cuenta Ahorro-Inversión-Financi'!DD20+'Cuenta Ahorro-Inversión-Financi'!DE20+'Cuenta Ahorro-Inversión-Financi'!DF20)/4</f>
        <v>582538172.937274</v>
      </c>
      <c r="DH20" s="456"/>
      <c r="DI20" s="1" t="n">
        <v>2013</v>
      </c>
      <c r="DJ20" s="642" t="n">
        <v>56514839</v>
      </c>
      <c r="DK20" s="456" t="n">
        <f aca="false">'Cuenta Ahorro-Inversión-Financi'!DJ20/1000/'PIB corriente base 2004'!X17</f>
        <v>0.0168786236987149</v>
      </c>
      <c r="DL20" s="28" t="n">
        <v>36576358.35</v>
      </c>
      <c r="DM20" s="456" t="n">
        <f aca="false">'Cuenta Ahorro-Inversión-Financi'!DL20/1000/'PIB corriente base 2004'!X17</f>
        <v>0.0109238316835513</v>
      </c>
      <c r="DO20" s="312" t="n">
        <v>207.099999553833</v>
      </c>
      <c r="DP20" s="28" t="n">
        <f aca="false">DP18-DP17</f>
        <v>327199000</v>
      </c>
      <c r="DZ20" s="1" t="n">
        <v>2004</v>
      </c>
      <c r="EB20" s="28" t="n">
        <f aca="false">BO20-BV20-BW20</f>
        <v>2435693.33283</v>
      </c>
      <c r="EC20" s="28" t="n">
        <f aca="false">BS20</f>
        <v>717203.32405</v>
      </c>
      <c r="ED20" s="456" t="n">
        <f aca="false">EB20/1000/'PIB corriente base 2004'!X8</f>
        <v>0.00502085558093469</v>
      </c>
      <c r="EE20" s="456" t="n">
        <f aca="false">EC20/1000/'PIB corriente base 2004'!X8</f>
        <v>0.00147841859387012</v>
      </c>
      <c r="EF20" s="456" t="n">
        <f aca="false">ED20+EE20</f>
        <v>0.0064992741748048</v>
      </c>
    </row>
    <row r="21" customFormat="false" ht="15.75" hidden="false" customHeight="true" outlineLevel="0" collapsed="false">
      <c r="B21" s="456" t="n">
        <f aca="false">'Cuenta Ahorro-Inversión-Financi'!G21/'Cuenta Ahorro-Inversión-Financi'!F21</f>
        <v>0.503946800096441</v>
      </c>
      <c r="C21" s="456" t="n">
        <f aca="false">'Cuenta Ahorro-Inversión-Financi'!T21/'Cuenta Ahorro-Inversión-Financi'!F21</f>
        <v>0.493222715953447</v>
      </c>
      <c r="E21" s="609" t="n">
        <v>2005</v>
      </c>
      <c r="F21" s="610" t="n">
        <f aca="false">'Cuenta Ahorro-Inversión-Financi'!G21+'Cuenta Ahorro-Inversión-Financi'!S21+'Cuenta Ahorro-Inversión-Financi'!T21+'Cuenta Ahorro-Inversión-Financi'!X21+'Cuenta Ahorro-Inversión-Financi'!AA21</f>
        <v>25304729.47821</v>
      </c>
      <c r="G21" s="611" t="n">
        <f aca="false">'Cuenta Ahorro-Inversión-Financi'!H21+'Cuenta Ahorro-Inversión-Financi'!I21+'Cuenta Ahorro-Inversión-Financi'!J21+'Cuenta Ahorro-Inversión-Financi'!P21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3"/>
      <c r="P21" s="612" t="n">
        <v>931499.9</v>
      </c>
      <c r="Q21" s="612" t="n">
        <f aca="false">IVA!AU103</f>
        <v>392086.011</v>
      </c>
      <c r="R21" s="612" t="n">
        <f aca="false">IVA!AU171*0.7</f>
        <v>414100.619296</v>
      </c>
      <c r="S21" s="612" t="n">
        <v>32809.73233</v>
      </c>
      <c r="T21" s="610" t="n">
        <f aca="false">'Cuenta Ahorro-Inversión-Financi'!U21+'Cuenta Ahorro-Inversión-Financi'!V21</f>
        <v>12480867.39971</v>
      </c>
      <c r="U21" s="612" t="n">
        <v>12478433.82937</v>
      </c>
      <c r="V21" s="612" t="n">
        <v>2433.57034</v>
      </c>
      <c r="W21" s="612"/>
      <c r="X21" s="612" t="n">
        <f aca="false">'Cuenta Ahorro-Inversión-Financi'!Y21+'Cuenta Ahorro-Inversión-Financi'!Z21</f>
        <v>38724.72062</v>
      </c>
      <c r="Y21" s="612" t="n">
        <v>7616.88239</v>
      </c>
      <c r="Z21" s="612" t="n">
        <v>31107.83823</v>
      </c>
      <c r="AA21" s="612" t="n">
        <v>90.1777</v>
      </c>
      <c r="AB21" s="612"/>
      <c r="AC21" s="612"/>
      <c r="AD21" s="610" t="n">
        <f aca="false">'Cuenta Ahorro-Inversión-Financi'!AE21+'Cuenta Ahorro-Inversión-Financi'!AF21</f>
        <v>2381.75595</v>
      </c>
      <c r="AE21" s="612" t="n">
        <v>2381.75595</v>
      </c>
      <c r="AF21" s="612"/>
      <c r="AG21" s="610" t="n">
        <f aca="false">'Cuenta Ahorro-Inversión-Financi'!AD21+'Cuenta Ahorro-Inversión-Financi'!F21</f>
        <v>25307111.23416</v>
      </c>
      <c r="AH21" s="610" t="n">
        <v>8133300</v>
      </c>
      <c r="AI21" s="613" t="n">
        <f aca="false">'Cálculo masa impuestos copartic'!U17*1000</f>
        <v>8146311.50442478</v>
      </c>
      <c r="AJ21" s="613"/>
      <c r="AK21" s="613"/>
      <c r="AL21" s="613"/>
      <c r="AM21" s="613"/>
      <c r="AN21" s="612" t="n">
        <f aca="false">'Cuenta Ahorro-Inversión-Financi'!AH21-('Cuenta Ahorro-Inversión-Financi'!AI21+'Cuenta Ahorro-Inversión-Financi'!AK21+'Cuenta Ahorro-Inversión-Financi'!AL21+'Cuenta Ahorro-Inversión-Financi'!AM21)</f>
        <v>-13011.5044247787</v>
      </c>
      <c r="AO21" s="612" t="n">
        <f aca="false">'Cuenta Ahorro-Inversión-Financi'!AI21-'Cuenta Ahorro-Inversión-Financi'!CH21</f>
        <v>4667908.85857478</v>
      </c>
      <c r="AP21" s="612" t="n">
        <f aca="false">'Cuenta Ahorro-Inversión-Financi'!AO21</f>
        <v>4667908.85857478</v>
      </c>
      <c r="AQ21" s="635" t="s">
        <v>886</v>
      </c>
      <c r="AR21" s="635"/>
      <c r="AS21" s="635"/>
      <c r="AT21" s="615"/>
      <c r="AU21" s="643" t="n">
        <f aca="false">'Cuenta Ahorro-Inversión-Financi'!BS21/'Cuenta Ahorro-Inversión-Financi'!AV21</f>
        <v>0.0396000290328409</v>
      </c>
      <c r="AV21" s="615" t="n">
        <f aca="false">'Cuenta Ahorro-Inversión-Financi'!BF21-'Cuenta Ahorro-Inversión-Financi'!BL21</f>
        <v>19925345.72148</v>
      </c>
      <c r="AW21" s="631" t="n">
        <v>2005</v>
      </c>
      <c r="AX21" s="617" t="n">
        <f aca="false">'Cuenta Ahorro-Inversión-Financi'!AY21+'Cuenta Ahorro-Inversión-Financi'!BC21+'Cuenta Ahorro-Inversión-Financi'!BF21+'Cuenta Ahorro-Inversión-Financi'!BX21</f>
        <v>25545332.54611</v>
      </c>
      <c r="AY21" s="620" t="n">
        <f aca="false">'Cuenta Ahorro-Inversión-Financi'!AZ21+'Cuenta Ahorro-Inversión-Financi'!BA21</f>
        <v>443286.29688</v>
      </c>
      <c r="AZ21" s="618" t="n">
        <v>264799.77079</v>
      </c>
      <c r="BA21" s="618" t="n">
        <v>178486.52609</v>
      </c>
      <c r="BB21" s="618"/>
      <c r="BC21" s="618" t="n">
        <v>8341.70136</v>
      </c>
      <c r="BD21" s="618"/>
      <c r="BE21" s="618"/>
      <c r="BF21" s="617" t="n">
        <v>20127038.31117</v>
      </c>
      <c r="BG21" s="617"/>
      <c r="BH21" s="617"/>
      <c r="BI21" s="618"/>
      <c r="BJ21" s="618"/>
      <c r="BK21" s="618"/>
      <c r="BL21" s="618" t="n">
        <v>201692.58969</v>
      </c>
      <c r="BM21" s="618" t="n">
        <v>33.46074</v>
      </c>
      <c r="BN21" s="618" t="n">
        <v>4966666.2367</v>
      </c>
      <c r="BO21" s="619" t="n">
        <v>2976976.78962</v>
      </c>
      <c r="BP21" s="619" t="n">
        <v>1989296.31678</v>
      </c>
      <c r="BQ21" s="619" t="n">
        <v>393.1303</v>
      </c>
      <c r="BR21" s="619" t="n">
        <v>4177621.96764</v>
      </c>
      <c r="BS21" s="619" t="n">
        <v>789044.26906</v>
      </c>
      <c r="BT21" s="618"/>
      <c r="BU21" s="618"/>
      <c r="BV21" s="618"/>
      <c r="BW21" s="618"/>
      <c r="BX21" s="618" t="n">
        <f aca="false">'Cuenta Ahorro-Inversión-Financi'!BN21-'Cuenta Ahorro-Inversión-Financi'!BV21-'Cuenta Ahorro-Inversión-Financi'!BW21</f>
        <v>4966666.2367</v>
      </c>
      <c r="BY21" s="619" t="n">
        <v>2778632.69584</v>
      </c>
      <c r="BZ21" s="617" t="n">
        <f aca="false">'Cuenta Ahorro-Inversión-Financi'!CA21+'Cuenta Ahorro-Inversión-Financi'!CB21+'Cuenta Ahorro-Inversión-Financi'!CF21</f>
        <v>15319.84127</v>
      </c>
      <c r="CA21" s="618" t="n">
        <v>15319.84127</v>
      </c>
      <c r="CB21" s="618"/>
      <c r="CC21" s="618"/>
      <c r="CD21" s="618"/>
      <c r="CE21" s="618"/>
      <c r="CF21" s="618"/>
      <c r="CG21" s="617" t="n">
        <f aca="false">'Cuenta Ahorro-Inversión-Financi'!BZ21+'Cuenta Ahorro-Inversión-Financi'!AX21</f>
        <v>25560652.38738</v>
      </c>
      <c r="CH21" s="617" t="n">
        <v>3478402.64585</v>
      </c>
      <c r="CI21" s="617"/>
      <c r="CJ21" s="617" t="n">
        <f aca="false">1538056664.77/1000</f>
        <v>1538056.66477</v>
      </c>
      <c r="CK21" s="617" t="n">
        <f aca="false">1331194173.41/1000</f>
        <v>1331194.17341</v>
      </c>
      <c r="CL21" s="617" t="n">
        <f aca="false">(1940295981.08+50000)/1000-CK21</f>
        <v>609151.80767</v>
      </c>
      <c r="CM21" s="617"/>
      <c r="CN21" s="617"/>
      <c r="CO21" s="617" t="n">
        <f aca="false">'Cuenta Ahorro-Inversión-Financi'!F21-'Cuenta Ahorro-Inversión-Financi'!AX21</f>
        <v>-240603.067900002</v>
      </c>
      <c r="CP21" s="618" t="n">
        <f aca="false">'Cuenta Ahorro-Inversión-Financi'!CO21+'Cuenta Ahorro-Inversión-Financi'!AD21-'Cuenta Ahorro-Inversión-Financi'!BZ21</f>
        <v>-253541.153220002</v>
      </c>
      <c r="CQ21" s="618" t="n">
        <f aca="false">'Cuenta Ahorro-Inversión-Financi'!T21-'Cuenta Ahorro-Inversión-Financi'!BF21-'Cuenta Ahorro-Inversión-Financi'!BN21</f>
        <v>-12612837.14816</v>
      </c>
      <c r="CR21" s="618" t="n">
        <f aca="false">'Cuenta Ahorro-Inversión-Financi'!F21-'Cuenta Ahorro-Inversión-Financi'!BF21-'Cuenta Ahorro-Inversión-Financi'!BN21-'Cuenta Ahorro-Inversión-Financi'!X21</f>
        <v>172300.209720001</v>
      </c>
      <c r="CS21" s="618"/>
      <c r="CT21" s="637" t="s">
        <v>887</v>
      </c>
      <c r="CU21" s="637"/>
      <c r="CW21" s="600" t="n">
        <v>2006</v>
      </c>
      <c r="CX21" s="98" t="n">
        <f aca="false">'PIB corriente base 1993'!V93*1000</f>
        <v>567994315.706955</v>
      </c>
      <c r="CY21" s="98" t="n">
        <f aca="false">'PIB corriente base 1993'!V94*1000</f>
        <v>678278475.284539</v>
      </c>
      <c r="CZ21" s="98" t="n">
        <f aca="false">'PIB corriente base 1993'!V95*1000</f>
        <v>668197229.164594</v>
      </c>
      <c r="DA21" s="98" t="n">
        <f aca="false">'PIB corriente base 1993'!V96*1000</f>
        <v>703285920.838499</v>
      </c>
      <c r="DB21" s="622" t="n">
        <f aca="false">'PIB corriente base 1993'!V21*1000</f>
        <v>654438985.248647</v>
      </c>
      <c r="DC21" s="623" t="n">
        <f aca="false">'PIB corriente base 2004'!X48*1000</f>
        <v>643562379.587061</v>
      </c>
      <c r="DD21" s="98" t="n">
        <f aca="false">'PIB corriente base 2004'!X49*1000</f>
        <v>727989187.266911</v>
      </c>
      <c r="DE21" s="98" t="n">
        <f aca="false">'PIB corriente base 2004'!X50*1000</f>
        <v>729299498.006196</v>
      </c>
      <c r="DF21" s="98" t="n">
        <f aca="false">'PIB corriente base 2004'!X51*1000</f>
        <v>762766022.075226</v>
      </c>
      <c r="DG21" s="622" t="n">
        <f aca="false">('Cuenta Ahorro-Inversión-Financi'!DC21+'Cuenta Ahorro-Inversión-Financi'!DD21+'Cuenta Ahorro-Inversión-Financi'!DE21+'Cuenta Ahorro-Inversión-Financi'!DF21)/4</f>
        <v>715904271.733849</v>
      </c>
      <c r="DH21" s="456"/>
      <c r="DI21" s="1" t="n">
        <v>2014</v>
      </c>
      <c r="DJ21" s="642" t="n">
        <v>76739818</v>
      </c>
      <c r="DK21" s="456" t="n">
        <f aca="false">'Cuenta Ahorro-Inversión-Financi'!DJ21/1000/'PIB corriente base 2004'!X18</f>
        <v>0.0167587616547611</v>
      </c>
      <c r="DL21" s="28" t="n">
        <v>53294684.66403</v>
      </c>
      <c r="DM21" s="456" t="n">
        <f aca="false">'Cuenta Ahorro-Inversión-Financi'!DL21/1000/'PIB corriente base 2004'!X18</f>
        <v>0.0116387156111073</v>
      </c>
      <c r="DO21" s="1" t="n">
        <f aca="false">DP18*100/DO20</f>
        <v>580675520.323893</v>
      </c>
      <c r="DP21" s="456" t="n">
        <f aca="false">(DP18-DP10)/DP10</f>
        <v>7.86251802786738</v>
      </c>
      <c r="DQ21" s="456" t="n">
        <f aca="false">(DP18-DP9)/DP9</f>
        <v>11.2432297605473</v>
      </c>
      <c r="DS21" s="456" t="n">
        <f aca="false">AVERAGE(DS15:DS18)</f>
        <v>0.00912022427655904</v>
      </c>
      <c r="DT21" s="456" t="n">
        <f aca="false">AVERAGE(DT15:DT18)</f>
        <v>0.11605552595328</v>
      </c>
      <c r="DV21" s="456" t="n">
        <f aca="false">AVERAGE(DV15:DV18)</f>
        <v>0.0990113067708674</v>
      </c>
      <c r="DW21" s="456" t="n">
        <f aca="false">AVERAGE(DW15:DW18)</f>
        <v>0.00832191507777979</v>
      </c>
      <c r="DZ21" s="1" t="n">
        <f aca="false">DZ20+1</f>
        <v>2005</v>
      </c>
      <c r="EB21" s="28" t="n">
        <f aca="false">BO21-BV21-BW21</f>
        <v>2976976.78962</v>
      </c>
      <c r="EC21" s="28" t="n">
        <f aca="false">BS21</f>
        <v>789044.26906</v>
      </c>
      <c r="ED21" s="456" t="n">
        <f aca="false">EB21/1000/'PIB corriente base 2004'!X9</f>
        <v>0.00511035487101126</v>
      </c>
      <c r="EE21" s="456" t="n">
        <f aca="false">EC21/1000/'PIB corriente base 2004'!X9</f>
        <v>0.0013544936722026</v>
      </c>
      <c r="EF21" s="456" t="n">
        <f aca="false">ED21+EE21</f>
        <v>0.00646484854321386</v>
      </c>
    </row>
    <row r="22" customFormat="false" ht="15.75" hidden="false" customHeight="true" outlineLevel="0" collapsed="false">
      <c r="B22" s="456" t="n">
        <f aca="false">'Cuenta Ahorro-Inversión-Financi'!G22/'Cuenta Ahorro-Inversión-Financi'!F22</f>
        <v>0.45223699244885</v>
      </c>
      <c r="C22" s="456" t="n">
        <f aca="false">'Cuenta Ahorro-Inversión-Financi'!T22/'Cuenta Ahorro-Inversión-Financi'!F22</f>
        <v>0.53878463512185</v>
      </c>
      <c r="E22" s="609" t="n">
        <v>2006</v>
      </c>
      <c r="F22" s="625" t="n">
        <f aca="false">'Cuenta Ahorro-Inversión-Financi'!G22+'Cuenta Ahorro-Inversión-Financi'!S22+'Cuenta Ahorro-Inversión-Financi'!T22+'Cuenta Ahorro-Inversión-Financi'!X22+'Cuenta Ahorro-Inversión-Financi'!AA22</f>
        <v>33560747.24709</v>
      </c>
      <c r="G22" s="626" t="n">
        <f aca="false">'Cuenta Ahorro-Inversión-Financi'!H22+'Cuenta Ahorro-Inversión-Financi'!I22+'Cuenta Ahorro-Inversión-Financi'!J22+'Cuenta Ahorro-Inversión-Financi'!P22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3"/>
      <c r="P22" s="632" t="n">
        <v>1010235.9</v>
      </c>
      <c r="Q22" s="632" t="n">
        <f aca="false">IVA!AU104</f>
        <v>398243.52609</v>
      </c>
      <c r="R22" s="632" t="n">
        <f aca="false">IVA!AU172*0.7</f>
        <v>463050.868035</v>
      </c>
      <c r="S22" s="632" t="n">
        <v>13848.11675</v>
      </c>
      <c r="T22" s="625" t="n">
        <f aca="false">'Cuenta Ahorro-Inversión-Financi'!U22+'Cuenta Ahorro-Inversión-Financi'!V22</f>
        <v>18082014.95994</v>
      </c>
      <c r="U22" s="632" t="n">
        <v>18078656.31106</v>
      </c>
      <c r="V22" s="632" t="n">
        <v>3358.64888</v>
      </c>
      <c r="W22" s="632"/>
      <c r="X22" s="632" t="n">
        <f aca="false">'Cuenta Ahorro-Inversión-Financi'!Y22+'Cuenta Ahorro-Inversión-Financi'!Z22</f>
        <v>287384.59231</v>
      </c>
      <c r="Y22" s="632" t="n">
        <v>202474.31833</v>
      </c>
      <c r="Z22" s="632" t="n">
        <v>84910.27398</v>
      </c>
      <c r="AA22" s="632" t="n">
        <v>88.17873</v>
      </c>
      <c r="AB22" s="632"/>
      <c r="AC22" s="632"/>
      <c r="AD22" s="625" t="n">
        <f aca="false">'Cuenta Ahorro-Inversión-Financi'!AE22+'Cuenta Ahorro-Inversión-Financi'!AF22</f>
        <v>2302.96493</v>
      </c>
      <c r="AE22" s="632" t="n">
        <v>2273.86393</v>
      </c>
      <c r="AF22" s="632" t="n">
        <v>29.101</v>
      </c>
      <c r="AG22" s="625" t="n">
        <f aca="false">'Cuenta Ahorro-Inversión-Financi'!AD22+'Cuenta Ahorro-Inversión-Financi'!F22</f>
        <v>33563050.21202</v>
      </c>
      <c r="AH22" s="629" t="n">
        <v>10149400</v>
      </c>
      <c r="AI22" s="628" t="n">
        <f aca="false">'Cálculo masa impuestos copartic'!U18*1000</f>
        <v>10103645.4250591</v>
      </c>
      <c r="AJ22" s="628"/>
      <c r="AK22" s="628"/>
      <c r="AL22" s="628"/>
      <c r="AM22" s="628"/>
      <c r="AN22" s="627" t="n">
        <f aca="false">'Cuenta Ahorro-Inversión-Financi'!AH22-('Cuenta Ahorro-Inversión-Financi'!AI22+'Cuenta Ahorro-Inversión-Financi'!AK22+'Cuenta Ahorro-Inversión-Financi'!AL22+'Cuenta Ahorro-Inversión-Financi'!AM22)</f>
        <v>45754.5749409366</v>
      </c>
      <c r="AO22" s="627" t="n">
        <f aca="false">'Cuenta Ahorro-Inversión-Financi'!AI22-'Cuenta Ahorro-Inversión-Financi'!CH22</f>
        <v>5619418.48329906</v>
      </c>
      <c r="AP22" s="627" t="n">
        <f aca="false">'Cuenta Ahorro-Inversión-Financi'!AO22</f>
        <v>5619418.48329906</v>
      </c>
      <c r="AQ22" s="630" t="s">
        <v>886</v>
      </c>
      <c r="AR22" s="630"/>
      <c r="AS22" s="630"/>
      <c r="AT22" s="615"/>
      <c r="AU22" s="643" t="n">
        <f aca="false">'Cuenta Ahorro-Inversión-Financi'!BS22/'Cuenta Ahorro-Inversión-Financi'!AV22</f>
        <v>0.0390297667337301</v>
      </c>
      <c r="AV22" s="615" t="n">
        <f aca="false">'Cuenta Ahorro-Inversión-Financi'!BF22-'Cuenta Ahorro-Inversión-Financi'!BL22</f>
        <v>26062861.44034</v>
      </c>
      <c r="AW22" s="631" t="n">
        <v>2006</v>
      </c>
      <c r="AX22" s="625" t="n">
        <f aca="false">'Cuenta Ahorro-Inversión-Financi'!AY22+'Cuenta Ahorro-Inversión-Financi'!BC22+'Cuenta Ahorro-Inversión-Financi'!BF22+'Cuenta Ahorro-Inversión-Financi'!BX22</f>
        <v>32609654.80136</v>
      </c>
      <c r="AY22" s="627" t="n">
        <f aca="false">'Cuenta Ahorro-Inversión-Financi'!AZ22+'Cuenta Ahorro-Inversión-Financi'!BA22</f>
        <v>596706.40429</v>
      </c>
      <c r="AZ22" s="627" t="n">
        <v>368205.5636</v>
      </c>
      <c r="BA22" s="627" t="n">
        <v>228500.84069</v>
      </c>
      <c r="BB22" s="627"/>
      <c r="BC22" s="627" t="n">
        <v>2780.56712</v>
      </c>
      <c r="BD22" s="627"/>
      <c r="BE22" s="627"/>
      <c r="BF22" s="625" t="n">
        <v>26375264.36526</v>
      </c>
      <c r="BG22" s="625"/>
      <c r="BH22" s="625"/>
      <c r="BI22" s="625"/>
      <c r="BJ22" s="625"/>
      <c r="BK22" s="625"/>
      <c r="BL22" s="627" t="n">
        <v>312402.92492</v>
      </c>
      <c r="BM22" s="627" t="n">
        <v>12.3166</v>
      </c>
      <c r="BN22" s="627" t="n">
        <v>5634903.46469</v>
      </c>
      <c r="BO22" s="628" t="n">
        <v>3838525.07779</v>
      </c>
      <c r="BP22" s="628" t="n">
        <v>1795918.15089</v>
      </c>
      <c r="BQ22" s="628" t="n">
        <v>460.23601</v>
      </c>
      <c r="BR22" s="628" t="n">
        <v>4617676.06226</v>
      </c>
      <c r="BS22" s="628" t="n">
        <v>1017227.40243</v>
      </c>
      <c r="BT22" s="627"/>
      <c r="BU22" s="627"/>
      <c r="BV22" s="627"/>
      <c r="BW22" s="627"/>
      <c r="BX22" s="627" t="n">
        <f aca="false">'Cuenta Ahorro-Inversión-Financi'!BN22-'Cuenta Ahorro-Inversión-Financi'!BV22-'Cuenta Ahorro-Inversión-Financi'!BW22</f>
        <v>5634903.46469</v>
      </c>
      <c r="BY22" s="628" t="n">
        <v>2813516.40936</v>
      </c>
      <c r="BZ22" s="625" t="n">
        <f aca="false">'Cuenta Ahorro-Inversión-Financi'!CA22+'Cuenta Ahorro-Inversión-Financi'!CB22+'Cuenta Ahorro-Inversión-Financi'!CF22</f>
        <v>17580.03645</v>
      </c>
      <c r="CA22" s="627" t="n">
        <v>17580.03645</v>
      </c>
      <c r="CB22" s="627"/>
      <c r="CC22" s="627"/>
      <c r="CD22" s="627"/>
      <c r="CE22" s="627"/>
      <c r="CF22" s="641"/>
      <c r="CG22" s="625" t="n">
        <f aca="false">'Cuenta Ahorro-Inversión-Financi'!BZ22+'Cuenta Ahorro-Inversión-Financi'!AX22</f>
        <v>32627234.83781</v>
      </c>
      <c r="CH22" s="625" t="n">
        <v>4484226.94176</v>
      </c>
      <c r="CI22" s="625"/>
      <c r="CJ22" s="625" t="n">
        <f aca="false">1685933662.7/1000</f>
        <v>1685933.6627</v>
      </c>
      <c r="CK22" s="625" t="n">
        <f aca="false">1990596677.77/1000</f>
        <v>1990596.67777</v>
      </c>
      <c r="CL22" s="625" t="n">
        <f aca="false">(2797538279.06+755000)/1000-CK22</f>
        <v>807696.60129</v>
      </c>
      <c r="CM22" s="625"/>
      <c r="CN22" s="625"/>
      <c r="CO22" s="625" t="n">
        <f aca="false">'Cuenta Ahorro-Inversión-Financi'!F22-'Cuenta Ahorro-Inversión-Financi'!AX22</f>
        <v>951092.445730004</v>
      </c>
      <c r="CP22" s="627" t="n">
        <f aca="false">'Cuenta Ahorro-Inversión-Financi'!CO22+'Cuenta Ahorro-Inversión-Financi'!AD22-'Cuenta Ahorro-Inversión-Financi'!BZ22</f>
        <v>935815.374210005</v>
      </c>
      <c r="CQ22" s="627" t="n">
        <f aca="false">'Cuenta Ahorro-Inversión-Financi'!T22-'Cuenta Ahorro-Inversión-Financi'!BF22-'Cuenta Ahorro-Inversión-Financi'!BN22</f>
        <v>-13928152.87001</v>
      </c>
      <c r="CR22" s="627" t="n">
        <f aca="false">'Cuenta Ahorro-Inversión-Financi'!F22-'Cuenta Ahorro-Inversión-Financi'!BF22-'Cuenta Ahorro-Inversión-Financi'!BN22-'Cuenta Ahorro-Inversión-Financi'!X22</f>
        <v>1263194.82483</v>
      </c>
      <c r="CS22" s="627"/>
      <c r="CT22" s="634" t="s">
        <v>887</v>
      </c>
      <c r="CU22" s="634"/>
      <c r="CW22" s="600" t="n">
        <v>2007</v>
      </c>
      <c r="CX22" s="605" t="n">
        <f aca="false">'PIB corriente base 1993'!V97*1000</f>
        <v>681119854.473743</v>
      </c>
      <c r="CY22" s="605" t="n">
        <f aca="false">'PIB corriente base 1993'!V98*1000</f>
        <v>835125270.312335</v>
      </c>
      <c r="CZ22" s="605" t="n">
        <f aca="false">'PIB corriente base 1993'!V99*1000</f>
        <v>827463264.705692</v>
      </c>
      <c r="DA22" s="605" t="n">
        <f aca="false">'PIB corriente base 1993'!V100*1000</f>
        <v>906114923.568755</v>
      </c>
      <c r="DB22" s="606" t="n">
        <f aca="false">'PIB corriente base 1993'!V22*1000</f>
        <v>812455828.265131</v>
      </c>
      <c r="DC22" s="607" t="n">
        <f aca="false">'PIB corriente base 2004'!X52*1000</f>
        <v>774387787.841277</v>
      </c>
      <c r="DD22" s="605" t="n">
        <f aca="false">'PIB corriente base 2004'!X53*1000</f>
        <v>904350388.093081</v>
      </c>
      <c r="DE22" s="605" t="n">
        <f aca="false">'PIB corriente base 2004'!X54*1000</f>
        <v>914103967.401919</v>
      </c>
      <c r="DF22" s="605" t="n">
        <f aca="false">'PIB corriente base 2004'!X55*1000</f>
        <v>995078552.951336</v>
      </c>
      <c r="DG22" s="606" t="n">
        <f aca="false">('Cuenta Ahorro-Inversión-Financi'!DC22+'Cuenta Ahorro-Inversión-Financi'!DD22+'Cuenta Ahorro-Inversión-Financi'!DE22+'Cuenta Ahorro-Inversión-Financi'!DF22)/4</f>
        <v>896980174.071903</v>
      </c>
      <c r="DH22" s="456"/>
      <c r="DI22" s="1" t="n">
        <v>2015</v>
      </c>
      <c r="DJ22" s="453" t="n">
        <v>97479599</v>
      </c>
      <c r="DK22" s="456" t="n">
        <f aca="false">'Cuenta Ahorro-Inversión-Financi'!DJ22/1000/'PIB corriente base 2004'!X19</f>
        <v>0.0163707146913644</v>
      </c>
      <c r="DL22" s="28" t="n">
        <v>75797809.1</v>
      </c>
      <c r="DM22" s="456" t="n">
        <f aca="false">'Cuenta Ahorro-Inversión-Financi'!DL22/1000/'PIB corriente base 2004'!X19</f>
        <v>0.0127294769340055</v>
      </c>
      <c r="DQ22" s="456" t="n">
        <f aca="false">(DF32-DF23)/DF23</f>
        <v>9.01111512242848</v>
      </c>
      <c r="DZ22" s="1" t="n">
        <f aca="false">DZ21+1</f>
        <v>2006</v>
      </c>
      <c r="EB22" s="28" t="n">
        <f aca="false">BO22-BV22-BW22</f>
        <v>3838525.07779</v>
      </c>
      <c r="EC22" s="28" t="n">
        <f aca="false">BS22</f>
        <v>1017227.40243</v>
      </c>
      <c r="ED22" s="456" t="n">
        <f aca="false">EB22/1000/'PIB corriente base 2004'!X10</f>
        <v>0.00536178540811536</v>
      </c>
      <c r="EE22" s="456" t="n">
        <f aca="false">EC22/1000/'PIB corriente base 2004'!X10</f>
        <v>0.001420898634906</v>
      </c>
      <c r="EF22" s="456" t="n">
        <f aca="false">ED22+EE22</f>
        <v>0.00678268404302136</v>
      </c>
    </row>
    <row r="23" customFormat="false" ht="15.75" hidden="false" customHeight="true" outlineLevel="0" collapsed="false">
      <c r="B23" s="456" t="n">
        <f aca="false">'Cuenta Ahorro-Inversión-Financi'!G23/'Cuenta Ahorro-Inversión-Financi'!F23</f>
        <v>0.347714816507505</v>
      </c>
      <c r="C23" s="456" t="n">
        <f aca="false">'Cuenta Ahorro-Inversión-Financi'!T23/'Cuenta Ahorro-Inversión-Financi'!F23</f>
        <v>0.639635314422424</v>
      </c>
      <c r="E23" s="609" t="n">
        <v>2007</v>
      </c>
      <c r="F23" s="610" t="n">
        <f aca="false">'Cuenta Ahorro-Inversión-Financi'!G23+'Cuenta Ahorro-Inversión-Financi'!S23+'Cuenta Ahorro-Inversión-Financi'!T23+'Cuenta Ahorro-Inversión-Financi'!X23+'Cuenta Ahorro-Inversión-Financi'!AA23</f>
        <v>53996454.56142</v>
      </c>
      <c r="G23" s="611" t="n">
        <f aca="false">'Cuenta Ahorro-Inversión-Financi'!H23+'Cuenta Ahorro-Inversión-Financi'!I23+'Cuenta Ahorro-Inversión-Financi'!J23+'Cuenta Ahorro-Inversión-Financi'!P23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3"/>
      <c r="P23" s="612" t="n">
        <v>1180313.33548</v>
      </c>
      <c r="Q23" s="612" t="n">
        <f aca="false">IVA!AU105</f>
        <v>447075.21997</v>
      </c>
      <c r="R23" s="612" t="n">
        <f aca="false">IVA!AU173*0.7</f>
        <v>525160.252624</v>
      </c>
      <c r="S23" s="612" t="n">
        <v>20733.85282</v>
      </c>
      <c r="T23" s="610" t="n">
        <f aca="false">'Cuenta Ahorro-Inversión-Financi'!U23+'Cuenta Ahorro-Inversión-Financi'!V23</f>
        <v>34538039.19109</v>
      </c>
      <c r="U23" s="612" t="n">
        <v>34533885.63759</v>
      </c>
      <c r="V23" s="612" t="n">
        <v>4153.5535</v>
      </c>
      <c r="W23" s="612"/>
      <c r="X23" s="612" t="n">
        <f aca="false">'Cuenta Ahorro-Inversión-Financi'!Y23+'Cuenta Ahorro-Inversión-Financi'!Z23</f>
        <v>661907.51889</v>
      </c>
      <c r="Y23" s="612" t="n">
        <v>416923.45661</v>
      </c>
      <c r="Z23" s="612" t="n">
        <v>244984.06228</v>
      </c>
      <c r="AA23" s="612" t="n">
        <f aca="false">'Cuenta Ahorro-Inversión-Financi'!AB23+'Cuenta Ahorro-Inversión-Financi'!AC23</f>
        <v>406.70874</v>
      </c>
      <c r="AB23" s="612" t="n">
        <v>95.66123</v>
      </c>
      <c r="AC23" s="612" t="n">
        <v>311.04751</v>
      </c>
      <c r="AD23" s="610" t="n">
        <f aca="false">'Cuenta Ahorro-Inversión-Financi'!AE23+'Cuenta Ahorro-Inversión-Financi'!AF23</f>
        <v>45723.01392</v>
      </c>
      <c r="AE23" s="612" t="n">
        <v>45723.01392</v>
      </c>
      <c r="AF23" s="612"/>
      <c r="AG23" s="610" t="n">
        <f aca="false">'Cuenta Ahorro-Inversión-Financi'!AD23+'Cuenta Ahorro-Inversión-Financi'!F23</f>
        <v>54042177.57534</v>
      </c>
      <c r="AH23" s="610" t="n">
        <v>13371108.30119</v>
      </c>
      <c r="AI23" s="613" t="n">
        <f aca="false">'Cálculo masa impuestos copartic'!V19*1000</f>
        <v>13371549.19129</v>
      </c>
      <c r="AJ23" s="613"/>
      <c r="AK23" s="613"/>
      <c r="AL23" s="613"/>
      <c r="AM23" s="613"/>
      <c r="AN23" s="612" t="n">
        <f aca="false">'Cuenta Ahorro-Inversión-Financi'!AH23-('Cuenta Ahorro-Inversión-Financi'!AI23+'Cuenta Ahorro-Inversión-Financi'!AK23+'Cuenta Ahorro-Inversión-Financi'!AL23+'Cuenta Ahorro-Inversión-Financi'!AM23)</f>
        <v>-440.890100000426</v>
      </c>
      <c r="AO23" s="612" t="n">
        <f aca="false">'Cuenta Ahorro-Inversión-Financi'!AI23-'Cuenta Ahorro-Inversión-Financi'!CH23</f>
        <v>7143151.34064</v>
      </c>
      <c r="AP23" s="612" t="n">
        <f aca="false">'Cuenta Ahorro-Inversión-Financi'!AO23</f>
        <v>7143151.34064</v>
      </c>
      <c r="AQ23" s="635" t="s">
        <v>886</v>
      </c>
      <c r="AR23" s="635"/>
      <c r="AS23" s="635"/>
      <c r="AT23" s="615"/>
      <c r="AU23" s="643" t="n">
        <f aca="false">'Cuenta Ahorro-Inversión-Financi'!BS23/'Cuenta Ahorro-Inversión-Financi'!AV23</f>
        <v>0.0372740952353237</v>
      </c>
      <c r="AV23" s="615" t="n">
        <f aca="false">'Cuenta Ahorro-Inversión-Financi'!BF23-'Cuenta Ahorro-Inversión-Financi'!BL23</f>
        <v>43519286.89104</v>
      </c>
      <c r="AW23" s="631" t="n">
        <v>2007</v>
      </c>
      <c r="AX23" s="617" t="n">
        <f aca="false">'Cuenta Ahorro-Inversión-Financi'!AY23+'Cuenta Ahorro-Inversión-Financi'!BC23+'Cuenta Ahorro-Inversión-Financi'!BF23+'Cuenta Ahorro-Inversión-Financi'!BX23</f>
        <v>51409594.72013</v>
      </c>
      <c r="AY23" s="620" t="n">
        <f aca="false">'Cuenta Ahorro-Inversión-Financi'!AZ23+'Cuenta Ahorro-Inversión-Financi'!BA23</f>
        <v>838168.47267</v>
      </c>
      <c r="AZ23" s="618" t="n">
        <v>505911.6808</v>
      </c>
      <c r="BA23" s="618" t="n">
        <v>332256.79187</v>
      </c>
      <c r="BB23" s="618"/>
      <c r="BC23" s="618"/>
      <c r="BD23" s="618"/>
      <c r="BE23" s="618"/>
      <c r="BF23" s="617" t="n">
        <v>43934856.62323</v>
      </c>
      <c r="BG23" s="617"/>
      <c r="BH23" s="617"/>
      <c r="BI23" s="618"/>
      <c r="BJ23" s="618"/>
      <c r="BK23" s="618"/>
      <c r="BL23" s="618" t="n">
        <v>415569.73219</v>
      </c>
      <c r="BM23" s="618" t="n">
        <v>72.76246</v>
      </c>
      <c r="BN23" s="618" t="n">
        <v>6636569.62423</v>
      </c>
      <c r="BO23" s="619" t="n">
        <v>5249926.93218</v>
      </c>
      <c r="BP23" s="619" t="n">
        <v>1385857.89107</v>
      </c>
      <c r="BQ23" s="619" t="n">
        <v>784.80098</v>
      </c>
      <c r="BR23" s="619" t="n">
        <v>5014427.58008</v>
      </c>
      <c r="BS23" s="619" t="n">
        <v>1622142.04415</v>
      </c>
      <c r="BT23" s="618"/>
      <c r="BU23" s="618"/>
      <c r="BV23" s="618"/>
      <c r="BW23" s="618"/>
      <c r="BX23" s="618" t="n">
        <f aca="false">'Cuenta Ahorro-Inversión-Financi'!BN23-'Cuenta Ahorro-Inversión-Financi'!BV23-'Cuenta Ahorro-Inversión-Financi'!BW23</f>
        <v>6636569.62423</v>
      </c>
      <c r="BY23" s="619" t="n">
        <v>3007999.93522</v>
      </c>
      <c r="BZ23" s="617" t="n">
        <f aca="false">'Cuenta Ahorro-Inversión-Financi'!CA23+'Cuenta Ahorro-Inversión-Financi'!CB23+'Cuenta Ahorro-Inversión-Financi'!CF23</f>
        <v>42102.12043</v>
      </c>
      <c r="CA23" s="618" t="n">
        <v>42102.12043</v>
      </c>
      <c r="CB23" s="618"/>
      <c r="CC23" s="618"/>
      <c r="CD23" s="618"/>
      <c r="CE23" s="618"/>
      <c r="CF23" s="618"/>
      <c r="CG23" s="617" t="n">
        <f aca="false">'Cuenta Ahorro-Inversión-Financi'!BZ23+'Cuenta Ahorro-Inversión-Financi'!AX23</f>
        <v>51451696.84056</v>
      </c>
      <c r="CH23" s="617" t="n">
        <v>6228397.85065</v>
      </c>
      <c r="CI23" s="617"/>
      <c r="CJ23" s="617" t="n">
        <f aca="false">2059936262.01/1000</f>
        <v>2059936.26201</v>
      </c>
      <c r="CK23" s="617" t="n">
        <f aca="false">3211198804.04/1000</f>
        <v>3211198.80404</v>
      </c>
      <c r="CL23" s="617" t="n">
        <f aca="false">4169261100.58/1000-CK23</f>
        <v>958062.29654</v>
      </c>
      <c r="CM23" s="617"/>
      <c r="CN23" s="617"/>
      <c r="CO23" s="617" t="n">
        <f aca="false">'Cuenta Ahorro-Inversión-Financi'!F23-'Cuenta Ahorro-Inversión-Financi'!AX23</f>
        <v>2586859.84129</v>
      </c>
      <c r="CP23" s="618" t="n">
        <f aca="false">'Cuenta Ahorro-Inversión-Financi'!CO23+'Cuenta Ahorro-Inversión-Financi'!AD23-'Cuenta Ahorro-Inversión-Financi'!BZ23</f>
        <v>2590480.73478</v>
      </c>
      <c r="CQ23" s="618" t="n">
        <f aca="false">'Cuenta Ahorro-Inversión-Financi'!T23-'Cuenta Ahorro-Inversión-Financi'!BF23-'Cuenta Ahorro-Inversión-Financi'!BN23</f>
        <v>-16033387.05637</v>
      </c>
      <c r="CR23" s="618" t="n">
        <f aca="false">'Cuenta Ahorro-Inversión-Financi'!F23-'Cuenta Ahorro-Inversión-Financi'!BF23-'Cuenta Ahorro-Inversión-Financi'!BN23-'Cuenta Ahorro-Inversión-Financi'!X23</f>
        <v>2763120.79507</v>
      </c>
      <c r="CS23" s="618"/>
      <c r="CT23" s="637" t="s">
        <v>887</v>
      </c>
      <c r="CU23" s="637"/>
      <c r="CW23" s="600" t="n">
        <v>2008</v>
      </c>
      <c r="CX23" s="98" t="n">
        <f aca="false">'PIB corriente base 1993'!V101*1000</f>
        <v>887643010.77871</v>
      </c>
      <c r="CY23" s="98" t="n">
        <f aca="false">'PIB corriente base 1993'!V102*1000</f>
        <v>1107942840.35203</v>
      </c>
      <c r="CZ23" s="98" t="n">
        <f aca="false">'PIB corriente base 1993'!V103*1000</f>
        <v>1057550793.49456</v>
      </c>
      <c r="DA23" s="98" t="n">
        <f aca="false">'PIB corriente base 1993'!V104*1000</f>
        <v>1077896389.18338</v>
      </c>
      <c r="DB23" s="622" t="n">
        <f aca="false">'PIB corriente base 1993'!V23*1000</f>
        <v>1032758258.45217</v>
      </c>
      <c r="DC23" s="623" t="n">
        <f aca="false">'PIB corriente base 2004'!X56*1000</f>
        <v>1032356873.25936</v>
      </c>
      <c r="DD23" s="98" t="n">
        <f aca="false">'PIB corriente base 2004'!X57*1000</f>
        <v>1213883410.98903</v>
      </c>
      <c r="DE23" s="98" t="n">
        <f aca="false">'PIB corriente base 2004'!X58*1000</f>
        <v>1183692269.70647</v>
      </c>
      <c r="DF23" s="98" t="n">
        <f aca="false">'PIB corriente base 2004'!X59*1000</f>
        <v>1168651808.37968</v>
      </c>
      <c r="DG23" s="622" t="n">
        <f aca="false">('Cuenta Ahorro-Inversión-Financi'!DC23+'Cuenta Ahorro-Inversión-Financi'!DD23+'Cuenta Ahorro-Inversión-Financi'!DE23+'Cuenta Ahorro-Inversión-Financi'!DF23)/4</f>
        <v>1149646090.58364</v>
      </c>
      <c r="DH23" s="456"/>
      <c r="DI23" s="1" t="n">
        <v>2016</v>
      </c>
      <c r="DJ23" s="644" t="n">
        <v>131669079</v>
      </c>
      <c r="DK23" s="456" t="n">
        <f aca="false">'Cuenta Ahorro-Inversión-Financi'!DJ23/1000/'PIB corriente base 2004'!X20</f>
        <v>0.0160022515479057</v>
      </c>
      <c r="DL23" s="28" t="n">
        <v>86485940.4164</v>
      </c>
      <c r="DM23" s="456" t="n">
        <f aca="false">'Cuenta Ahorro-Inversión-Financi'!DL23/1000/'PIB corriente base 2004'!X20</f>
        <v>0.0105109702628087</v>
      </c>
      <c r="DZ23" s="1" t="n">
        <f aca="false">DZ22+1</f>
        <v>2007</v>
      </c>
      <c r="EB23" s="28" t="n">
        <f aca="false">BO23-BV23-BW23</f>
        <v>5249926.93218</v>
      </c>
      <c r="EC23" s="28" t="n">
        <f aca="false">BS23</f>
        <v>1622142.04415</v>
      </c>
      <c r="ED23" s="456" t="n">
        <f aca="false">EB23/1000/'PIB corriente base 2004'!X11</f>
        <v>0.00585289071479428</v>
      </c>
      <c r="EE23" s="456" t="n">
        <f aca="false">EC23/1000/'PIB corriente base 2004'!X11</f>
        <v>0.0018084480471694</v>
      </c>
      <c r="EF23" s="456" t="n">
        <f aca="false">ED23+EE23</f>
        <v>0.00766133876196368</v>
      </c>
    </row>
    <row r="24" customFormat="false" ht="15.75" hidden="false" customHeight="true" outlineLevel="0" collapsed="false">
      <c r="B24" s="456" t="n">
        <f aca="false">'Cuenta Ahorro-Inversión-Financi'!G24/'Cuenta Ahorro-Inversión-Financi'!F24</f>
        <v>0.350399283327923</v>
      </c>
      <c r="C24" s="456" t="n">
        <f aca="false">'Cuenta Ahorro-Inversión-Financi'!T24/'Cuenta Ahorro-Inversión-Financi'!F24</f>
        <v>0.632483582154185</v>
      </c>
      <c r="E24" s="609" t="n">
        <v>2008</v>
      </c>
      <c r="F24" s="625" t="n">
        <f aca="false">'Cuenta Ahorro-Inversión-Financi'!G24+'Cuenta Ahorro-Inversión-Financi'!S24+'Cuenta Ahorro-Inversión-Financi'!T24+'Cuenta Ahorro-Inversión-Financi'!X24+'Cuenta Ahorro-Inversión-Financi'!AA24</f>
        <v>66982576.74096</v>
      </c>
      <c r="G24" s="626" t="n">
        <f aca="false">'Cuenta Ahorro-Inversión-Financi'!H24+'Cuenta Ahorro-Inversión-Financi'!J24+'Cuenta Ahorro-Inversión-Financi'!P24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3"/>
      <c r="P24" s="632" t="n">
        <v>1497742.4803</v>
      </c>
      <c r="Q24" s="632" t="n">
        <f aca="false">IVA!AU106</f>
        <v>555098.17588</v>
      </c>
      <c r="R24" s="632" t="n">
        <f aca="false">IVA!AU174*0.7</f>
        <v>710091.538779</v>
      </c>
      <c r="S24" s="632" t="n">
        <v>27231.56619</v>
      </c>
      <c r="T24" s="625" t="n">
        <f aca="false">'Cuenta Ahorro-Inversión-Financi'!U24+'Cuenta Ahorro-Inversión-Financi'!V24</f>
        <v>42365380.07904</v>
      </c>
      <c r="U24" s="632" t="n">
        <v>42361322.86461</v>
      </c>
      <c r="V24" s="632" t="n">
        <v>4057.21443</v>
      </c>
      <c r="W24" s="632"/>
      <c r="X24" s="632" t="n">
        <f aca="false">'Cuenta Ahorro-Inversión-Financi'!Y24+'Cuenta Ahorro-Inversión-Financi'!Z24</f>
        <v>1117433.63985</v>
      </c>
      <c r="Y24" s="632" t="n">
        <v>328539.00607</v>
      </c>
      <c r="Z24" s="632" t="n">
        <v>788894.63378</v>
      </c>
      <c r="AA24" s="632" t="n">
        <f aca="false">'Cuenta Ahorro-Inversión-Financi'!AB24+'Cuenta Ahorro-Inversión-Financi'!AC24</f>
        <v>1884.57039</v>
      </c>
      <c r="AB24" s="632" t="n">
        <v>118.63177</v>
      </c>
      <c r="AC24" s="632" t="n">
        <v>1765.93862</v>
      </c>
      <c r="AD24" s="625" t="n">
        <f aca="false">'Cuenta Ahorro-Inversión-Financi'!AE24+'Cuenta Ahorro-Inversión-Financi'!AF24</f>
        <v>2914.88647</v>
      </c>
      <c r="AE24" s="632" t="n">
        <v>2914.88647</v>
      </c>
      <c r="AF24" s="632"/>
      <c r="AG24" s="625" t="n">
        <f aca="false">'Cuenta Ahorro-Inversión-Financi'!AD24+'Cuenta Ahorro-Inversión-Financi'!F24</f>
        <v>66985491.62743</v>
      </c>
      <c r="AH24" s="629" t="n">
        <v>17109424.246</v>
      </c>
      <c r="AI24" s="628" t="n">
        <f aca="false">'Cálculo masa impuestos copartic'!V20*1000</f>
        <v>16753835.7595</v>
      </c>
      <c r="AJ24" s="628"/>
      <c r="AK24" s="628"/>
      <c r="AL24" s="628"/>
      <c r="AM24" s="628"/>
      <c r="AN24" s="627" t="n">
        <f aca="false">'Cuenta Ahorro-Inversión-Financi'!AH24-('Cuenta Ahorro-Inversión-Financi'!AI24+'Cuenta Ahorro-Inversión-Financi'!AK24+'Cuenta Ahorro-Inversión-Financi'!AL24+'Cuenta Ahorro-Inversión-Financi'!AM24)</f>
        <v>355588.486499997</v>
      </c>
      <c r="AO24" s="627" t="n">
        <f aca="false">'Cuenta Ahorro-Inversión-Financi'!AI24-'Cuenta Ahorro-Inversión-Financi'!CH24</f>
        <v>8068584.32797</v>
      </c>
      <c r="AP24" s="627" t="n">
        <f aca="false">'Cuenta Ahorro-Inversión-Financi'!AO24</f>
        <v>8068584.32797</v>
      </c>
      <c r="AQ24" s="630" t="s">
        <v>890</v>
      </c>
      <c r="AR24" s="630"/>
      <c r="AS24" s="630"/>
      <c r="AT24" s="615"/>
      <c r="AU24" s="643" t="n">
        <f aca="false">'Cuenta Ahorro-Inversión-Financi'!BS24/'Cuenta Ahorro-Inversión-Financi'!AV24</f>
        <v>0.0366825279422342</v>
      </c>
      <c r="AV24" s="615" t="n">
        <f aca="false">'Cuenta Ahorro-Inversión-Financi'!BF24-'Cuenta Ahorro-Inversión-Financi'!BL24</f>
        <v>55105474.41859</v>
      </c>
      <c r="AW24" s="631" t="n">
        <v>2008</v>
      </c>
      <c r="AX24" s="625" t="n">
        <f aca="false">'Cuenta Ahorro-Inversión-Financi'!AY24+'Cuenta Ahorro-Inversión-Financi'!BC24+'Cuenta Ahorro-Inversión-Financi'!BF24+'Cuenta Ahorro-Inversión-Financi'!BX24</f>
        <v>67153838.42106</v>
      </c>
      <c r="AY24" s="627" t="n">
        <f aca="false">'Cuenta Ahorro-Inversión-Financi'!AZ24+'Cuenta Ahorro-Inversión-Financi'!BA24</f>
        <v>1265908.80827</v>
      </c>
      <c r="AZ24" s="627" t="n">
        <v>903539.73638</v>
      </c>
      <c r="BA24" s="627" t="n">
        <v>362369.07189</v>
      </c>
      <c r="BB24" s="627"/>
      <c r="BC24" s="627"/>
      <c r="BD24" s="627"/>
      <c r="BE24" s="627"/>
      <c r="BF24" s="625" t="n">
        <v>55615821.24168</v>
      </c>
      <c r="BG24" s="625"/>
      <c r="BH24" s="625"/>
      <c r="BI24" s="625"/>
      <c r="BJ24" s="625"/>
      <c r="BK24" s="625"/>
      <c r="BL24" s="627" t="n">
        <v>510346.82309</v>
      </c>
      <c r="BM24" s="627" t="n">
        <v>15.83041</v>
      </c>
      <c r="BN24" s="627" t="n">
        <v>10272108.37111</v>
      </c>
      <c r="BO24" s="628" t="n">
        <v>8299966.38314</v>
      </c>
      <c r="BP24" s="628" t="n">
        <v>1970997.24853</v>
      </c>
      <c r="BQ24" s="628" t="n">
        <v>1144.73944</v>
      </c>
      <c r="BR24" s="628" t="n">
        <v>8250700.26598</v>
      </c>
      <c r="BS24" s="628" t="n">
        <v>2021408.10513</v>
      </c>
      <c r="BT24" s="627"/>
      <c r="BU24" s="627"/>
      <c r="BV24" s="627"/>
      <c r="BW24" s="627"/>
      <c r="BX24" s="627" t="n">
        <f aca="false">'Cuenta Ahorro-Inversión-Financi'!BN24-'Cuenta Ahorro-Inversión-Financi'!BV24-'Cuenta Ahorro-Inversión-Financi'!BW24</f>
        <v>10272108.37111</v>
      </c>
      <c r="BY24" s="628" t="n">
        <v>3992405.35366</v>
      </c>
      <c r="BZ24" s="625" t="n">
        <f aca="false">'Cuenta Ahorro-Inversión-Financi'!CA24+'Cuenta Ahorro-Inversión-Financi'!CB24+'Cuenta Ahorro-Inversión-Financi'!CF24</f>
        <v>51943.68366</v>
      </c>
      <c r="CA24" s="627" t="n">
        <v>51943.68366</v>
      </c>
      <c r="CB24" s="627"/>
      <c r="CC24" s="627"/>
      <c r="CD24" s="627"/>
      <c r="CE24" s="627"/>
      <c r="CF24" s="641"/>
      <c r="CG24" s="625" t="n">
        <f aca="false">'Cuenta Ahorro-Inversión-Financi'!BZ24+'Cuenta Ahorro-Inversión-Financi'!AX24</f>
        <v>67205782.10472</v>
      </c>
      <c r="CH24" s="625" t="n">
        <v>8685251.43153</v>
      </c>
      <c r="CI24" s="625"/>
      <c r="CJ24" s="625" t="n">
        <f aca="false">2527385485.47/1000</f>
        <v>2527385.48547</v>
      </c>
      <c r="CK24" s="625" t="n">
        <f aca="false">4655467380.45/1000</f>
        <v>4655467.38045</v>
      </c>
      <c r="CL24" s="625" t="n">
        <f aca="false">6157865946.06/1000-CK24</f>
        <v>1502398.56561</v>
      </c>
      <c r="CM24" s="625" t="n">
        <v>1341518.04191</v>
      </c>
      <c r="CN24" s="625"/>
      <c r="CO24" s="625" t="n">
        <f aca="false">'Cuenta Ahorro-Inversión-Financi'!F24-'Cuenta Ahorro-Inversión-Financi'!AX24</f>
        <v>-171261.680100001</v>
      </c>
      <c r="CP24" s="627" t="n">
        <f aca="false">'Cuenta Ahorro-Inversión-Financi'!CO24+'Cuenta Ahorro-Inversión-Financi'!AD24-'Cuenta Ahorro-Inversión-Financi'!BZ24</f>
        <v>-220290.477290001</v>
      </c>
      <c r="CQ24" s="627" t="n">
        <f aca="false">'Cuenta Ahorro-Inversión-Financi'!T24-'Cuenta Ahorro-Inversión-Financi'!BF24-'Cuenta Ahorro-Inversión-Financi'!BN24</f>
        <v>-23522549.53375</v>
      </c>
      <c r="CR24" s="627" t="n">
        <f aca="false">'Cuenta Ahorro-Inversión-Financi'!F24-'Cuenta Ahorro-Inversión-Financi'!BF24-'Cuenta Ahorro-Inversión-Financi'!BN24-'Cuenta Ahorro-Inversión-Financi'!X24</f>
        <v>-22786.5116800088</v>
      </c>
      <c r="CS24" s="627"/>
      <c r="CT24" s="634" t="s">
        <v>891</v>
      </c>
      <c r="CU24" s="634"/>
      <c r="CW24" s="600" t="n">
        <v>2009</v>
      </c>
      <c r="CX24" s="605" t="n">
        <f aca="false">'PIB corriente base 1993'!V105*1000</f>
        <v>992962248.598719</v>
      </c>
      <c r="CY24" s="605" t="n">
        <f aca="false">'PIB corriente base 1993'!V106*1000</f>
        <v>1195372438.8149</v>
      </c>
      <c r="CZ24" s="605" t="n">
        <f aca="false">'PIB corriente base 1993'!V107*1000</f>
        <v>1168794907.45954</v>
      </c>
      <c r="DA24" s="605" t="n">
        <f aca="false">'PIB corriente base 1993'!V108*1000</f>
        <v>1224703750.59239</v>
      </c>
      <c r="DB24" s="606" t="n">
        <f aca="false">'PIB corriente base 1993'!V24*1000</f>
        <v>1145458336.36639</v>
      </c>
      <c r="DC24" s="607" t="n">
        <f aca="false">'PIB corriente base 2004'!X60*1000</f>
        <v>1112307488.3263</v>
      </c>
      <c r="DD24" s="605" t="n">
        <f aca="false">'PIB corriente base 2004'!X61*1000</f>
        <v>1251464727.93387</v>
      </c>
      <c r="DE24" s="605" t="n">
        <f aca="false">'PIB corriente base 2004'!X62*1000</f>
        <v>1269734745.26708</v>
      </c>
      <c r="DF24" s="605" t="n">
        <f aca="false">'PIB corriente base 2004'!X63*1000</f>
        <v>1358210114.17283</v>
      </c>
      <c r="DG24" s="606" t="n">
        <f aca="false">('Cuenta Ahorro-Inversión-Financi'!DC24+'Cuenta Ahorro-Inversión-Financi'!DD24+'Cuenta Ahorro-Inversión-Financi'!DE24+'Cuenta Ahorro-Inversión-Financi'!DF24)/4</f>
        <v>1247929268.92502</v>
      </c>
      <c r="DI24" s="1" t="n">
        <v>2017</v>
      </c>
      <c r="DJ24" s="453" t="n">
        <v>172838482</v>
      </c>
      <c r="DK24" s="456" t="n">
        <f aca="false">'Cuenta Ahorro-Inversión-Financi'!DJ24/1000/'PIB corriente base 2004'!X21</f>
        <v>0.0162369256572215</v>
      </c>
      <c r="DL24" s="28" t="n">
        <v>109125800</v>
      </c>
      <c r="DM24" s="456" t="n">
        <f aca="false">'Cuenta Ahorro-Inversión-Financi'!DL24/1000/'PIB corriente base 2004'!X21</f>
        <v>0.0102515798645166</v>
      </c>
      <c r="DZ24" s="1" t="n">
        <f aca="false">DZ23+1</f>
        <v>2008</v>
      </c>
      <c r="EB24" s="28" t="n">
        <f aca="false">BO24-BV24-BW24</f>
        <v>8299966.38314</v>
      </c>
      <c r="EC24" s="28" t="n">
        <f aca="false">BS24</f>
        <v>2021408.10513</v>
      </c>
      <c r="ED24" s="456" t="n">
        <f aca="false">EB24/1000/'PIB corriente base 2004'!X12</f>
        <v>0.00721958387987593</v>
      </c>
      <c r="EE24" s="456" t="n">
        <f aca="false">EC24/1000/'PIB corriente base 2004'!X12</f>
        <v>0.00175828728657165</v>
      </c>
      <c r="EF24" s="456" t="n">
        <f aca="false">ED24+EE24</f>
        <v>0.00897787116644758</v>
      </c>
    </row>
    <row r="25" customFormat="false" ht="15.75" hidden="false" customHeight="true" outlineLevel="0" collapsed="false">
      <c r="A25" s="456" t="n">
        <f aca="false">'Cuenta Ahorro-Inversión-Financi'!X25/'Cuenta Ahorro-Inversión-Financi'!F25</f>
        <v>0.0872321495710536</v>
      </c>
      <c r="B25" s="456" t="n">
        <f aca="false">'Cuenta Ahorro-Inversión-Financi'!G25/'Cuenta Ahorro-Inversión-Financi'!F25</f>
        <v>0.261116987678444</v>
      </c>
      <c r="C25" s="456" t="n">
        <f aca="false">'Cuenta Ahorro-Inversión-Financi'!T25/'Cuenta Ahorro-Inversión-Financi'!F25</f>
        <v>0.651200735180599</v>
      </c>
      <c r="E25" s="609" t="n">
        <v>2009</v>
      </c>
      <c r="F25" s="610" t="n">
        <f aca="false">'Cuenta Ahorro-Inversión-Financi'!G25+'Cuenta Ahorro-Inversión-Financi'!S25+'Cuenta Ahorro-Inversión-Financi'!T25+'Cuenta Ahorro-Inversión-Financi'!X25+'Cuenta Ahorro-Inversión-Financi'!AA25</f>
        <v>97293410.08669</v>
      </c>
      <c r="G25" s="611" t="n">
        <f aca="false">'Cuenta Ahorro-Inversión-Financi'!H25+'Cuenta Ahorro-Inversión-Financi'!I25+'Cuenta Ahorro-Inversión-Financi'!J25+'Cuenta Ahorro-Inversión-Financi'!P25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3"/>
      <c r="P25" s="612" t="n">
        <v>1742986.18</v>
      </c>
      <c r="Q25" s="612" t="n">
        <f aca="false">IVA!AU107</f>
        <v>658385</v>
      </c>
      <c r="R25" s="612" t="n">
        <f aca="false">IVA!AU175*0.7</f>
        <v>900098.5</v>
      </c>
      <c r="S25" s="612" t="n">
        <v>42958.91278</v>
      </c>
      <c r="T25" s="610" t="n">
        <f aca="false">'Cuenta Ahorro-Inversión-Financi'!U25+'Cuenta Ahorro-Inversión-Financi'!V25</f>
        <v>63357540.17668</v>
      </c>
      <c r="U25" s="612" t="n">
        <v>63354298.60392</v>
      </c>
      <c r="V25" s="612" t="n">
        <v>3241.57276</v>
      </c>
      <c r="W25" s="612"/>
      <c r="X25" s="612" t="n">
        <f aca="false">'Cuenta Ahorro-Inversión-Financi'!Y25+'Cuenta Ahorro-Inversión-Financi'!Z25</f>
        <v>8487113.30096</v>
      </c>
      <c r="Y25" s="612" t="n">
        <v>841116.85969</v>
      </c>
      <c r="Z25" s="612" t="n">
        <v>7645996.44127</v>
      </c>
      <c r="AA25" s="612" t="n">
        <f aca="false">'Cuenta Ahorro-Inversión-Financi'!AB25+'Cuenta Ahorro-Inversión-Financi'!AC25</f>
        <v>835.53347</v>
      </c>
      <c r="AB25" s="612" t="n">
        <v>35.95918</v>
      </c>
      <c r="AC25" s="612" t="n">
        <v>799.57429</v>
      </c>
      <c r="AD25" s="610" t="n">
        <f aca="false">'Cuenta Ahorro-Inversión-Financi'!AE25+'Cuenta Ahorro-Inversión-Financi'!AF25</f>
        <v>1032.18863</v>
      </c>
      <c r="AE25" s="612" t="n">
        <v>1032.18863</v>
      </c>
      <c r="AF25" s="612"/>
      <c r="AG25" s="610" t="n">
        <f aca="false">'Cuenta Ahorro-Inversión-Financi'!AD25+'Cuenta Ahorro-Inversión-Financi'!F25</f>
        <v>97294442.27532</v>
      </c>
      <c r="AH25" s="610" t="n">
        <v>18708526.44</v>
      </c>
      <c r="AI25" s="613" t="n">
        <f aca="false">'Cálculo masa impuestos copartic'!V21*1000</f>
        <v>18241431.1264</v>
      </c>
      <c r="AJ25" s="613"/>
      <c r="AK25" s="613"/>
      <c r="AL25" s="613"/>
      <c r="AM25" s="613"/>
      <c r="AN25" s="612" t="n">
        <f aca="false">'Cuenta Ahorro-Inversión-Financi'!AH25-('Cuenta Ahorro-Inversión-Financi'!AI25+'Cuenta Ahorro-Inversión-Financi'!AK25+'Cuenta Ahorro-Inversión-Financi'!AL25+'Cuenta Ahorro-Inversión-Financi'!AM25)</f>
        <v>467095.313600004</v>
      </c>
      <c r="AO25" s="612" t="n">
        <f aca="false">'Cuenta Ahorro-Inversión-Financi'!AI25-'Cuenta Ahorro-Inversión-Financi'!CH25</f>
        <v>6220547.03143</v>
      </c>
      <c r="AP25" s="612" t="n">
        <f aca="false">'Cuenta Ahorro-Inversión-Financi'!AO25</f>
        <v>6220547.03143</v>
      </c>
      <c r="AQ25" s="635" t="s">
        <v>892</v>
      </c>
      <c r="AR25" s="635"/>
      <c r="AS25" s="635"/>
      <c r="AT25" s="615"/>
      <c r="AU25" s="643" t="n">
        <f aca="false">'Cuenta Ahorro-Inversión-Financi'!BS25/'Cuenta Ahorro-Inversión-Financi'!AV25</f>
        <v>0.0362433593699456</v>
      </c>
      <c r="AV25" s="615" t="n">
        <f aca="false">'Cuenta Ahorro-Inversión-Financi'!BF25-'Cuenta Ahorro-Inversión-Financi'!BL25</f>
        <v>70288442.19453</v>
      </c>
      <c r="AW25" s="631" t="n">
        <v>2009</v>
      </c>
      <c r="AX25" s="617" t="n">
        <f aca="false">'Cuenta Ahorro-Inversión-Financi'!AY25+'Cuenta Ahorro-Inversión-Financi'!BC25+'Cuenta Ahorro-Inversión-Financi'!BF25+'Cuenta Ahorro-Inversión-Financi'!BX25</f>
        <v>88595174.22517</v>
      </c>
      <c r="AY25" s="620" t="n">
        <f aca="false">'Cuenta Ahorro-Inversión-Financi'!AZ25+'Cuenta Ahorro-Inversión-Financi'!BA25</f>
        <v>2218502.32568</v>
      </c>
      <c r="AZ25" s="618" t="n">
        <v>1525051.56659</v>
      </c>
      <c r="BA25" s="618" t="n">
        <v>693450.75909</v>
      </c>
      <c r="BB25" s="618"/>
      <c r="BC25" s="618" t="n">
        <v>4339.80456</v>
      </c>
      <c r="BD25" s="618"/>
      <c r="BE25" s="618"/>
      <c r="BF25" s="617" t="n">
        <v>70902691.971</v>
      </c>
      <c r="BG25" s="617"/>
      <c r="BH25" s="617"/>
      <c r="BI25" s="618"/>
      <c r="BJ25" s="618"/>
      <c r="BK25" s="618"/>
      <c r="BL25" s="618" t="n">
        <v>614249.77647</v>
      </c>
      <c r="BM25" s="618" t="n">
        <v>24.29423</v>
      </c>
      <c r="BN25" s="618" t="n">
        <v>15469640.12393</v>
      </c>
      <c r="BO25" s="619" t="n">
        <v>12621171.19175</v>
      </c>
      <c r="BP25" s="619" t="n">
        <v>2847339.83801</v>
      </c>
      <c r="BQ25" s="619" t="n">
        <v>1129.09417</v>
      </c>
      <c r="BR25" s="619" t="n">
        <v>12922150.85392</v>
      </c>
      <c r="BS25" s="619" t="n">
        <v>2547489.27001</v>
      </c>
      <c r="BT25" s="618"/>
      <c r="BU25" s="618"/>
      <c r="BV25" s="618"/>
      <c r="BW25" s="618"/>
      <c r="BX25" s="618" t="n">
        <f aca="false">'Cuenta Ahorro-Inversión-Financi'!BN25-'Cuenta Ahorro-Inversión-Financi'!BV25-'Cuenta Ahorro-Inversión-Financi'!BW25</f>
        <v>15469640.12393</v>
      </c>
      <c r="BY25" s="619" t="n">
        <v>5394829.10802</v>
      </c>
      <c r="BZ25" s="617" t="n">
        <f aca="false">'Cuenta Ahorro-Inversión-Financi'!CA25+'Cuenta Ahorro-Inversión-Financi'!CB25+'Cuenta Ahorro-Inversión-Financi'!CF25</f>
        <v>89646.66777</v>
      </c>
      <c r="CA25" s="618" t="n">
        <v>89646.66777</v>
      </c>
      <c r="CB25" s="618"/>
      <c r="CC25" s="618"/>
      <c r="CD25" s="618"/>
      <c r="CE25" s="618"/>
      <c r="CF25" s="618"/>
      <c r="CG25" s="617" t="n">
        <f aca="false">'Cuenta Ahorro-Inversión-Financi'!BZ25+'Cuenta Ahorro-Inversión-Financi'!AX25</f>
        <v>88684820.89294</v>
      </c>
      <c r="CH25" s="617" t="n">
        <v>12020884.09497</v>
      </c>
      <c r="CI25" s="617"/>
      <c r="CJ25" s="617" t="n">
        <f aca="false">3449309243.74/1000</f>
        <v>3449309.24374</v>
      </c>
      <c r="CK25" s="617" t="n">
        <f aca="false">6829474740.36/1000</f>
        <v>6829474.74036</v>
      </c>
      <c r="CL25" s="617" t="n">
        <f aca="false">8571574851.23/1000-CK25</f>
        <v>1742100.11087</v>
      </c>
      <c r="CM25" s="617" t="n">
        <v>2090315.13795</v>
      </c>
      <c r="CN25" s="617"/>
      <c r="CO25" s="617" t="n">
        <f aca="false">'Cuenta Ahorro-Inversión-Financi'!F25-'Cuenta Ahorro-Inversión-Financi'!AX25</f>
        <v>8698235.86152002</v>
      </c>
      <c r="CP25" s="618" t="n">
        <f aca="false">'Cuenta Ahorro-Inversión-Financi'!CO25+'Cuenta Ahorro-Inversión-Financi'!AD25-'Cuenta Ahorro-Inversión-Financi'!BZ25</f>
        <v>8609621.38238002</v>
      </c>
      <c r="CQ25" s="618" t="n">
        <f aca="false">'Cuenta Ahorro-Inversión-Financi'!T25-'Cuenta Ahorro-Inversión-Financi'!BF25-'Cuenta Ahorro-Inversión-Financi'!BN25</f>
        <v>-23014791.91825</v>
      </c>
      <c r="CR25" s="618" t="n">
        <f aca="false">'Cuenta Ahorro-Inversión-Financi'!F25-'Cuenta Ahorro-Inversión-Financi'!BF25-'Cuenta Ahorro-Inversión-Financi'!BN25-'Cuenta Ahorro-Inversión-Financi'!X25</f>
        <v>2433964.69080001</v>
      </c>
      <c r="CS25" s="618"/>
      <c r="CT25" s="637" t="s">
        <v>893</v>
      </c>
      <c r="CU25" s="637"/>
      <c r="CW25" s="600" t="n">
        <v>2010</v>
      </c>
      <c r="CX25" s="98" t="n">
        <f aca="false">'PIB corriente base 1993'!V109*1000</f>
        <v>1217380793.94883</v>
      </c>
      <c r="CY25" s="98" t="n">
        <f aca="false">'PIB corriente base 1993'!V110*1000</f>
        <v>1508285665.01389</v>
      </c>
      <c r="CZ25" s="98" t="n">
        <f aca="false">'PIB corriente base 1993'!V111*1000</f>
        <v>1465856669.30236</v>
      </c>
      <c r="DA25" s="98" t="n">
        <f aca="false">'PIB corriente base 1993'!V112*1000</f>
        <v>1579098386.12358</v>
      </c>
      <c r="DB25" s="622" t="n">
        <f aca="false">'PIB corriente base 1993'!V25*1000</f>
        <v>1442655378.59716</v>
      </c>
      <c r="DC25" s="623" t="n">
        <f aca="false">'PIB corriente base 2004'!X64*1000</f>
        <v>1418857949.96651</v>
      </c>
      <c r="DD25" s="98" t="n">
        <f aca="false">'PIB corriente base 2004'!X65*1000</f>
        <v>1686066954.45778</v>
      </c>
      <c r="DE25" s="98" t="n">
        <f aca="false">'PIB corriente base 2004'!X66*1000</f>
        <v>1712834548.93829</v>
      </c>
      <c r="DF25" s="98" t="n">
        <f aca="false">'PIB corriente base 2004'!X67*1000</f>
        <v>1829124250.41574</v>
      </c>
      <c r="DG25" s="622" t="n">
        <f aca="false">('Cuenta Ahorro-Inversión-Financi'!DC25+'Cuenta Ahorro-Inversión-Financi'!DD25+'Cuenta Ahorro-Inversión-Financi'!DE25+'Cuenta Ahorro-Inversión-Financi'!DF25)/4</f>
        <v>1661720925.94458</v>
      </c>
      <c r="DM25" s="456"/>
      <c r="DT25" s="1" t="n">
        <v>103530.79</v>
      </c>
      <c r="DZ25" s="1" t="n">
        <f aca="false">DZ24+1</f>
        <v>2009</v>
      </c>
      <c r="EB25" s="28" t="n">
        <f aca="false">BO25-BV25-BW25</f>
        <v>12621171.19175</v>
      </c>
      <c r="EC25" s="28" t="n">
        <f aca="false">BS25</f>
        <v>2547489.27001</v>
      </c>
      <c r="ED25" s="456" t="n">
        <f aca="false">EB25/1000/'PIB corriente base 2004'!X13</f>
        <v>0.0101136911410228</v>
      </c>
      <c r="EE25" s="456" t="n">
        <f aca="false">EC25/1000/'PIB corriente base 2004'!X13</f>
        <v>0.0020413731238185</v>
      </c>
      <c r="EF25" s="456" t="n">
        <f aca="false">ED25+EE25</f>
        <v>0.0121550642648413</v>
      </c>
    </row>
    <row r="26" customFormat="false" ht="15.75" hidden="false" customHeight="true" outlineLevel="0" collapsed="false">
      <c r="A26" s="456" t="n">
        <f aca="false">'Cuenta Ahorro-Inversión-Financi'!X26/'Cuenta Ahorro-Inversión-Financi'!F26</f>
        <v>0.068668240823353</v>
      </c>
      <c r="B26" s="456" t="n">
        <f aca="false">'Cuenta Ahorro-Inversión-Financi'!G26/'Cuenta Ahorro-Inversión-Financi'!F26</f>
        <v>0.269485444028308</v>
      </c>
      <c r="C26" s="456" t="n">
        <f aca="false">'Cuenta Ahorro-Inversión-Financi'!T26/'Cuenta Ahorro-Inversión-Financi'!F26</f>
        <v>0.661062378126772</v>
      </c>
      <c r="E26" s="609" t="n">
        <v>2010</v>
      </c>
      <c r="F26" s="625" t="n">
        <f aca="false">'Cuenta Ahorro-Inversión-Financi'!G26+'Cuenta Ahorro-Inversión-Financi'!S26+'Cuenta Ahorro-Inversión-Financi'!T26+'Cuenta Ahorro-Inversión-Financi'!X26+'Cuenta Ahorro-Inversión-Financi'!AA26</f>
        <v>126910598.63596</v>
      </c>
      <c r="G26" s="626" t="n">
        <f aca="false">'Cuenta Ahorro-Inversión-Financi'!H26+'Cuenta Ahorro-Inversión-Financi'!I26+'Cuenta Ahorro-Inversión-Financi'!J26+'Cuenta Ahorro-Inversión-Financi'!P26</f>
        <v>34200559.02531</v>
      </c>
      <c r="H26" s="632" t="n">
        <v>15263717.30188</v>
      </c>
      <c r="I26" s="632"/>
      <c r="J26" s="632" t="n">
        <v>16702328.02343</v>
      </c>
      <c r="K26" s="633" t="n">
        <v>11741500</v>
      </c>
      <c r="L26" s="633" t="n">
        <v>4960800</v>
      </c>
      <c r="M26" s="633" t="n">
        <f aca="false">IVA!AU125</f>
        <v>3640225</v>
      </c>
      <c r="N26" s="633" t="n">
        <f aca="false">IVA!AU159</f>
        <v>1335615.33</v>
      </c>
      <c r="O26" s="633"/>
      <c r="P26" s="632" t="n">
        <v>2234513.7</v>
      </c>
      <c r="Q26" s="632" t="n">
        <v>771500</v>
      </c>
      <c r="R26" s="632" t="n">
        <v>1463000</v>
      </c>
      <c r="S26" s="632" t="n">
        <v>98628.95631</v>
      </c>
      <c r="T26" s="625" t="n">
        <f aca="false">'Cuenta Ahorro-Inversión-Financi'!U26+'Cuenta Ahorro-Inversión-Financi'!V26</f>
        <v>83895822.14378</v>
      </c>
      <c r="U26" s="632" t="n">
        <v>83892477.24184</v>
      </c>
      <c r="V26" s="632" t="n">
        <v>3344.90194</v>
      </c>
      <c r="W26" s="632"/>
      <c r="X26" s="632" t="n">
        <f aca="false">'Cuenta Ahorro-Inversión-Financi'!Y26+'Cuenta Ahorro-Inversión-Financi'!Z26</f>
        <v>8714727.55017</v>
      </c>
      <c r="Y26" s="632" t="n">
        <v>1771002.85036</v>
      </c>
      <c r="Z26" s="632" t="n">
        <v>6943724.69981</v>
      </c>
      <c r="AA26" s="632" t="n">
        <f aca="false">'Cuenta Ahorro-Inversión-Financi'!AB26+'Cuenta Ahorro-Inversión-Financi'!AC26</f>
        <v>860.96039</v>
      </c>
      <c r="AB26" s="632"/>
      <c r="AC26" s="632" t="n">
        <v>860.96039</v>
      </c>
      <c r="AD26" s="625" t="n">
        <f aca="false">'Cuenta Ahorro-Inversión-Financi'!AE26+'Cuenta Ahorro-Inversión-Financi'!AF26</f>
        <v>75.02276</v>
      </c>
      <c r="AE26" s="632" t="n">
        <v>75.02276</v>
      </c>
      <c r="AF26" s="632"/>
      <c r="AG26" s="625" t="n">
        <f aca="false">'Cuenta Ahorro-Inversión-Financi'!AD26+'Cuenta Ahorro-Inversión-Financi'!F26</f>
        <v>126910673.65872</v>
      </c>
      <c r="AH26" s="629" t="n">
        <v>24603896.96684</v>
      </c>
      <c r="AI26" s="628" t="n">
        <f aca="false">'Cálculo masa impuestos copartic'!V22*1000</f>
        <v>24500782.05837</v>
      </c>
      <c r="AJ26" s="628"/>
      <c r="AK26" s="628" t="n">
        <v>79500</v>
      </c>
      <c r="AL26" s="628"/>
      <c r="AM26" s="628"/>
      <c r="AN26" s="627" t="n">
        <f aca="false">'Cuenta Ahorro-Inversión-Financi'!AH26-('Cuenta Ahorro-Inversión-Financi'!AI26+'Cuenta Ahorro-Inversión-Financi'!AK26+'Cuenta Ahorro-Inversión-Financi'!AL26+'Cuenta Ahorro-Inversión-Financi'!AM26)</f>
        <v>23614.9084699973</v>
      </c>
      <c r="AO26" s="627" t="n">
        <f aca="false">'Cuenta Ahorro-Inversión-Financi'!AI26-'Cuenta Ahorro-Inversión-Financi'!CH26+'Cuenta Ahorro-Inversión-Financi'!AK26</f>
        <v>8023574.68979</v>
      </c>
      <c r="AP26" s="627" t="n">
        <f aca="false">'Cuenta Ahorro-Inversión-Financi'!AO26</f>
        <v>8023574.68979</v>
      </c>
      <c r="AQ26" s="630" t="s">
        <v>894</v>
      </c>
      <c r="AR26" s="630"/>
      <c r="AS26" s="630"/>
      <c r="AT26" s="615"/>
      <c r="AU26" s="643" t="n">
        <f aca="false">'Cuenta Ahorro-Inversión-Financi'!BS26/'Cuenta Ahorro-Inversión-Financi'!AV26</f>
        <v>0.0361163487499761</v>
      </c>
      <c r="AV26" s="615" t="n">
        <f aca="false">'Cuenta Ahorro-Inversión-Financi'!BF26-'Cuenta Ahorro-Inversión-Financi'!BL26</f>
        <v>87610791.81245</v>
      </c>
      <c r="AW26" s="631" t="n">
        <v>2010</v>
      </c>
      <c r="AX26" s="625" t="n">
        <f aca="false">'Cuenta Ahorro-Inversión-Financi'!AY26+'Cuenta Ahorro-Inversión-Financi'!BC26+'Cuenta Ahorro-Inversión-Financi'!BF26+'Cuenta Ahorro-Inversión-Financi'!BX26</f>
        <v>117002353.53762</v>
      </c>
      <c r="AY26" s="627" t="n">
        <f aca="false">'Cuenta Ahorro-Inversión-Financi'!AZ26+'Cuenta Ahorro-Inversión-Financi'!BA26</f>
        <v>3204177.57701</v>
      </c>
      <c r="AZ26" s="627" t="n">
        <v>2053309.91602</v>
      </c>
      <c r="BA26" s="627" t="n">
        <v>1150867.66099</v>
      </c>
      <c r="BB26" s="627"/>
      <c r="BC26" s="627" t="n">
        <v>7486.75504</v>
      </c>
      <c r="BD26" s="627"/>
      <c r="BE26" s="627"/>
      <c r="BF26" s="625" t="n">
        <v>88357565.53045</v>
      </c>
      <c r="BG26" s="625"/>
      <c r="BH26" s="625"/>
      <c r="BI26" s="625"/>
      <c r="BJ26" s="625"/>
      <c r="BK26" s="625"/>
      <c r="BL26" s="627" t="n">
        <v>746773.718</v>
      </c>
      <c r="BM26" s="627" t="n">
        <v>43.72635</v>
      </c>
      <c r="BN26" s="627" t="n">
        <v>25433123.67512</v>
      </c>
      <c r="BO26" s="628" t="n">
        <v>22539373.99497</v>
      </c>
      <c r="BP26" s="628" t="n">
        <v>2892828.73941</v>
      </c>
      <c r="BQ26" s="628" t="n">
        <v>920.94074</v>
      </c>
      <c r="BR26" s="628" t="n">
        <v>22268941.76376</v>
      </c>
      <c r="BS26" s="628" t="n">
        <v>3164181.91136</v>
      </c>
      <c r="BT26" s="627"/>
      <c r="BU26" s="627"/>
      <c r="BV26" s="627"/>
      <c r="BW26" s="627"/>
      <c r="BX26" s="627" t="n">
        <f aca="false">'Cuenta Ahorro-Inversión-Financi'!BN26-'Cuenta Ahorro-Inversión-Financi'!BV26-'Cuenta Ahorro-Inversión-Financi'!BW26</f>
        <v>25433123.67512</v>
      </c>
      <c r="BY26" s="628" t="n">
        <v>6057010.65077</v>
      </c>
      <c r="BZ26" s="625" t="n">
        <f aca="false">'Cuenta Ahorro-Inversión-Financi'!CA26+'Cuenta Ahorro-Inversión-Financi'!CB26+'Cuenta Ahorro-Inversión-Financi'!CF26</f>
        <v>237204.35752</v>
      </c>
      <c r="CA26" s="627" t="n">
        <v>237204.35752</v>
      </c>
      <c r="CB26" s="627"/>
      <c r="CC26" s="627"/>
      <c r="CD26" s="627"/>
      <c r="CE26" s="627"/>
      <c r="CF26" s="641"/>
      <c r="CG26" s="625" t="n">
        <f aca="false">'Cuenta Ahorro-Inversión-Financi'!BZ26+'Cuenta Ahorro-Inversión-Financi'!AX26</f>
        <v>117239557.89514</v>
      </c>
      <c r="CH26" s="645" t="n">
        <v>16556707.36858</v>
      </c>
      <c r="CI26" s="645"/>
      <c r="CJ26" s="645" t="n">
        <f aca="false">4575635745.62/1000</f>
        <v>4575635.74562</v>
      </c>
      <c r="CK26" s="645" t="n">
        <f aca="false">9937274669.41/1000</f>
        <v>9937274.66941</v>
      </c>
      <c r="CL26" s="645" t="n">
        <f aca="false">11981071622.96/1000-CK26</f>
        <v>2043796.95355</v>
      </c>
      <c r="CM26" s="645" t="n">
        <v>2146300</v>
      </c>
      <c r="CN26" s="645"/>
      <c r="CO26" s="625" t="n">
        <f aca="false">'Cuenta Ahorro-Inversión-Financi'!F26-'Cuenta Ahorro-Inversión-Financi'!AX26</f>
        <v>9908245.09834002</v>
      </c>
      <c r="CP26" s="627" t="n">
        <f aca="false">'Cuenta Ahorro-Inversión-Financi'!CO26+'Cuenta Ahorro-Inversión-Financi'!AD26-'Cuenta Ahorro-Inversión-Financi'!BZ26</f>
        <v>9671115.76358002</v>
      </c>
      <c r="CQ26" s="627" t="n">
        <f aca="false">'Cuenta Ahorro-Inversión-Financi'!T26-'Cuenta Ahorro-Inversión-Financi'!BF26-'Cuenta Ahorro-Inversión-Financi'!BN26</f>
        <v>-29894867.06179</v>
      </c>
      <c r="CR26" s="627" t="n">
        <f aca="false">'Cuenta Ahorro-Inversión-Financi'!F26-'Cuenta Ahorro-Inversión-Financi'!BF26-'Cuenta Ahorro-Inversión-Financi'!BN26-'Cuenta Ahorro-Inversión-Financi'!X26</f>
        <v>4405181.88022001</v>
      </c>
      <c r="CS26" s="627"/>
      <c r="CT26" s="634" t="s">
        <v>895</v>
      </c>
      <c r="CU26" s="634"/>
      <c r="CW26" s="600" t="n">
        <v>2011</v>
      </c>
      <c r="CX26" s="605" t="n">
        <f aca="false">'PIB corriente base 1993'!V113*1000</f>
        <v>1567580176.90291</v>
      </c>
      <c r="CY26" s="605" t="n">
        <f aca="false">'PIB corriente base 1993'!V114*1000</f>
        <v>1976227335.64862</v>
      </c>
      <c r="CZ26" s="605" t="n">
        <f aca="false">'PIB corriente base 1993'!V115*1000</f>
        <v>1865390901.29288</v>
      </c>
      <c r="DA26" s="605" t="n">
        <f aca="false">'PIB corriente base 1993'!V116*1000</f>
        <v>1958890125.10449</v>
      </c>
      <c r="DB26" s="606" t="n">
        <f aca="false">'PIB corriente base 1993'!V26*1000</f>
        <v>1842022134.73722</v>
      </c>
      <c r="DC26" s="607" t="n">
        <f aca="false">'PIB corriente base 2004'!X68*1000</f>
        <v>1888827151.8458</v>
      </c>
      <c r="DD26" s="605" t="n">
        <f aca="false">'PIB corriente base 2004'!X69*1000</f>
        <v>2237123835.41491</v>
      </c>
      <c r="DE26" s="605" t="n">
        <f aca="false">'PIB corriente base 2004'!X70*1000</f>
        <v>2250487263.79217</v>
      </c>
      <c r="DF26" s="605" t="n">
        <f aca="false">'PIB corriente base 2004'!X71*1000</f>
        <v>2339658163.47023</v>
      </c>
      <c r="DG26" s="606" t="n">
        <f aca="false">('Cuenta Ahorro-Inversión-Financi'!DC26+'Cuenta Ahorro-Inversión-Financi'!DD26+'Cuenta Ahorro-Inversión-Financi'!DE26+'Cuenta Ahorro-Inversión-Financi'!DF26)/4</f>
        <v>2179024103.63078</v>
      </c>
      <c r="DT26" s="1" t="n">
        <v>38970.96</v>
      </c>
      <c r="DZ26" s="1" t="n">
        <f aca="false">DZ25+1</f>
        <v>2010</v>
      </c>
      <c r="EB26" s="28" t="n">
        <f aca="false">BO26-BV26-BW26</f>
        <v>22539373.99497</v>
      </c>
      <c r="EC26" s="28" t="n">
        <f aca="false">BS26</f>
        <v>3164181.91136</v>
      </c>
      <c r="ED26" s="456" t="n">
        <f aca="false">EB26/1000/'PIB corriente base 2004'!X14</f>
        <v>0.0135638744406843</v>
      </c>
      <c r="EE26" s="456" t="n">
        <f aca="false">EC26/1000/'PIB corriente base 2004'!X14</f>
        <v>0.00190415963472409</v>
      </c>
      <c r="EF26" s="456" t="n">
        <f aca="false">ED26+EE26</f>
        <v>0.0154680340754084</v>
      </c>
    </row>
    <row r="27" customFormat="false" ht="15.75" hidden="false" customHeight="true" outlineLevel="0" collapsed="false">
      <c r="A27" s="456" t="n">
        <f aca="false">'Cuenta Ahorro-Inversión-Financi'!X27/'Cuenta Ahorro-Inversión-Financi'!F27</f>
        <v>0.0651599327288397</v>
      </c>
      <c r="B27" s="456" t="n">
        <f aca="false">'Cuenta Ahorro-Inversión-Financi'!G27/'Cuenta Ahorro-Inversión-Financi'!F27</f>
        <v>0.270015059687846</v>
      </c>
      <c r="C27" s="456" t="n">
        <f aca="false">'Cuenta Ahorro-Inversión-Financi'!T27/'Cuenta Ahorro-Inversión-Financi'!F27</f>
        <v>0.664013268081788</v>
      </c>
      <c r="E27" s="609" t="n">
        <v>2011</v>
      </c>
      <c r="F27" s="610" t="n">
        <f aca="false">'Cuenta Ahorro-Inversión-Financi'!G27+'Cuenta Ahorro-Inversión-Financi'!S27+'Cuenta Ahorro-Inversión-Financi'!T27+'Cuenta Ahorro-Inversión-Financi'!X27+'Cuenta Ahorro-Inversión-Financi'!AA27</f>
        <v>169409001.69506</v>
      </c>
      <c r="G27" s="611" t="n">
        <f aca="false">'Cuenta Ahorro-Inversión-Financi'!H27+'Cuenta Ahorro-Inversión-Financi'!J27+'Cuenta Ahorro-Inversión-Financi'!P27+'Cuenta Ahorro-Inversión-Financi'!S27</f>
        <v>45742981.70435</v>
      </c>
      <c r="H27" s="612" t="n">
        <v>21562243.17099</v>
      </c>
      <c r="I27" s="612"/>
      <c r="J27" s="612" t="n">
        <v>20944519.45477</v>
      </c>
      <c r="K27" s="613" t="n">
        <v>15229500</v>
      </c>
      <c r="L27" s="613" t="n">
        <v>5715000</v>
      </c>
      <c r="M27" s="613" t="n">
        <f aca="false">IVA!AU126</f>
        <v>4027488</v>
      </c>
      <c r="N27" s="613" t="n">
        <f aca="false">IVA!AU160</f>
        <v>1693100.85</v>
      </c>
      <c r="O27" s="613"/>
      <c r="P27" s="612" t="n">
        <v>3098703.1</v>
      </c>
      <c r="Q27" s="612" t="n">
        <v>1013100</v>
      </c>
      <c r="R27" s="612" t="n">
        <v>2085600</v>
      </c>
      <c r="S27" s="612" t="n">
        <v>137515.97859</v>
      </c>
      <c r="T27" s="610" t="n">
        <f aca="false">'Cuenta Ahorro-Inversión-Financi'!U27+'Cuenta Ahorro-Inversión-Financi'!V27</f>
        <v>112489824.85801</v>
      </c>
      <c r="U27" s="612" t="n">
        <v>112486968.44241</v>
      </c>
      <c r="V27" s="612" t="n">
        <v>2856.4156</v>
      </c>
      <c r="W27" s="612"/>
      <c r="X27" s="612" t="n">
        <f aca="false">'Cuenta Ahorro-Inversión-Financi'!Y27+'Cuenta Ahorro-Inversión-Financi'!Z27</f>
        <v>11038679.15411</v>
      </c>
      <c r="Y27" s="612" t="n">
        <v>2490628.58199</v>
      </c>
      <c r="Z27" s="612" t="n">
        <v>8548050.57212</v>
      </c>
      <c r="AA27" s="612"/>
      <c r="AB27" s="612"/>
      <c r="AC27" s="612"/>
      <c r="AD27" s="610" t="n">
        <f aca="false">'Cuenta Ahorro-Inversión-Financi'!AE27+'Cuenta Ahorro-Inversión-Financi'!AF27</f>
        <v>948.60499</v>
      </c>
      <c r="AE27" s="612" t="n">
        <v>948.60499</v>
      </c>
      <c r="AF27" s="612"/>
      <c r="AG27" s="610" t="n">
        <f aca="false">'Cuenta Ahorro-Inversión-Financi'!AD27+'Cuenta Ahorro-Inversión-Financi'!F27</f>
        <v>169409950.30005</v>
      </c>
      <c r="AH27" s="610" t="n">
        <v>35217634.12208</v>
      </c>
      <c r="AI27" s="613" t="n">
        <f aca="false">'Cálculo masa impuestos copartic'!V23*1000</f>
        <v>32436095.45798</v>
      </c>
      <c r="AJ27" s="613"/>
      <c r="AK27" s="613" t="n">
        <v>3599400</v>
      </c>
      <c r="AL27" s="613"/>
      <c r="AM27" s="613"/>
      <c r="AN27" s="612" t="n">
        <f aca="false">'Cuenta Ahorro-Inversión-Financi'!AH27-('Cuenta Ahorro-Inversión-Financi'!AI27+'Cuenta Ahorro-Inversión-Financi'!AK27+'Cuenta Ahorro-Inversión-Financi'!AL27+'Cuenta Ahorro-Inversión-Financi'!AM27)</f>
        <v>-817861.335900009</v>
      </c>
      <c r="AO27" s="612" t="n">
        <f aca="false">'Cuenta Ahorro-Inversión-Financi'!AI27-'Cuenta Ahorro-Inversión-Financi'!CH27+'Cuenta Ahorro-Inversión-Financi'!AK27</f>
        <v>13102459.96482</v>
      </c>
      <c r="AP27" s="612" t="n">
        <f aca="false">'Cuenta Ahorro-Inversión-Financi'!AO27</f>
        <v>13102459.96482</v>
      </c>
      <c r="AQ27" s="635" t="s">
        <v>896</v>
      </c>
      <c r="AR27" s="635"/>
      <c r="AS27" s="635"/>
      <c r="AT27" s="615"/>
      <c r="AU27" s="643" t="n">
        <f aca="false">'Cuenta Ahorro-Inversión-Financi'!BS27/'Cuenta Ahorro-Inversión-Financi'!AV27</f>
        <v>0.0361466329034587</v>
      </c>
      <c r="AV27" s="615" t="n">
        <f aca="false">'Cuenta Ahorro-Inversión-Financi'!BF27-'Cuenta Ahorro-Inversión-Financi'!BL27</f>
        <v>120983243.7165</v>
      </c>
      <c r="AW27" s="631" t="n">
        <v>2011</v>
      </c>
      <c r="AX27" s="617" t="n">
        <f aca="false">'Cuenta Ahorro-Inversión-Financi'!AY27+'Cuenta Ahorro-Inversión-Financi'!BC27+'Cuenta Ahorro-Inversión-Financi'!BF27+'Cuenta Ahorro-Inversión-Financi'!BX27</f>
        <v>155084199.71855</v>
      </c>
      <c r="AY27" s="620" t="n">
        <f aca="false">'Cuenta Ahorro-Inversión-Financi'!AZ27+'Cuenta Ahorro-Inversión-Financi'!BA27</f>
        <v>4769282.46596</v>
      </c>
      <c r="AZ27" s="618" t="n">
        <v>2904073.58275</v>
      </c>
      <c r="BA27" s="618" t="n">
        <v>1865208.88321</v>
      </c>
      <c r="BB27" s="618"/>
      <c r="BC27" s="618" t="n">
        <v>7431.09504</v>
      </c>
      <c r="BD27" s="618"/>
      <c r="BE27" s="618"/>
      <c r="BF27" s="617" t="n">
        <v>122008681.1515</v>
      </c>
      <c r="BG27" s="617"/>
      <c r="BH27" s="617"/>
      <c r="BI27" s="618"/>
      <c r="BJ27" s="618"/>
      <c r="BK27" s="618"/>
      <c r="BL27" s="618" t="n">
        <v>1025437.435</v>
      </c>
      <c r="BM27" s="618" t="n">
        <v>16.95753</v>
      </c>
      <c r="BN27" s="618" t="n">
        <v>28298805.00605</v>
      </c>
      <c r="BO27" s="619" t="n">
        <v>26849972.03183</v>
      </c>
      <c r="BP27" s="619" t="n">
        <v>1446422.66327</v>
      </c>
      <c r="BQ27" s="619" t="n">
        <v>2410.31095</v>
      </c>
      <c r="BR27" s="619" t="n">
        <v>23925668.10796</v>
      </c>
      <c r="BS27" s="619" t="n">
        <v>4373136.89809</v>
      </c>
      <c r="BT27" s="618"/>
      <c r="BU27" s="618"/>
      <c r="BV27" s="618"/>
      <c r="BW27" s="618"/>
      <c r="BX27" s="618" t="n">
        <f aca="false">'Cuenta Ahorro-Inversión-Financi'!BN27-'Cuenta Ahorro-Inversión-Financi'!BV27-'Cuenta Ahorro-Inversión-Financi'!BW27</f>
        <v>28298805.00605</v>
      </c>
      <c r="BY27" s="619" t="n">
        <v>5819559.56136</v>
      </c>
      <c r="BZ27" s="617" t="n">
        <f aca="false">'Cuenta Ahorro-Inversión-Financi'!CA27+'Cuenta Ahorro-Inversión-Financi'!CB27+'Cuenta Ahorro-Inversión-Financi'!CF27</f>
        <v>3431554.86602</v>
      </c>
      <c r="CA27" s="618" t="n">
        <v>3431554.86602</v>
      </c>
      <c r="CB27" s="618"/>
      <c r="CC27" s="618"/>
      <c r="CD27" s="618"/>
      <c r="CE27" s="618"/>
      <c r="CF27" s="618"/>
      <c r="CG27" s="617" t="n">
        <f aca="false">'Cuenta Ahorro-Inversión-Financi'!BZ27+'Cuenta Ahorro-Inversión-Financi'!AX27</f>
        <v>158515754.58457</v>
      </c>
      <c r="CH27" s="617" t="n">
        <v>22933035.49316</v>
      </c>
      <c r="CI27" s="617"/>
      <c r="CJ27" s="617" t="n">
        <f aca="false">5370180455.24/1000</f>
        <v>5370180.45524</v>
      </c>
      <c r="CK27" s="617" t="n">
        <f aca="false">14911309725.59/1000</f>
        <v>14911309.72559</v>
      </c>
      <c r="CL27" s="617" t="n">
        <f aca="false">17562855037.92/1000-CK27</f>
        <v>2651545.31233</v>
      </c>
      <c r="CM27" s="617" t="n">
        <v>2247300</v>
      </c>
      <c r="CN27" s="617"/>
      <c r="CO27" s="617" t="n">
        <f aca="false">'Cuenta Ahorro-Inversión-Financi'!F27-'Cuenta Ahorro-Inversión-Financi'!AX27</f>
        <v>14324801.97651</v>
      </c>
      <c r="CP27" s="618" t="n">
        <f aca="false">'Cuenta Ahorro-Inversión-Financi'!CO27+'Cuenta Ahorro-Inversión-Financi'!AD27-'Cuenta Ahorro-Inversión-Financi'!BZ27</f>
        <v>10894195.71548</v>
      </c>
      <c r="CQ27" s="618" t="n">
        <f aca="false">'Cuenta Ahorro-Inversión-Financi'!T27-'Cuenta Ahorro-Inversión-Financi'!BF27-'Cuenta Ahorro-Inversión-Financi'!BN27</f>
        <v>-37817661.29954</v>
      </c>
      <c r="CR27" s="618" t="n">
        <f aca="false">'Cuenta Ahorro-Inversión-Financi'!F27-'Cuenta Ahorro-Inversión-Financi'!BF27-'Cuenta Ahorro-Inversión-Financi'!BN27-'Cuenta Ahorro-Inversión-Financi'!X27</f>
        <v>8062836.38340001</v>
      </c>
      <c r="CS27" s="618"/>
      <c r="CT27" s="637" t="s">
        <v>897</v>
      </c>
      <c r="CU27" s="637"/>
      <c r="CW27" s="600" t="n">
        <v>2012</v>
      </c>
      <c r="CX27" s="98" t="n">
        <f aca="false">'PIB corriente base 1993'!V117*1000</f>
        <v>1874935021.52041</v>
      </c>
      <c r="CY27" s="98" t="n">
        <f aca="false">'PIB corriente base 1993'!V118*1000</f>
        <v>2273161692.87246</v>
      </c>
      <c r="CZ27" s="98" t="n">
        <f aca="false">'PIB corriente base 1993'!V119*1000</f>
        <v>2182909396.91315</v>
      </c>
      <c r="DA27" s="98" t="n">
        <f aca="false">'PIB corriente base 1993'!V120*1000</f>
        <v>2325977392.34812</v>
      </c>
      <c r="DB27" s="622" t="n">
        <f aca="false">'PIB corriente base 1993'!V27*1000</f>
        <v>2164245875.91353</v>
      </c>
      <c r="DC27" s="623" t="n">
        <f aca="false">'PIB corriente base 2004'!X72*1000</f>
        <v>2345559603.35263</v>
      </c>
      <c r="DD27" s="98" t="n">
        <f aca="false">'PIB corriente base 2004'!X73*1000</f>
        <v>2651098046.38803</v>
      </c>
      <c r="DE27" s="98" t="n">
        <f aca="false">'PIB corriente base 2004'!X74*1000</f>
        <v>2704827549.85526</v>
      </c>
      <c r="DF27" s="98" t="n">
        <f aca="false">'PIB corriente base 2004'!X75*1000</f>
        <v>2850170193.26628</v>
      </c>
      <c r="DG27" s="622" t="n">
        <f aca="false">('Cuenta Ahorro-Inversión-Financi'!DC27+'Cuenta Ahorro-Inversión-Financi'!DD27+'Cuenta Ahorro-Inversión-Financi'!DE27+'Cuenta Ahorro-Inversión-Financi'!DF27)/4</f>
        <v>2637913848.21555</v>
      </c>
      <c r="DT27" s="1" t="n">
        <f aca="false">DT25+DT26</f>
        <v>142501.75</v>
      </c>
      <c r="DZ27" s="1" t="n">
        <f aca="false">DZ26+1</f>
        <v>2011</v>
      </c>
      <c r="EB27" s="28" t="n">
        <f aca="false">BO27-BV27-BW27</f>
        <v>26849972.03183</v>
      </c>
      <c r="EC27" s="28" t="n">
        <f aca="false">BS27</f>
        <v>4373136.89809</v>
      </c>
      <c r="ED27" s="456" t="n">
        <f aca="false">EB27/1000/'PIB corriente base 2004'!X15</f>
        <v>0.0123220169924195</v>
      </c>
      <c r="EE27" s="456" t="n">
        <f aca="false">EC27/1000/'PIB corriente base 2004'!X15</f>
        <v>0.00200692451763306</v>
      </c>
      <c r="EF27" s="456" t="n">
        <f aca="false">ED27+EE27</f>
        <v>0.0143289415100525</v>
      </c>
    </row>
    <row r="28" customFormat="false" ht="15.75" hidden="false" customHeight="true" outlineLevel="0" collapsed="false">
      <c r="A28" s="456" t="n">
        <f aca="false">'Cuenta Ahorro-Inversión-Financi'!X28/'Cuenta Ahorro-Inversión-Financi'!F28</f>
        <v>0.0775620664073341</v>
      </c>
      <c r="B28" s="456" t="n">
        <f aca="false">'Cuenta Ahorro-Inversión-Financi'!G28/'Cuenta Ahorro-Inversión-Financi'!F28</f>
        <v>0.263983421001382</v>
      </c>
      <c r="C28" s="456" t="n">
        <f aca="false">'Cuenta Ahorro-Inversión-Financi'!T28/'Cuenta Ahorro-Inversión-Financi'!F28</f>
        <v>0.657799376550832</v>
      </c>
      <c r="D28" s="456" t="n">
        <f aca="false">'Cuenta Ahorro-Inversión-Financi'!D30/'Cuenta Ahorro-Inversión-Financi'!F30</f>
        <v>0.184611548175588</v>
      </c>
      <c r="E28" s="609" t="n">
        <v>2012</v>
      </c>
      <c r="F28" s="625" t="n">
        <f aca="false">'Cuenta Ahorro-Inversión-Financi'!G28+'Cuenta Ahorro-Inversión-Financi'!S28+'Cuenta Ahorro-Inversión-Financi'!T28+'Cuenta Ahorro-Inversión-Financi'!X28+'Cuenta Ahorro-Inversión-Financi'!AA28</f>
        <v>223682627.12131</v>
      </c>
      <c r="G28" s="626" t="n">
        <f aca="false">'Cuenta Ahorro-Inversión-Financi'!H28+'Cuenta Ahorro-Inversión-Financi'!I28+'Cuenta Ahorro-Inversión-Financi'!J28+'Cuenta Ahorro-Inversión-Financi'!P28</f>
        <v>59048505.12606</v>
      </c>
      <c r="H28" s="632" t="n">
        <v>27594331.3664</v>
      </c>
      <c r="I28" s="632"/>
      <c r="J28" s="632" t="n">
        <v>27552352.55966</v>
      </c>
      <c r="K28" s="633" t="n">
        <v>19313800</v>
      </c>
      <c r="L28" s="633" t="n">
        <v>8238600</v>
      </c>
      <c r="M28" s="633" t="n">
        <f aca="false">IVA!AU127</f>
        <v>5790030.36488</v>
      </c>
      <c r="N28" s="633" t="n">
        <f aca="false">IVA!AU161</f>
        <v>2383408.8533178</v>
      </c>
      <c r="O28" s="633"/>
      <c r="P28" s="632" t="n">
        <v>3901821.2</v>
      </c>
      <c r="Q28" s="632" t="n">
        <v>1229100</v>
      </c>
      <c r="R28" s="632" t="n">
        <v>2672800</v>
      </c>
      <c r="S28" s="632" t="n">
        <v>146542.55065</v>
      </c>
      <c r="T28" s="625" t="n">
        <f aca="false">'Cuenta Ahorro-Inversión-Financi'!U28+'Cuenta Ahorro-Inversión-Financi'!V28</f>
        <v>147138292.66565</v>
      </c>
      <c r="U28" s="632" t="n">
        <v>147135247.57891</v>
      </c>
      <c r="V28" s="632" t="n">
        <v>3045.08674</v>
      </c>
      <c r="W28" s="632"/>
      <c r="X28" s="632" t="n">
        <f aca="false">'Cuenta Ahorro-Inversión-Financi'!Y28+'Cuenta Ahorro-Inversión-Financi'!Z28</f>
        <v>17349286.77895</v>
      </c>
      <c r="Y28" s="632" t="n">
        <v>3941953.62273</v>
      </c>
      <c r="Z28" s="632" t="n">
        <v>13407333.15622</v>
      </c>
      <c r="AA28" s="632"/>
      <c r="AB28" s="632"/>
      <c r="AC28" s="632"/>
      <c r="AD28" s="625" t="n">
        <f aca="false">'Cuenta Ahorro-Inversión-Financi'!AE28+'Cuenta Ahorro-Inversión-Financi'!AF28</f>
        <v>1242.817</v>
      </c>
      <c r="AE28" s="632" t="n">
        <v>1242.817</v>
      </c>
      <c r="AF28" s="632"/>
      <c r="AG28" s="625" t="n">
        <f aca="false">'Cuenta Ahorro-Inversión-Financi'!AD28+'Cuenta Ahorro-Inversión-Financi'!F28</f>
        <v>223683869.93831</v>
      </c>
      <c r="AH28" s="629" t="n">
        <v>42293145.4656</v>
      </c>
      <c r="AI28" s="628" t="n">
        <f aca="false">'Cálculo masa impuestos copartic'!V24*1000</f>
        <v>41041468.20529</v>
      </c>
      <c r="AJ28" s="628"/>
      <c r="AK28" s="628" t="n">
        <v>1257700</v>
      </c>
      <c r="AL28" s="628"/>
      <c r="AM28" s="628"/>
      <c r="AN28" s="627" t="n">
        <f aca="false">'Cuenta Ahorro-Inversión-Financi'!AH28-('Cuenta Ahorro-Inversión-Financi'!AI28+'Cuenta Ahorro-Inversión-Financi'!AK28+'Cuenta Ahorro-Inversión-Financi'!AL28+'Cuenta Ahorro-Inversión-Financi'!AM28)</f>
        <v>-6022.73969000578</v>
      </c>
      <c r="AO28" s="627" t="n">
        <f aca="false">'Cuenta Ahorro-Inversión-Financi'!AI28-'Cuenta Ahorro-Inversión-Financi'!CH28+'Cuenta Ahorro-Inversión-Financi'!AK28</f>
        <v>9009095.58106</v>
      </c>
      <c r="AP28" s="627" t="n">
        <f aca="false">'Cuenta Ahorro-Inversión-Financi'!AO28</f>
        <v>9009095.58106</v>
      </c>
      <c r="AQ28" s="630" t="s">
        <v>896</v>
      </c>
      <c r="AR28" s="630"/>
      <c r="AS28" s="630"/>
      <c r="AT28" s="615"/>
      <c r="AU28" s="643" t="n">
        <f aca="false">'Cuenta Ahorro-Inversión-Financi'!BS28/'Cuenta Ahorro-Inversión-Financi'!AV28</f>
        <v>0.0361332920963871</v>
      </c>
      <c r="AV28" s="615" t="n">
        <f aca="false">'Cuenta Ahorro-Inversión-Financi'!BF28-'Cuenta Ahorro-Inversión-Financi'!BL28</f>
        <v>167310862.62728</v>
      </c>
      <c r="AW28" s="631" t="n">
        <v>2012</v>
      </c>
      <c r="AX28" s="625" t="n">
        <f aca="false">'Cuenta Ahorro-Inversión-Financi'!AY28+'Cuenta Ahorro-Inversión-Financi'!BC28+'Cuenta Ahorro-Inversión-Financi'!BF28+'Cuenta Ahorro-Inversión-Financi'!BX28</f>
        <v>207264644.51784</v>
      </c>
      <c r="AY28" s="627" t="n">
        <f aca="false">'Cuenta Ahorro-Inversión-Financi'!AZ28+'Cuenta Ahorro-Inversión-Financi'!BA28</f>
        <v>6238307.1858</v>
      </c>
      <c r="AZ28" s="627" t="n">
        <v>4036963.62681</v>
      </c>
      <c r="BA28" s="627" t="n">
        <v>2201343.55899</v>
      </c>
      <c r="BB28" s="627"/>
      <c r="BC28" s="627" t="n">
        <v>5139.49715</v>
      </c>
      <c r="BD28" s="627"/>
      <c r="BE28" s="627"/>
      <c r="BF28" s="625" t="n">
        <v>168714869.37028</v>
      </c>
      <c r="BG28" s="625"/>
      <c r="BH28" s="625"/>
      <c r="BI28" s="625"/>
      <c r="BJ28" s="625"/>
      <c r="BK28" s="625"/>
      <c r="BL28" s="627" t="n">
        <v>1404006.743</v>
      </c>
      <c r="BM28" s="627" t="n">
        <v>46.41546</v>
      </c>
      <c r="BN28" s="627" t="n">
        <v>32306328.46461</v>
      </c>
      <c r="BO28" s="628" t="n">
        <v>31350207.37518</v>
      </c>
      <c r="BP28" s="628" t="n">
        <v>953762.92164</v>
      </c>
      <c r="BQ28" s="628" t="n">
        <v>2358.16779</v>
      </c>
      <c r="BR28" s="628" t="n">
        <v>26260836.1944</v>
      </c>
      <c r="BS28" s="628" t="n">
        <v>6045492.27021</v>
      </c>
      <c r="BT28" s="627"/>
      <c r="BU28" s="627"/>
      <c r="BV28" s="627"/>
      <c r="BW28" s="627"/>
      <c r="BX28" s="627" t="n">
        <f aca="false">'Cuenta Ahorro-Inversión-Financi'!BN28-'Cuenta Ahorro-Inversión-Financi'!BV28-'Cuenta Ahorro-Inversión-Financi'!BW28</f>
        <v>32306328.46461</v>
      </c>
      <c r="BY28" s="640" t="n">
        <v>6999255.19185</v>
      </c>
      <c r="BZ28" s="625" t="n">
        <f aca="false">'Cuenta Ahorro-Inversión-Financi'!CA28+'Cuenta Ahorro-Inversión-Financi'!CB28+'Cuenta Ahorro-Inversión-Financi'!CF28</f>
        <v>787215.01216</v>
      </c>
      <c r="CA28" s="627" t="n">
        <v>787215.01216</v>
      </c>
      <c r="CB28" s="627"/>
      <c r="CC28" s="627"/>
      <c r="CD28" s="627"/>
      <c r="CE28" s="627"/>
      <c r="CF28" s="641"/>
      <c r="CG28" s="625" t="n">
        <f aca="false">'Cuenta Ahorro-Inversión-Financi'!BZ28+'Cuenta Ahorro-Inversión-Financi'!AX28</f>
        <v>208051859.53</v>
      </c>
      <c r="CH28" s="625" t="n">
        <v>33290072.62423</v>
      </c>
      <c r="CI28" s="625"/>
      <c r="CJ28" s="625" t="n">
        <f aca="false">6683313773.34/1000</f>
        <v>6683313.77334</v>
      </c>
      <c r="CK28" s="625" t="n">
        <f aca="false">22968771929.72/1000</f>
        <v>22968771.92972</v>
      </c>
      <c r="CL28" s="625" t="n">
        <f aca="false">26606758850.89/1000-CK28</f>
        <v>3637986.92117</v>
      </c>
      <c r="CM28" s="625" t="n">
        <v>3258800</v>
      </c>
      <c r="CN28" s="625"/>
      <c r="CO28" s="625" t="n">
        <f aca="false">'Cuenta Ahorro-Inversión-Financi'!F28-'Cuenta Ahorro-Inversión-Financi'!AX28</f>
        <v>16417982.60347</v>
      </c>
      <c r="CP28" s="627" t="n">
        <f aca="false">'Cuenta Ahorro-Inversión-Financi'!CO28+'Cuenta Ahorro-Inversión-Financi'!AD28-'Cuenta Ahorro-Inversión-Financi'!BZ28</f>
        <v>15632010.40831</v>
      </c>
      <c r="CQ28" s="627" t="n">
        <f aca="false">'Cuenta Ahorro-Inversión-Financi'!T28-'Cuenta Ahorro-Inversión-Financi'!BF28-'Cuenta Ahorro-Inversión-Financi'!BN28</f>
        <v>-53882905.16924</v>
      </c>
      <c r="CR28" s="627" t="n">
        <f aca="false">'Cuenta Ahorro-Inversión-Financi'!F28-'Cuenta Ahorro-Inversión-Financi'!BF28-'Cuenta Ahorro-Inversión-Financi'!BN28-'Cuenta Ahorro-Inversión-Financi'!X28</f>
        <v>5312142.50747</v>
      </c>
      <c r="CS28" s="627"/>
      <c r="CT28" s="634" t="s">
        <v>898</v>
      </c>
      <c r="CU28" s="634"/>
      <c r="CW28" s="600" t="n">
        <v>2013</v>
      </c>
      <c r="CX28" s="605" t="n">
        <f aca="false">'PIB corriente base 1993'!V121*1000</f>
        <v>2279489347.68641</v>
      </c>
      <c r="CY28" s="605" t="n">
        <f aca="false">'PIB corriente base 1993'!V122*1000</f>
        <v>2907278370.40264</v>
      </c>
      <c r="CZ28" s="605" t="n">
        <f aca="false">'PIB corriente base 1993'!V123*1000</f>
        <v>2711457487.65021</v>
      </c>
      <c r="DA28" s="605"/>
      <c r="DB28" s="608"/>
      <c r="DC28" s="607" t="n">
        <f aca="false">'PIB corriente base 2004'!X76*1000</f>
        <v>2888980859.07111</v>
      </c>
      <c r="DD28" s="605" t="n">
        <f aca="false">'PIB corriente base 2004'!X77*1000</f>
        <v>3387810912.05468</v>
      </c>
      <c r="DE28" s="605" t="n">
        <f aca="false">'PIB corriente base 2004'!X78*1000</f>
        <v>3436546546.3782</v>
      </c>
      <c r="DF28" s="605" t="n">
        <f aca="false">'PIB corriente base 2004'!X79*1000</f>
        <v>3679895635.40483</v>
      </c>
      <c r="DG28" s="606" t="n">
        <f aca="false">('Cuenta Ahorro-Inversión-Financi'!DC28+'Cuenta Ahorro-Inversión-Financi'!DD28+'Cuenta Ahorro-Inversión-Financi'!DE28+'Cuenta Ahorro-Inversión-Financi'!DF28)/4</f>
        <v>3348308488.22721</v>
      </c>
      <c r="DZ28" s="1" t="n">
        <f aca="false">DZ27+1</f>
        <v>2012</v>
      </c>
      <c r="EB28" s="28" t="n">
        <f aca="false">BO28-BV28-BW28</f>
        <v>31350207.37518</v>
      </c>
      <c r="EC28" s="28" t="n">
        <f aca="false">BS28</f>
        <v>6045492.27021</v>
      </c>
      <c r="ED28" s="456" t="n">
        <f aca="false">EB28/1000/'PIB corriente base 2004'!X16</f>
        <v>0.0118844697662842</v>
      </c>
      <c r="EE28" s="456" t="n">
        <f aca="false">EC28/1000/'PIB corriente base 2004'!X16</f>
        <v>0.0022917701706974</v>
      </c>
      <c r="EF28" s="456" t="n">
        <f aca="false">ED28+EE28</f>
        <v>0.0141762399369816</v>
      </c>
    </row>
    <row r="29" customFormat="false" ht="15.75" hidden="false" customHeight="true" outlineLevel="0" collapsed="false">
      <c r="A29" s="456" t="n">
        <f aca="false">'Cuenta Ahorro-Inversión-Financi'!X29/'Cuenta Ahorro-Inversión-Financi'!F29</f>
        <v>0.0786692756443367</v>
      </c>
      <c r="B29" s="456" t="n">
        <f aca="false">'Cuenta Ahorro-Inversión-Financi'!G29/'Cuenta Ahorro-Inversión-Financi'!F29</f>
        <v>0.25656581837507</v>
      </c>
      <c r="C29" s="456" t="n">
        <f aca="false">'Cuenta Ahorro-Inversión-Financi'!T29/'Cuenta Ahorro-Inversión-Financi'!F29</f>
        <v>0.664155019013831</v>
      </c>
      <c r="D29" s="646" t="n">
        <f aca="false">'Cuenta Ahorro-Inversión-Financi'!D30/'PIB corriente base 2004'!X18/1000</f>
        <v>0.0157236604228433</v>
      </c>
      <c r="E29" s="609" t="s">
        <v>899</v>
      </c>
      <c r="F29" s="610" t="n">
        <f aca="false">'Cuenta Ahorro-Inversión-Financi'!G29+'Cuenta Ahorro-Inversión-Financi'!S29+'Cuenta Ahorro-Inversión-Financi'!T29+'Cuenta Ahorro-Inversión-Financi'!X29+'Cuenta Ahorro-Inversión-Financi'!AA29</f>
        <v>290750376.14137</v>
      </c>
      <c r="G29" s="611" t="n">
        <f aca="false">'Cuenta Ahorro-Inversión-Financi'!H29+'Cuenta Ahorro-Inversión-Financi'!I29+'Cuenta Ahorro-Inversión-Financi'!J29+'Cuenta Ahorro-Inversión-Financi'!P29</f>
        <v>74596608.19757</v>
      </c>
      <c r="H29" s="612" t="n">
        <v>36576358.35</v>
      </c>
      <c r="I29" s="612"/>
      <c r="J29" s="612" t="n">
        <v>33588815.15742</v>
      </c>
      <c r="K29" s="613" t="n">
        <v>24906800</v>
      </c>
      <c r="L29" s="613" t="n">
        <v>8682000</v>
      </c>
      <c r="M29" s="647" t="n">
        <v>5520810</v>
      </c>
      <c r="N29" s="613" t="n">
        <v>3143729.149</v>
      </c>
      <c r="O29" s="613"/>
      <c r="P29" s="612" t="n">
        <v>4431434.69015</v>
      </c>
      <c r="Q29" s="612" t="n">
        <v>1332400</v>
      </c>
      <c r="R29" s="612" t="n">
        <v>3099000</v>
      </c>
      <c r="S29" s="612" t="n">
        <v>177324.86499</v>
      </c>
      <c r="T29" s="610" t="n">
        <f aca="false">'Cuenta Ahorro-Inversión-Financi'!U29+'Cuenta Ahorro-Inversión-Financi'!V29</f>
        <v>193103321.59445</v>
      </c>
      <c r="U29" s="612" t="n">
        <v>193099315.67488</v>
      </c>
      <c r="V29" s="612" t="n">
        <v>4005.91957</v>
      </c>
      <c r="W29" s="612"/>
      <c r="X29" s="612" t="n">
        <f aca="false">'Cuenta Ahorro-Inversión-Financi'!Y29+'Cuenta Ahorro-Inversión-Financi'!Z29</f>
        <v>22873121.48436</v>
      </c>
      <c r="Y29" s="612" t="n">
        <v>2956717.95669</v>
      </c>
      <c r="Z29" s="612" t="n">
        <v>19916403.52767</v>
      </c>
      <c r="AA29" s="612"/>
      <c r="AB29" s="612"/>
      <c r="AC29" s="612"/>
      <c r="AD29" s="610" t="n">
        <f aca="false">'Cuenta Ahorro-Inversión-Financi'!AE29+'Cuenta Ahorro-Inversión-Financi'!AF29</f>
        <v>133.18862</v>
      </c>
      <c r="AE29" s="612" t="n">
        <v>133.18862</v>
      </c>
      <c r="AF29" s="612"/>
      <c r="AG29" s="610" t="n">
        <f aca="false">'Cuenta Ahorro-Inversión-Financi'!AD29+'Cuenta Ahorro-Inversión-Financi'!F29</f>
        <v>290750509.32999</v>
      </c>
      <c r="AH29" s="610" t="n">
        <v>57546857.63431</v>
      </c>
      <c r="AI29" s="613" t="n">
        <f aca="false">'Cálculo masa impuestos copartic'!V25*1000</f>
        <v>53287660.80492</v>
      </c>
      <c r="AJ29" s="613"/>
      <c r="AK29" s="613" t="n">
        <v>4091400</v>
      </c>
      <c r="AL29" s="613"/>
      <c r="AM29" s="613"/>
      <c r="AN29" s="612" t="n">
        <f aca="false">'Cuenta Ahorro-Inversión-Financi'!AH29-('Cuenta Ahorro-Inversión-Financi'!AI29+'Cuenta Ahorro-Inversión-Financi'!AK29+'Cuenta Ahorro-Inversión-Financi'!AL29+'Cuenta Ahorro-Inversión-Financi'!AM29)</f>
        <v>167796.829389997</v>
      </c>
      <c r="AO29" s="612" t="n">
        <f aca="false">'Cuenta Ahorro-Inversión-Financi'!AI29-'Cuenta Ahorro-Inversión-Financi'!CH29+'Cuenta Ahorro-Inversión-Financi'!AK29</f>
        <v>12400660.45675</v>
      </c>
      <c r="AP29" s="612" t="n">
        <f aca="false">'Cuenta Ahorro-Inversión-Financi'!AO29</f>
        <v>12400660.45675</v>
      </c>
      <c r="AQ29" s="635" t="s">
        <v>894</v>
      </c>
      <c r="AR29" s="635"/>
      <c r="AS29" s="635"/>
      <c r="AT29" s="615"/>
      <c r="AU29" s="643" t="n">
        <f aca="false">'Cuenta Ahorro-Inversión-Financi'!BS29/'Cuenta Ahorro-Inversión-Financi'!AV29</f>
        <v>0.0361230925341285</v>
      </c>
      <c r="AV29" s="615" t="n">
        <f aca="false">'Cuenta Ahorro-Inversión-Financi'!BF29-'Cuenta Ahorro-Inversión-Financi'!BL29</f>
        <v>221127013.62164</v>
      </c>
      <c r="AW29" s="631" t="n">
        <v>2013</v>
      </c>
      <c r="AX29" s="617" t="n">
        <f aca="false">'Cuenta Ahorro-Inversión-Financi'!AY29+'Cuenta Ahorro-Inversión-Financi'!BC29+'Cuenta Ahorro-Inversión-Financi'!BF29+'Cuenta Ahorro-Inversión-Financi'!BX29</f>
        <v>273893831.25088</v>
      </c>
      <c r="AY29" s="620" t="n">
        <f aca="false">'Cuenta Ahorro-Inversión-Financi'!AZ29+'Cuenta Ahorro-Inversión-Financi'!BA29</f>
        <v>7042799.31211</v>
      </c>
      <c r="AZ29" s="618" t="n">
        <v>4924354.26817</v>
      </c>
      <c r="BA29" s="618" t="n">
        <v>2118445.04394</v>
      </c>
      <c r="BB29" s="618"/>
      <c r="BC29" s="618" t="n">
        <v>15667.92188</v>
      </c>
      <c r="BD29" s="618"/>
      <c r="BE29" s="618"/>
      <c r="BF29" s="617" t="n">
        <v>222971544.92064</v>
      </c>
      <c r="BG29" s="617"/>
      <c r="BH29" s="617"/>
      <c r="BI29" s="618"/>
      <c r="BJ29" s="618"/>
      <c r="BK29" s="618"/>
      <c r="BL29" s="618" t="n">
        <v>1844531.299</v>
      </c>
      <c r="BM29" s="618" t="n">
        <v>49.19102</v>
      </c>
      <c r="BN29" s="618" t="n">
        <v>43863819.09625</v>
      </c>
      <c r="BO29" s="619" t="n">
        <v>42607031.08229</v>
      </c>
      <c r="BP29" s="619" t="n">
        <v>1253574.1296</v>
      </c>
      <c r="BQ29" s="619" t="n">
        <v>3213.88436</v>
      </c>
      <c r="BR29" s="619" t="n">
        <v>35876027.5214</v>
      </c>
      <c r="BS29" s="619" t="n">
        <v>7987791.57485</v>
      </c>
      <c r="BT29" s="618"/>
      <c r="BU29" s="618"/>
      <c r="BV29" s="618"/>
      <c r="BW29" s="618"/>
      <c r="BX29" s="618" t="n">
        <f aca="false">'Cuenta Ahorro-Inversión-Financi'!BN29-'Cuenta Ahorro-Inversión-Financi'!BV29-'Cuenta Ahorro-Inversión-Financi'!BW29</f>
        <v>43863819.09625</v>
      </c>
      <c r="BY29" s="619" t="n">
        <v>9241365.70445</v>
      </c>
      <c r="BZ29" s="617" t="n">
        <f aca="false">'Cuenta Ahorro-Inversión-Financi'!CA29+'Cuenta Ahorro-Inversión-Financi'!CB29+'Cuenta Ahorro-Inversión-Financi'!CF29</f>
        <v>3979963.77415</v>
      </c>
      <c r="CA29" s="618" t="n">
        <v>3979963.77415</v>
      </c>
      <c r="CB29" s="618"/>
      <c r="CC29" s="618"/>
      <c r="CD29" s="618"/>
      <c r="CE29" s="618"/>
      <c r="CF29" s="618"/>
      <c r="CG29" s="617" t="n">
        <f aca="false">'Cuenta Ahorro-Inversión-Financi'!BZ29+'Cuenta Ahorro-Inversión-Financi'!AX29</f>
        <v>277873795.02503</v>
      </c>
      <c r="CH29" s="617" t="n">
        <v>44978400.34817</v>
      </c>
      <c r="CI29" s="617"/>
      <c r="CJ29" s="617" t="n">
        <f aca="false">8856389210.15/1000</f>
        <v>8856389.21015</v>
      </c>
      <c r="CK29" s="617" t="n">
        <f aca="false">31731419637.49/1000</f>
        <v>31731419.63749</v>
      </c>
      <c r="CL29" s="617" t="n">
        <f aca="false">36122011138.02/1000-CK29</f>
        <v>4390591.50052999</v>
      </c>
      <c r="CM29" s="617" t="n">
        <v>5590600</v>
      </c>
      <c r="CN29" s="617"/>
      <c r="CO29" s="617" t="n">
        <f aca="false">'Cuenta Ahorro-Inversión-Financi'!F29-'Cuenta Ahorro-Inversión-Financi'!AX29</f>
        <v>16856544.89049</v>
      </c>
      <c r="CP29" s="618" t="n">
        <f aca="false">'Cuenta Ahorro-Inversión-Financi'!CO29+'Cuenta Ahorro-Inversión-Financi'!AD29-'Cuenta Ahorro-Inversión-Financi'!BZ29</f>
        <v>12876714.30496</v>
      </c>
      <c r="CQ29" s="618" t="n">
        <f aca="false">'Cuenta Ahorro-Inversión-Financi'!T29-'Cuenta Ahorro-Inversión-Financi'!BF29-'Cuenta Ahorro-Inversión-Financi'!BN29</f>
        <v>-73732042.42244</v>
      </c>
      <c r="CR29" s="618" t="n">
        <f aca="false">'Cuenta Ahorro-Inversión-Financi'!F29-'Cuenta Ahorro-Inversión-Financi'!BF29-'Cuenta Ahorro-Inversión-Financi'!BN29-'Cuenta Ahorro-Inversión-Financi'!X29</f>
        <v>1041890.64012001</v>
      </c>
      <c r="CS29" s="618"/>
      <c r="CT29" s="637" t="s">
        <v>900</v>
      </c>
      <c r="CU29" s="637"/>
      <c r="CW29" s="600" t="n">
        <v>2014</v>
      </c>
      <c r="CX29" s="98"/>
      <c r="CY29" s="98"/>
      <c r="CZ29" s="98"/>
      <c r="DA29" s="98"/>
      <c r="DB29" s="624"/>
      <c r="DC29" s="623" t="n">
        <f aca="false">'PIB corriente base 2004'!X80*1000</f>
        <v>3917648861.17108</v>
      </c>
      <c r="DD29" s="98" t="n">
        <f aca="false">'PIB corriente base 2004'!X81*1000</f>
        <v>4702629524.92031</v>
      </c>
      <c r="DE29" s="98" t="n">
        <f aca="false">'PIB corriente base 2004'!X82*1000</f>
        <v>4685503118.67828</v>
      </c>
      <c r="DF29" s="98" t="n">
        <f aca="false">'PIB corriente base 2004'!X83*1000</f>
        <v>5010564196.87073</v>
      </c>
      <c r="DG29" s="622" t="n">
        <f aca="false">('Cuenta Ahorro-Inversión-Financi'!DC29+'Cuenta Ahorro-Inversión-Financi'!DD29+'Cuenta Ahorro-Inversión-Financi'!DE29+'Cuenta Ahorro-Inversión-Financi'!DF29)/4</f>
        <v>4579086425.4101</v>
      </c>
      <c r="DZ29" s="1" t="n">
        <f aca="false">DZ28+1</f>
        <v>2013</v>
      </c>
      <c r="EB29" s="28" t="n">
        <f aca="false">BO29-BV29-BW29</f>
        <v>42607031.08229</v>
      </c>
      <c r="EC29" s="28" t="n">
        <f aca="false">BS29</f>
        <v>7987791.57485</v>
      </c>
      <c r="ED29" s="456" t="n">
        <f aca="false">EB29/1000/'PIB corriente base 2004'!X17</f>
        <v>0.0127249419317539</v>
      </c>
      <c r="EE29" s="456" t="n">
        <f aca="false">EC29/1000/'PIB corriente base 2004'!X17</f>
        <v>0.00238561996391175</v>
      </c>
      <c r="EF29" s="456" t="n">
        <f aca="false">ED29+EE29</f>
        <v>0.0151105618956657</v>
      </c>
    </row>
    <row r="30" customFormat="false" ht="15.75" hidden="false" customHeight="true" outlineLevel="0" collapsed="false">
      <c r="A30" s="456" t="n">
        <f aca="false">'Cuenta Ahorro-Inversión-Financi'!X30/'Cuenta Ahorro-Inversión-Financi'!F30</f>
        <v>0.0984179649671725</v>
      </c>
      <c r="B30" s="456" t="n">
        <f aca="false">'Cuenta Ahorro-Inversión-Financi'!G30/'Cuenta Ahorro-Inversión-Financi'!F30</f>
        <v>0.264378341074927</v>
      </c>
      <c r="C30" s="456" t="n">
        <f aca="false">'Cuenta Ahorro-Inversión-Financi'!T30/'Cuenta Ahorro-Inversión-Financi'!F30</f>
        <v>0.636477518756475</v>
      </c>
      <c r="D30" s="1" t="n">
        <v>72000000</v>
      </c>
      <c r="E30" s="609" t="s">
        <v>901</v>
      </c>
      <c r="F30" s="625" t="n">
        <f aca="false">'Cuenta Ahorro-Inversión-Financi'!G30+'Cuenta Ahorro-Inversión-Financi'!S30+'Cuenta Ahorro-Inversión-Financi'!T30+'Cuenta Ahorro-Inversión-Financi'!X30+'Cuenta Ahorro-Inversión-Financi'!AA30</f>
        <v>390008104.64749</v>
      </c>
      <c r="G30" s="626" t="n">
        <f aca="false">'Cuenta Ahorro-Inversión-Financi'!H30+'Cuenta Ahorro-Inversión-Financi'!I30+'Cuenta Ahorro-Inversión-Financi'!J30+'Cuenta Ahorro-Inversión-Financi'!P30</f>
        <v>103109695.71248</v>
      </c>
      <c r="H30" s="632" t="n">
        <v>53294684.66403</v>
      </c>
      <c r="I30" s="632"/>
      <c r="J30" s="632" t="n">
        <v>44889253.64845</v>
      </c>
      <c r="K30" s="633" t="n">
        <v>32721600</v>
      </c>
      <c r="L30" s="633" t="n">
        <v>12167700</v>
      </c>
      <c r="M30" s="633" t="n">
        <v>7811771</v>
      </c>
      <c r="N30" s="633" t="n">
        <v>4318885</v>
      </c>
      <c r="O30" s="633"/>
      <c r="P30" s="632" t="n">
        <v>4925757.4</v>
      </c>
      <c r="Q30" s="632" t="n">
        <v>1984900</v>
      </c>
      <c r="R30" s="632" t="n">
        <v>2940800</v>
      </c>
      <c r="S30" s="632" t="n">
        <v>283214.21395</v>
      </c>
      <c r="T30" s="625" t="n">
        <f aca="false">'Cuenta Ahorro-Inversión-Financi'!U30+'Cuenta Ahorro-Inversión-Financi'!V30</f>
        <v>248231390.74095</v>
      </c>
      <c r="U30" s="632" t="n">
        <v>248228590.16214</v>
      </c>
      <c r="V30" s="632" t="n">
        <v>2800.57881</v>
      </c>
      <c r="W30" s="632"/>
      <c r="X30" s="632" t="n">
        <f aca="false">'Cuenta Ahorro-Inversión-Financi'!Y30+'Cuenta Ahorro-Inversión-Financi'!Z30</f>
        <v>38383803.98011</v>
      </c>
      <c r="Y30" s="632" t="n">
        <v>3301753.47312</v>
      </c>
      <c r="Z30" s="632" t="n">
        <v>35082050.50699</v>
      </c>
      <c r="AA30" s="632"/>
      <c r="AB30" s="632"/>
      <c r="AC30" s="632"/>
      <c r="AD30" s="625" t="n">
        <f aca="false">'Cuenta Ahorro-Inversión-Financi'!AE30+'Cuenta Ahorro-Inversión-Financi'!AF30</f>
        <v>1799.84515</v>
      </c>
      <c r="AE30" s="632" t="n">
        <v>1799.84515</v>
      </c>
      <c r="AF30" s="632"/>
      <c r="AG30" s="625" t="n">
        <f aca="false">'Cuenta Ahorro-Inversión-Financi'!AD30+'Cuenta Ahorro-Inversión-Financi'!F30</f>
        <v>390009904.49264</v>
      </c>
      <c r="AH30" s="629" t="n">
        <v>101131559.31548</v>
      </c>
      <c r="AI30" s="628" t="n">
        <f aca="false">'Cálculo masa impuestos copartic'!V26*1000</f>
        <v>72676066.20744</v>
      </c>
      <c r="AJ30" s="628"/>
      <c r="AK30" s="628" t="n">
        <v>4120200</v>
      </c>
      <c r="AL30" s="628" t="n">
        <f aca="false">'Cuenta Ahorro-Inversión-Financi'!BW30</f>
        <v>998092.652</v>
      </c>
      <c r="AM30" s="628" t="n">
        <v>2358010.21</v>
      </c>
      <c r="AN30" s="627" t="n">
        <f aca="false">'Cuenta Ahorro-Inversión-Financi'!AH30-('Cuenta Ahorro-Inversión-Financi'!AI30+'Cuenta Ahorro-Inversión-Financi'!AK30+'Cuenta Ahorro-Inversión-Financi'!AL30+'Cuenta Ahorro-Inversión-Financi'!AM30)</f>
        <v>20979190.24604</v>
      </c>
      <c r="AO30" s="627" t="n">
        <f aca="false">'Cuenta Ahorro-Inversión-Financi'!AI30-'Cuenta Ahorro-Inversión-Financi'!CH30+'Cuenta Ahorro-Inversión-Financi'!AK30+'Cuenta Ahorro-Inversión-Financi'!AL30+'Cuenta Ahorro-Inversión-Financi'!AM30</f>
        <v>19237296.7251</v>
      </c>
      <c r="AP30" s="627" t="n">
        <f aca="false">'Cuenta Ahorro-Inversión-Financi'!AO30</f>
        <v>19237296.7251</v>
      </c>
      <c r="AQ30" s="630" t="s">
        <v>894</v>
      </c>
      <c r="AR30" s="630"/>
      <c r="AS30" s="630"/>
      <c r="AT30" s="615"/>
      <c r="AU30" s="643" t="n">
        <f aca="false">'Cuenta Ahorro-Inversión-Financi'!BS30/'Cuenta Ahorro-Inversión-Financi'!AV30</f>
        <v>0.0363451243435301</v>
      </c>
      <c r="AV30" s="615" t="n">
        <f aca="false">'Cuenta Ahorro-Inversión-Financi'!BF30-'Cuenta Ahorro-Inversión-Financi'!BL30</f>
        <v>293203308.45166</v>
      </c>
      <c r="AW30" s="631" t="n">
        <v>2014</v>
      </c>
      <c r="AX30" s="625" t="n">
        <f aca="false">'Cuenta Ahorro-Inversión-Financi'!AY30+'Cuenta Ahorro-Inversión-Financi'!BC30+'Cuenta Ahorro-Inversión-Financi'!BF30+'Cuenta Ahorro-Inversión-Financi'!BX30</f>
        <v>364676681.37829</v>
      </c>
      <c r="AY30" s="627" t="n">
        <f aca="false">'Cuenta Ahorro-Inversión-Financi'!AZ30+'Cuenta Ahorro-Inversión-Financi'!BA30</f>
        <v>9516808.09741</v>
      </c>
      <c r="AZ30" s="627" t="n">
        <v>6352438.58382</v>
      </c>
      <c r="BA30" s="627" t="n">
        <v>3164369.51359</v>
      </c>
      <c r="BB30" s="627"/>
      <c r="BC30" s="627" t="n">
        <v>13799.32176</v>
      </c>
      <c r="BD30" s="627"/>
      <c r="BE30" s="627"/>
      <c r="BF30" s="625" t="n">
        <v>295607149.89466</v>
      </c>
      <c r="BG30" s="625"/>
      <c r="BH30" s="625"/>
      <c r="BI30" s="625"/>
      <c r="BJ30" s="625"/>
      <c r="BK30" s="625"/>
      <c r="BL30" s="627" t="n">
        <v>2403841.443</v>
      </c>
      <c r="BM30" s="627" t="n">
        <v>188.35081</v>
      </c>
      <c r="BN30" s="627" t="n">
        <v>62895026.92646</v>
      </c>
      <c r="BO30" s="628" t="n">
        <v>61284342.35352</v>
      </c>
      <c r="BP30" s="628" t="n">
        <v>1610245.75254</v>
      </c>
      <c r="BQ30" s="628" t="n">
        <v>438.8204</v>
      </c>
      <c r="BR30" s="628" t="n">
        <v>52238516.22285</v>
      </c>
      <c r="BS30" s="628" t="n">
        <v>10656510.70361</v>
      </c>
      <c r="BT30" s="627"/>
      <c r="BU30" s="627"/>
      <c r="BV30" s="628" t="n">
        <v>2358010.21</v>
      </c>
      <c r="BW30" s="628" t="n">
        <v>998092.652</v>
      </c>
      <c r="BX30" s="628" t="n">
        <f aca="false">'Cuenta Ahorro-Inversión-Financi'!BN30-'Cuenta Ahorro-Inversión-Financi'!BV30-'Cuenta Ahorro-Inversión-Financi'!BW30</f>
        <v>59538924.06446</v>
      </c>
      <c r="BY30" s="628" t="n">
        <v>12266756.45615</v>
      </c>
      <c r="BZ30" s="625" t="n">
        <f aca="false">'Cuenta Ahorro-Inversión-Financi'!CA30+'Cuenta Ahorro-Inversión-Financi'!CB30+'Cuenta Ahorro-Inversión-Financi'!CF30</f>
        <v>3838850.88905</v>
      </c>
      <c r="CA30" s="627" t="n">
        <v>3838850.88905</v>
      </c>
      <c r="CB30" s="627"/>
      <c r="CC30" s="627"/>
      <c r="CD30" s="627"/>
      <c r="CE30" s="627"/>
      <c r="CF30" s="641"/>
      <c r="CG30" s="625" t="n">
        <f aca="false">'Cuenta Ahorro-Inversión-Financi'!BZ30+'Cuenta Ahorro-Inversión-Financi'!AX30</f>
        <v>368515532.26734</v>
      </c>
      <c r="CH30" s="625" t="n">
        <v>60915072.34434</v>
      </c>
      <c r="CI30" s="625"/>
      <c r="CJ30" s="625" t="n">
        <f aca="false">11872462076.07/1000</f>
        <v>11872462.07607</v>
      </c>
      <c r="CK30" s="625" t="n">
        <f aca="false">44166117045.35/1000</f>
        <v>44166117.04535</v>
      </c>
      <c r="CL30" s="625" t="n">
        <f aca="false">49042610268.27/1000-CK30</f>
        <v>4876493.22291999</v>
      </c>
      <c r="CM30" s="625" t="n">
        <v>8266200</v>
      </c>
      <c r="CN30" s="625"/>
      <c r="CO30" s="625" t="n">
        <f aca="false">'Cuenta Ahorro-Inversión-Financi'!F30-'Cuenta Ahorro-Inversión-Financi'!AX30</f>
        <v>25331423.2692</v>
      </c>
      <c r="CP30" s="627" t="n">
        <f aca="false">'Cuenta Ahorro-Inversión-Financi'!CO30+'Cuenta Ahorro-Inversión-Financi'!AD30-'Cuenta Ahorro-Inversión-Financi'!BZ30</f>
        <v>21494372.2253</v>
      </c>
      <c r="CQ30" s="627" t="n">
        <f aca="false">'Cuenta Ahorro-Inversión-Financi'!T30-'Cuenta Ahorro-Inversión-Financi'!BF30-'Cuenta Ahorro-Inversión-Financi'!BN30</f>
        <v>-110270786.08017</v>
      </c>
      <c r="CR30" s="627" t="n">
        <f aca="false">'Cuenta Ahorro-Inversión-Financi'!F30-'Cuenta Ahorro-Inversión-Financi'!BF30-'Cuenta Ahorro-Inversión-Financi'!BN30-'Cuenta Ahorro-Inversión-Financi'!X30</f>
        <v>-6877876.15373997</v>
      </c>
      <c r="CS30" s="627"/>
      <c r="CT30" s="634" t="s">
        <v>900</v>
      </c>
      <c r="CU30" s="634"/>
      <c r="CW30" s="600" t="n">
        <v>2015</v>
      </c>
      <c r="CX30" s="605"/>
      <c r="CY30" s="605"/>
      <c r="CZ30" s="605"/>
      <c r="DA30" s="605"/>
      <c r="DB30" s="608"/>
      <c r="DC30" s="607" t="n">
        <v>5092693740.32864</v>
      </c>
      <c r="DD30" s="605" t="n">
        <v>5951478855.3666</v>
      </c>
      <c r="DE30" s="605" t="n">
        <v>6221730755.7716</v>
      </c>
      <c r="DF30" s="605" t="n">
        <v>6552140231.30253</v>
      </c>
      <c r="DG30" s="606" t="n">
        <f aca="false">('Cuenta Ahorro-Inversión-Financi'!DC30+'Cuenta Ahorro-Inversión-Financi'!DD30+'Cuenta Ahorro-Inversión-Financi'!DE30+'Cuenta Ahorro-Inversión-Financi'!DF30)/4</f>
        <v>5954510895.69234</v>
      </c>
      <c r="DI30" s="648"/>
      <c r="DJ30" s="456"/>
      <c r="DZ30" s="1" t="n">
        <f aca="false">DZ29+1</f>
        <v>2014</v>
      </c>
      <c r="EB30" s="28" t="n">
        <f aca="false">BO30-BV30-BW30</f>
        <v>57928239.49152</v>
      </c>
      <c r="EC30" s="28" t="n">
        <f aca="false">BS30</f>
        <v>10656510.70361</v>
      </c>
      <c r="ED30" s="456" t="n">
        <f aca="false">EB30/1000/'PIB corriente base 2004'!X18</f>
        <v>0.0126506106480251</v>
      </c>
      <c r="EE30" s="456" t="n">
        <f aca="false">EC30/1000/'PIB corriente base 2004'!X18</f>
        <v>0.0023272132721661</v>
      </c>
      <c r="EF30" s="456" t="n">
        <f aca="false">ED30+EE30</f>
        <v>0.0149778239201912</v>
      </c>
    </row>
    <row r="31" customFormat="false" ht="15.75" hidden="false" customHeight="true" outlineLevel="0" collapsed="false">
      <c r="A31" s="456" t="n">
        <f aca="false">'Cuenta Ahorro-Inversión-Financi'!X31/'Cuenta Ahorro-Inversión-Financi'!F31</f>
        <v>0.100346686055558</v>
      </c>
      <c r="B31" s="456" t="n">
        <f aca="false">'Cuenta Ahorro-Inversión-Financi'!G31/'Cuenta Ahorro-Inversión-Financi'!F31</f>
        <v>0.264458465155287</v>
      </c>
      <c r="C31" s="456" t="n">
        <f aca="false">'Cuenta Ahorro-Inversión-Financi'!T31/'Cuenta Ahorro-Inversión-Financi'!F31</f>
        <v>0.634016600955712</v>
      </c>
      <c r="D31" s="456" t="n">
        <f aca="false">'Cuenta Ahorro-Inversión-Financi'!G30/'Cuenta Ahorro-Inversión-Financi'!F30</f>
        <v>0.264378341074927</v>
      </c>
      <c r="E31" s="609" t="s">
        <v>902</v>
      </c>
      <c r="F31" s="610" t="n">
        <f aca="false">'Cuenta Ahorro-Inversión-Financi'!G31+'Cuenta Ahorro-Inversión-Financi'!S31+'Cuenta Ahorro-Inversión-Financi'!T31+'Cuenta Ahorro-Inversión-Financi'!X31+'Cuenta Ahorro-Inversión-Financi'!AA31</f>
        <v>529972491.64069</v>
      </c>
      <c r="G31" s="611" t="n">
        <f aca="false">'Cuenta Ahorro-Inversión-Financi'!H31+'Cuenta Ahorro-Inversión-Financi'!J31+'Cuenta Ahorro-Inversión-Financi'!P31</f>
        <v>140155711.71382</v>
      </c>
      <c r="H31" s="612" t="n">
        <f aca="false">75797809100/1000</f>
        <v>75797809.1</v>
      </c>
      <c r="I31" s="612"/>
      <c r="J31" s="612" t="n">
        <f aca="false">57472143652.47/1000</f>
        <v>57472143.65247</v>
      </c>
      <c r="K31" s="613" t="n">
        <v>43272400</v>
      </c>
      <c r="L31" s="613" t="n">
        <v>14199800</v>
      </c>
      <c r="M31" s="647" t="n">
        <v>9025654</v>
      </c>
      <c r="N31" s="613" t="n">
        <v>5345252</v>
      </c>
      <c r="O31" s="613"/>
      <c r="P31" s="612" t="n">
        <f aca="false">6885758961.35/1000</f>
        <v>6885758.96135</v>
      </c>
      <c r="Q31" s="612" t="n">
        <v>2916400</v>
      </c>
      <c r="R31" s="612" t="n">
        <v>3969300</v>
      </c>
      <c r="S31" s="612" t="n">
        <f aca="false">624438940.06/1000</f>
        <v>624438.94006</v>
      </c>
      <c r="T31" s="610" t="n">
        <f aca="false">'Cuenta Ahorro-Inversión-Financi'!U31+'Cuenta Ahorro-Inversión-Financi'!V31+'Cuenta Ahorro-Inversión-Financi'!W31</f>
        <v>336011357.75006</v>
      </c>
      <c r="U31" s="612" t="n">
        <f aca="false">334215514092.94/1000</f>
        <v>334215514.09294</v>
      </c>
      <c r="V31" s="612" t="n">
        <f aca="false">1795843657.12/1000</f>
        <v>1795843.65712</v>
      </c>
      <c r="W31" s="612"/>
      <c r="X31" s="612" t="n">
        <f aca="false">'Cuenta Ahorro-Inversión-Financi'!Y31+'Cuenta Ahorro-Inversión-Financi'!Z31</f>
        <v>53180983.23675</v>
      </c>
      <c r="Y31" s="612" t="n">
        <f aca="false">2756924911.15/1000</f>
        <v>2756924.91115</v>
      </c>
      <c r="Z31" s="612" t="n">
        <f aca="false">50424058325.6/1000</f>
        <v>50424058.3256</v>
      </c>
      <c r="AA31" s="612"/>
      <c r="AB31" s="612"/>
      <c r="AC31" s="612"/>
      <c r="AD31" s="610" t="n">
        <f aca="false">'Cuenta Ahorro-Inversión-Financi'!AE31+'Cuenta Ahorro-Inversión-Financi'!AF31</f>
        <v>191.19949</v>
      </c>
      <c r="AE31" s="612" t="n">
        <f aca="false">191199.49/1000</f>
        <v>191.19949</v>
      </c>
      <c r="AF31" s="612"/>
      <c r="AG31" s="610" t="n">
        <f aca="false">'Cuenta Ahorro-Inversión-Financi'!AD31+'Cuenta Ahorro-Inversión-Financi'!F31</f>
        <v>529972682.84018</v>
      </c>
      <c r="AH31" s="610" t="n">
        <f aca="false">156468938.20796</f>
        <v>156468938.20796</v>
      </c>
      <c r="AI31" s="613" t="n">
        <f aca="false">'Cálculo masa impuestos copartic'!V27*1000</f>
        <v>95600316.12798</v>
      </c>
      <c r="AJ31" s="613"/>
      <c r="AK31" s="613" t="n">
        <v>2316300</v>
      </c>
      <c r="AL31" s="613" t="n">
        <f aca="false">'Cuenta Ahorro-Inversión-Financi'!BW31</f>
        <v>1224387.812</v>
      </c>
      <c r="AM31" s="613" t="n">
        <v>6868294.927</v>
      </c>
      <c r="AN31" s="612" t="n">
        <f aca="false">'Cuenta Ahorro-Inversión-Financi'!AH31-('Cuenta Ahorro-Inversión-Financi'!AI31+'Cuenta Ahorro-Inversión-Financi'!AK31+'Cuenta Ahorro-Inversión-Financi'!AL31+'Cuenta Ahorro-Inversión-Financi'!AM31)</f>
        <v>50459639.34098</v>
      </c>
      <c r="AO31" s="612" t="n">
        <f aca="false">'Cuenta Ahorro-Inversión-Financi'!AI31-'Cuenta Ahorro-Inversión-Financi'!CH31+'Cuenta Ahorro-Inversión-Financi'!AK31+'Cuenta Ahorro-Inversión-Financi'!AL31+'Cuenta Ahorro-Inversión-Financi'!AM31</f>
        <v>21609162.75361</v>
      </c>
      <c r="AP31" s="612" t="n">
        <f aca="false">'Cuenta Ahorro-Inversión-Financi'!AO31</f>
        <v>21609162.75361</v>
      </c>
      <c r="AQ31" s="635" t="s">
        <v>896</v>
      </c>
      <c r="AR31" s="635"/>
      <c r="AS31" s="635"/>
      <c r="AT31" s="615"/>
      <c r="AU31" s="643" t="n">
        <f aca="false">'Cuenta Ahorro-Inversión-Financi'!BS31/'Cuenta Ahorro-Inversión-Financi'!AV31</f>
        <v>0.0361017403167091</v>
      </c>
      <c r="AV31" s="615" t="n">
        <f aca="false">'Cuenta Ahorro-Inversión-Financi'!BF31-'Cuenta Ahorro-Inversión-Financi'!BL31</f>
        <v>429971996.43463</v>
      </c>
      <c r="AW31" s="631" t="n">
        <v>2015</v>
      </c>
      <c r="AX31" s="617" t="n">
        <f aca="false">'Cuenta Ahorro-Inversión-Financi'!AY31+'Cuenta Ahorro-Inversión-Financi'!BC31+'Cuenta Ahorro-Inversión-Financi'!BF31+'Cuenta Ahorro-Inversión-Financi'!BX31</f>
        <v>530722384.97449</v>
      </c>
      <c r="AY31" s="620" t="n">
        <f aca="false">'Cuenta Ahorro-Inversión-Financi'!AZ31+'Cuenta Ahorro-Inversión-Financi'!BA31</f>
        <v>12485483.44174</v>
      </c>
      <c r="AZ31" s="618" t="n">
        <f aca="false">8267644289.66/1000</f>
        <v>8267644.28966</v>
      </c>
      <c r="BA31" s="618" t="n">
        <f aca="false">(113259490.74+4104579661.34)/1000</f>
        <v>4217839.15208</v>
      </c>
      <c r="BB31" s="618"/>
      <c r="BC31" s="618" t="n">
        <f aca="false">14546207.52/1000</f>
        <v>14546.20752</v>
      </c>
      <c r="BD31" s="618"/>
      <c r="BE31" s="618"/>
      <c r="BF31" s="617" t="n">
        <f aca="false">433431683656.63/1000</f>
        <v>433431683.65663</v>
      </c>
      <c r="BG31" s="617"/>
      <c r="BH31" s="617"/>
      <c r="BI31" s="618"/>
      <c r="BJ31" s="618"/>
      <c r="BK31" s="618"/>
      <c r="BL31" s="618" t="n">
        <v>3459687.222</v>
      </c>
      <c r="BM31" s="618" t="n">
        <f aca="false">34218.69/1000</f>
        <v>34.21869</v>
      </c>
      <c r="BN31" s="618" t="n">
        <f aca="false">92783271815.6/1000</f>
        <v>92783271.8156</v>
      </c>
      <c r="BO31" s="619" t="n">
        <f aca="false">'Cuenta Ahorro-Inversión-Financi'!BN31-'Cuenta Ahorro-Inversión-Financi'!BP31-'Cuenta Ahorro-Inversión-Financi'!BQ31</f>
        <v>90576617.55667</v>
      </c>
      <c r="BP31" s="619" t="n">
        <f aca="false">2204642015.53/1000</f>
        <v>2204642.01553</v>
      </c>
      <c r="BQ31" s="619" t="n">
        <f aca="false">2012243.4/1000</f>
        <v>2012.2434</v>
      </c>
      <c r="BR31" s="619" t="n">
        <f aca="false">77260534456.86/1000</f>
        <v>77260534.45686</v>
      </c>
      <c r="BS31" s="619" t="n">
        <f aca="false">15522737358.74/1000</f>
        <v>15522737.35874</v>
      </c>
      <c r="BT31" s="620"/>
      <c r="BU31" s="619"/>
      <c r="BV31" s="619" t="n">
        <v>6768212.335</v>
      </c>
      <c r="BW31" s="619" t="n">
        <v>1224387.812</v>
      </c>
      <c r="BX31" s="619" t="n">
        <f aca="false">'Cuenta Ahorro-Inversión-Financi'!BN31-'Cuenta Ahorro-Inversión-Financi'!BV31-'Cuenta Ahorro-Inversión-Financi'!BW31</f>
        <v>84790671.6686</v>
      </c>
      <c r="BY31" s="619" t="n">
        <f aca="false">'Cuenta Ahorro-Inversión-Financi'!BP31+'Cuenta Ahorro-Inversión-Financi'!BQ31+'Cuenta Ahorro-Inversión-Financi'!BS31</f>
        <v>17729391.61767</v>
      </c>
      <c r="BZ31" s="649" t="n">
        <f aca="false">'Cuenta Ahorro-Inversión-Financi'!CA31+'Cuenta Ahorro-Inversión-Financi'!CB31+'Cuenta Ahorro-Inversión-Financi'!CF31</f>
        <v>2173282.69698</v>
      </c>
      <c r="CA31" s="619" t="n">
        <f aca="false">2173282696.98/1000</f>
        <v>2173282.69698</v>
      </c>
      <c r="CB31" s="619"/>
      <c r="CC31" s="619"/>
      <c r="CD31" s="619"/>
      <c r="CE31" s="619"/>
      <c r="CF31" s="619"/>
      <c r="CG31" s="617" t="n">
        <f aca="false">'Cuenta Ahorro-Inversión-Financi'!BZ31+'Cuenta Ahorro-Inversión-Financi'!AX31</f>
        <v>532895667.67147</v>
      </c>
      <c r="CH31" s="617" t="n">
        <f aca="false">84400136113.37/1000</f>
        <v>84400136.11337</v>
      </c>
      <c r="CI31" s="649"/>
      <c r="CJ31" s="617" t="n">
        <f aca="false">16038444761.65/1000</f>
        <v>16038444.76165</v>
      </c>
      <c r="CK31" s="617" t="n">
        <f aca="false">62265526699.87/1000</f>
        <v>62265526.69987</v>
      </c>
      <c r="CL31" s="617" t="n">
        <f aca="false">68361691351.72/1000-CK31</f>
        <v>6096164.65185</v>
      </c>
      <c r="CM31" s="649" t="n">
        <v>10207500</v>
      </c>
      <c r="CN31" s="649"/>
      <c r="CO31" s="649" t="n">
        <f aca="false">'Cuenta Ahorro-Inversión-Financi'!F31-'Cuenta Ahorro-Inversión-Financi'!AX31</f>
        <v>-749893.333800018</v>
      </c>
      <c r="CP31" s="619" t="n">
        <f aca="false">'Cuenta Ahorro-Inversión-Financi'!CO31+'Cuenta Ahorro-Inversión-Financi'!AD31-'Cuenta Ahorro-Inversión-Financi'!BZ31</f>
        <v>-2922984.83129002</v>
      </c>
      <c r="CQ31" s="619" t="n">
        <f aca="false">'Cuenta Ahorro-Inversión-Financi'!T31-'Cuenta Ahorro-Inversión-Financi'!BF31-'Cuenta Ahorro-Inversión-Financi'!BN31</f>
        <v>-190203597.72217</v>
      </c>
      <c r="CR31" s="619" t="n">
        <f aca="false">'Cuenta Ahorro-Inversión-Financi'!F31-'Cuenta Ahorro-Inversión-Financi'!BF31-'Cuenta Ahorro-Inversión-Financi'!BN31-'Cuenta Ahorro-Inversión-Financi'!X31</f>
        <v>-49423447.06829</v>
      </c>
      <c r="CS31" s="619"/>
      <c r="CT31" s="637" t="s">
        <v>898</v>
      </c>
      <c r="CU31" s="637"/>
      <c r="CW31" s="650" t="n">
        <v>2016</v>
      </c>
      <c r="CX31" s="651"/>
      <c r="CY31" s="651"/>
      <c r="CZ31" s="651"/>
      <c r="DA31" s="651"/>
      <c r="DB31" s="652"/>
      <c r="DC31" s="623" t="n">
        <v>7006645045.10604</v>
      </c>
      <c r="DD31" s="98" t="n">
        <v>8414556482.17921</v>
      </c>
      <c r="DE31" s="98" t="n">
        <v>8527628825.27803</v>
      </c>
      <c r="DF31" s="98" t="n">
        <v>8963807873.58243</v>
      </c>
      <c r="DG31" s="622" t="n">
        <f aca="false">('Cuenta Ahorro-Inversión-Financi'!DC31+'Cuenta Ahorro-Inversión-Financi'!DD31+'Cuenta Ahorro-Inversión-Financi'!DE31+'Cuenta Ahorro-Inversión-Financi'!DF31)/4</f>
        <v>8228159556.53643</v>
      </c>
      <c r="DH31" s="456"/>
      <c r="DI31" s="1" t="n">
        <v>2996491748.43</v>
      </c>
      <c r="DJ31" s="456" t="n">
        <f aca="false">DI31/1000/DG31</f>
        <v>0.000364175211703278</v>
      </c>
      <c r="DK31" s="456"/>
      <c r="DL31" s="456"/>
      <c r="DZ31" s="1" t="n">
        <f aca="false">DZ30+1</f>
        <v>2015</v>
      </c>
      <c r="EB31" s="28" t="n">
        <f aca="false">BO31-BV31-BW31</f>
        <v>82584017.40967</v>
      </c>
      <c r="EC31" s="28" t="n">
        <f aca="false">BS31</f>
        <v>15522737.35874</v>
      </c>
      <c r="ED31" s="456" t="n">
        <f aca="false">EB31/1000/'PIB corriente base 2004'!X19</f>
        <v>0.0138691521195156</v>
      </c>
      <c r="EE31" s="456" t="n">
        <f aca="false">EC31/1000/'PIB corriente base 2004'!X19</f>
        <v>0.00260688705263258</v>
      </c>
      <c r="EF31" s="456" t="n">
        <f aca="false">ED31+EE31</f>
        <v>0.0164760391721481</v>
      </c>
    </row>
    <row r="32" customFormat="false" ht="15.75" hidden="false" customHeight="true" outlineLevel="0" collapsed="false">
      <c r="A32" s="456" t="n">
        <f aca="false">'Cuenta Ahorro-Inversión-Financi'!X32/('Cuenta Ahorro-Inversión-Financi'!F32-'Cuenta Ahorro-Inversión-Financi'!H32)</f>
        <v>0.101474546345976</v>
      </c>
      <c r="B32" s="456" t="n">
        <f aca="false">('Cuenta Ahorro-Inversión-Financi'!G32-'Cuenta Ahorro-Inversión-Financi'!I32)/('Cuenta Ahorro-Inversión-Financi'!F32-'Cuenta Ahorro-Inversión-Financi'!I32)</f>
        <v>0.249173076640277</v>
      </c>
      <c r="C32" s="456" t="n">
        <f aca="false">'Cuenta Ahorro-Inversión-Financi'!T32/('Cuenta Ahorro-Inversión-Financi'!F32-'Cuenta Ahorro-Inversión-Financi'!I32)</f>
        <v>0.645474956656556</v>
      </c>
      <c r="D32" s="456"/>
      <c r="E32" s="609" t="s">
        <v>903</v>
      </c>
      <c r="F32" s="625" t="n">
        <f aca="false">'Cuenta Ahorro-Inversión-Financi'!G32+'Cuenta Ahorro-Inversión-Financi'!S32+'Cuenta Ahorro-Inversión-Financi'!T32+'Cuenta Ahorro-Inversión-Financi'!X32+'Cuenta Ahorro-Inversión-Financi'!AA32</f>
        <v>800657297.14761</v>
      </c>
      <c r="G32" s="626" t="n">
        <f aca="false">'Cuenta Ahorro-Inversión-Financi'!H32+'Cuenta Ahorro-Inversión-Financi'!I32+'Cuenta Ahorro-Inversión-Financi'!J32+'Cuenta Ahorro-Inversión-Financi'!P32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3"/>
      <c r="P32" s="632" t="n">
        <f aca="false">8997710726.2/1000</f>
        <v>8997710.7262</v>
      </c>
      <c r="Q32" s="632" t="n">
        <v>4187600</v>
      </c>
      <c r="R32" s="632" t="n">
        <v>4810100</v>
      </c>
      <c r="S32" s="632" t="n">
        <f aca="false">973434131.32/1000</f>
        <v>973434.13132</v>
      </c>
      <c r="T32" s="625" t="n">
        <f aca="false">'Cuenta Ahorro-Inversión-Financi'!U32+'Cuenta Ahorro-Inversión-Financi'!V32</f>
        <v>449977701.98524</v>
      </c>
      <c r="U32" s="632" t="n">
        <f aca="false">449972439224.13/1000</f>
        <v>449972439.22413</v>
      </c>
      <c r="V32" s="632" t="n">
        <f aca="false">5262761.11/1000</f>
        <v>5262.76111</v>
      </c>
      <c r="W32" s="632"/>
      <c r="X32" s="632" t="n">
        <f aca="false">'Cuenta Ahorro-Inversión-Financi'!Y32+'Cuenta Ahorro-Inversión-Financi'!Z32</f>
        <v>72470214.43759</v>
      </c>
      <c r="Y32" s="632" t="n">
        <f aca="false">4964150262.98/1000</f>
        <v>4964150.26298</v>
      </c>
      <c r="Z32" s="632" t="n">
        <f aca="false">67506064174.61/1000</f>
        <v>67506064.17461</v>
      </c>
      <c r="AA32" s="632"/>
      <c r="AB32" s="632"/>
      <c r="AC32" s="632"/>
      <c r="AD32" s="625" t="n">
        <f aca="false">'Cuenta Ahorro-Inversión-Financi'!AE32+'Cuenta Ahorro-Inversión-Financi'!AF32</f>
        <v>4600.22741</v>
      </c>
      <c r="AE32" s="632" t="n">
        <f aca="false">4600227.41/1000</f>
        <v>4600.22741</v>
      </c>
      <c r="AF32" s="632"/>
      <c r="AG32" s="625" t="n">
        <f aca="false">'Cuenta Ahorro-Inversión-Financi'!AD32+'Cuenta Ahorro-Inversión-Financi'!F32</f>
        <v>800661897.37502</v>
      </c>
      <c r="AH32" s="629" t="n">
        <f aca="false">292815889687.8/1000</f>
        <v>292815889.6878</v>
      </c>
      <c r="AI32" s="628" t="n">
        <f aca="false">'Cálculo masa impuestos copartic'!X28*1000</f>
        <v>126199197.124</v>
      </c>
      <c r="AJ32" s="628" t="n">
        <f aca="false">BG32</f>
        <v>18177.00569</v>
      </c>
      <c r="AK32" s="628" t="n">
        <v>2271700</v>
      </c>
      <c r="AL32" s="628" t="n">
        <f aca="false">'Cuenta Ahorro-Inversión-Financi'!BW32</f>
        <v>2758020.679</v>
      </c>
      <c r="AM32" s="628" t="n">
        <v>9045301.221</v>
      </c>
      <c r="AN32" s="627" t="n">
        <f aca="false">'Cuenta Ahorro-Inversión-Financi'!AH32-('Cuenta Ahorro-Inversión-Financi'!AI32+'Cuenta Ahorro-Inversión-Financi'!AK32+'Cuenta Ahorro-Inversión-Financi'!AL32+'Cuenta Ahorro-Inversión-Financi'!AM32)</f>
        <v>152541670.6638</v>
      </c>
      <c r="AO32" s="627" t="n">
        <f aca="false">'Cuenta Ahorro-Inversión-Financi'!AI32-'Cuenta Ahorro-Inversión-Financi'!CH32+'Cuenta Ahorro-Inversión-Financi'!AK32+'Cuenta Ahorro-Inversión-Financi'!AL32+'Cuenta Ahorro-Inversión-Financi'!AM32</f>
        <v>29456784.59573</v>
      </c>
      <c r="AP32" s="627" t="n">
        <f aca="false">'Cuenta Ahorro-Inversión-Financi'!AO32</f>
        <v>29456784.59573</v>
      </c>
      <c r="AQ32" s="630" t="s">
        <v>904</v>
      </c>
      <c r="AR32" s="630"/>
      <c r="AS32" s="630"/>
      <c r="AT32" s="615"/>
      <c r="AU32" s="643" t="n">
        <f aca="false">'Cuenta Ahorro-Inversión-Financi'!BS32/'Cuenta Ahorro-Inversión-Financi'!AV32</f>
        <v>0.0362028255502935</v>
      </c>
      <c r="AV32" s="615" t="n">
        <f aca="false">'Cuenta Ahorro-Inversión-Financi'!BF32-'Cuenta Ahorro-Inversión-Financi'!BL32</f>
        <v>599178917.86085</v>
      </c>
      <c r="AW32" s="631" t="n">
        <v>2016</v>
      </c>
      <c r="AX32" s="625" t="n">
        <f aca="false">'Cuenta Ahorro-Inversión-Financi'!AY32+'Cuenta Ahorro-Inversión-Financi'!BC32+'Cuenta Ahorro-Inversión-Financi'!BF32+'Cuenta Ahorro-Inversión-Financi'!BX32</f>
        <v>774749619.23491</v>
      </c>
      <c r="AY32" s="627" t="n">
        <f aca="false">'Cuenta Ahorro-Inversión-Financi'!AZ32+'Cuenta Ahorro-Inversión-Financi'!BA32</f>
        <v>14554479.38537</v>
      </c>
      <c r="AZ32" s="627" t="n">
        <f aca="false">10969997104.06/1000</f>
        <v>10969997.10406</v>
      </c>
      <c r="BA32" s="627" t="n">
        <f aca="false">(77009081.68+3507473199.63)/1000</f>
        <v>3584482.28131</v>
      </c>
      <c r="BB32" s="627"/>
      <c r="BC32" s="627" t="n">
        <f aca="false">15332488.99/1000</f>
        <v>15332.48899</v>
      </c>
      <c r="BD32" s="627"/>
      <c r="BE32" s="627"/>
      <c r="BF32" s="625" t="n">
        <f aca="false">603990105931.85/1000</f>
        <v>603990105.93185</v>
      </c>
      <c r="BG32" s="625" t="n">
        <f aca="false">18177005.69/1000</f>
        <v>18177.00569</v>
      </c>
      <c r="BH32" s="625"/>
      <c r="BI32" s="625"/>
      <c r="BJ32" s="625"/>
      <c r="BK32" s="625"/>
      <c r="BL32" s="627" t="n">
        <v>4811188.071</v>
      </c>
      <c r="BM32" s="627" t="n">
        <f aca="false">58079.42/1000</f>
        <v>58.07942</v>
      </c>
      <c r="BN32" s="627" t="n">
        <f aca="false">167993739749.3/1000</f>
        <v>167993739.7493</v>
      </c>
      <c r="BO32" s="628" t="n">
        <f aca="false">146118653025.68/1000-215229504.63/1000</f>
        <v>145903423.52105</v>
      </c>
      <c r="BP32" s="628" t="n">
        <f aca="false">22088370468.25/1000</f>
        <v>22088370.46825</v>
      </c>
      <c r="BQ32" s="627" t="n">
        <f aca="false">1945760/1000</f>
        <v>1945.76</v>
      </c>
      <c r="BR32" s="628" t="n">
        <f aca="false">137470981775.6/1000-215229504.63/1000</f>
        <v>137255752.27097</v>
      </c>
      <c r="BS32" s="628" t="n">
        <f aca="false">21691969836.73/1000</f>
        <v>21691969.83673</v>
      </c>
      <c r="BT32" s="641"/>
      <c r="BU32" s="627"/>
      <c r="BV32" s="628" t="n">
        <f aca="false">9046017641.6/1000</f>
        <v>9046017.6416</v>
      </c>
      <c r="BW32" s="628" t="n">
        <v>2758020.679</v>
      </c>
      <c r="BX32" s="628" t="n">
        <f aca="false">'Cuenta Ahorro-Inversión-Financi'!BN32-'Cuenta Ahorro-Inversión-Financi'!BV32-'Cuenta Ahorro-Inversión-Financi'!BW32</f>
        <v>156189701.4287</v>
      </c>
      <c r="BY32" s="628"/>
      <c r="BZ32" s="625" t="n">
        <f aca="false">'Cuenta Ahorro-Inversión-Financi'!CA32+'Cuenta Ahorro-Inversión-Financi'!CB32+'Cuenta Ahorro-Inversión-Financi'!CF32</f>
        <v>2257806.5474</v>
      </c>
      <c r="CA32" s="627" t="n">
        <f aca="false">2257806547.4/1000</f>
        <v>2257806.5474</v>
      </c>
      <c r="CB32" s="627"/>
      <c r="CC32" s="627"/>
      <c r="CD32" s="627"/>
      <c r="CE32" s="627"/>
      <c r="CF32" s="641"/>
      <c r="CG32" s="625" t="n">
        <f aca="false">'Cuenta Ahorro-Inversión-Financi'!BZ32+'Cuenta Ahorro-Inversión-Financi'!AX32</f>
        <v>777007425.78231</v>
      </c>
      <c r="CH32" s="625" t="n">
        <f aca="false">110817434428.27/1000</f>
        <v>110817434.42827</v>
      </c>
      <c r="CI32" s="625"/>
      <c r="CJ32" s="625" t="n">
        <f aca="false">22415518308.14/1000</f>
        <v>22415518.30814</v>
      </c>
      <c r="CK32" s="625" t="n">
        <f aca="false">79945091341.32/1000</f>
        <v>79945091.34132</v>
      </c>
      <c r="CL32" s="625" t="n">
        <f aca="false">88401916120.13/1000-CK32</f>
        <v>8456824.77881</v>
      </c>
      <c r="CM32" s="625" t="n">
        <v>16218300</v>
      </c>
      <c r="CN32" s="625"/>
      <c r="CO32" s="625" t="n">
        <f aca="false">'Cuenta Ahorro-Inversión-Financi'!F32-'Cuenta Ahorro-Inversión-Financi'!AX32</f>
        <v>25907677.9127002</v>
      </c>
      <c r="CP32" s="627" t="n">
        <f aca="false">'Cuenta Ahorro-Inversión-Financi'!CO32+'Cuenta Ahorro-Inversión-Financi'!AD32-'Cuenta Ahorro-Inversión-Financi'!BZ32</f>
        <v>23654471.5927102</v>
      </c>
      <c r="CQ32" s="627" t="n">
        <f aca="false">'Cuenta Ahorro-Inversión-Financi'!T32-'Cuenta Ahorro-Inversión-Financi'!BF32-'Cuenta Ahorro-Inversión-Financi'!BN32</f>
        <v>-322006143.69591</v>
      </c>
      <c r="CR32" s="627" t="n">
        <f aca="false">'Cuenta Ahorro-Inversión-Financi'!F32-'Cuenta Ahorro-Inversión-Financi'!BF32-'Cuenta Ahorro-Inversión-Financi'!BN32-'Cuenta Ahorro-Inversión-Financi'!X32</f>
        <v>-43796762.9711299</v>
      </c>
      <c r="CS32" s="627" t="n">
        <f aca="false">31300557634.2019/1000</f>
        <v>31300557.6342019</v>
      </c>
      <c r="CT32" s="634" t="s">
        <v>905</v>
      </c>
      <c r="CU32" s="634"/>
      <c r="CW32" s="650" t="n">
        <v>2017</v>
      </c>
      <c r="CX32" s="605"/>
      <c r="CY32" s="605"/>
      <c r="CZ32" s="605"/>
      <c r="DA32" s="605"/>
      <c r="DB32" s="605"/>
      <c r="DC32" s="607" t="n">
        <v>9207047993.46307</v>
      </c>
      <c r="DD32" s="605" t="n">
        <v>10602469309.9181</v>
      </c>
      <c r="DE32" s="605" t="n">
        <v>11070090101.6518</v>
      </c>
      <c r="DF32" s="605" t="n">
        <v>11699507791.7232</v>
      </c>
      <c r="DG32" s="606" t="n">
        <f aca="false">('Cuenta Ahorro-Inversión-Financi'!DC32+'Cuenta Ahorro-Inversión-Financi'!DD32+'Cuenta Ahorro-Inversión-Financi'!DE32+'Cuenta Ahorro-Inversión-Financi'!DF32)/4</f>
        <v>10644778799.189</v>
      </c>
      <c r="DI32" s="1" t="n">
        <v>43471551159.65</v>
      </c>
      <c r="DJ32" s="456" t="n">
        <f aca="false">DI32/1000/DG32</f>
        <v>0.00408383790586253</v>
      </c>
      <c r="DK32" s="28"/>
      <c r="DL32" s="28"/>
      <c r="DZ32" s="1" t="n">
        <f aca="false">DZ31+1</f>
        <v>2016</v>
      </c>
      <c r="EB32" s="28" t="n">
        <f aca="false">BO32-BV32-BW32</f>
        <v>134099385.20045</v>
      </c>
      <c r="EC32" s="28" t="n">
        <f aca="false">BS32</f>
        <v>21691969.83673</v>
      </c>
      <c r="ED32" s="456" t="n">
        <f aca="false">EB32/1000/'PIB corriente base 2004'!X20</f>
        <v>0.0162976160439089</v>
      </c>
      <c r="EE32" s="456" t="n">
        <f aca="false">EC32/1000/'PIB corriente base 2004'!X20</f>
        <v>0.00263630884740172</v>
      </c>
      <c r="EF32" s="456" t="n">
        <f aca="false">ED32+EE32</f>
        <v>0.0189339248913106</v>
      </c>
    </row>
    <row r="33" customFormat="false" ht="15.75" hidden="false" customHeight="true" outlineLevel="0" collapsed="false">
      <c r="A33" s="456" t="n">
        <f aca="false">'Cuenta Ahorro-Inversión-Financi'!X33/'Cuenta Ahorro-Inversión-Financi'!F33</f>
        <v>0.113190173588059</v>
      </c>
      <c r="B33" s="456" t="n">
        <f aca="false">'Cuenta Ahorro-Inversión-Financi'!G33/'Cuenta Ahorro-Inversión-Financi'!F33</f>
        <v>0.278311438389141</v>
      </c>
      <c r="C33" s="456" t="n">
        <f aca="false">'Cuenta Ahorro-Inversión-Financi'!T33/'Cuenta Ahorro-Inversión-Financi'!F33</f>
        <v>0.607378610382594</v>
      </c>
      <c r="D33" s="456" t="s">
        <v>906</v>
      </c>
      <c r="E33" s="609" t="s">
        <v>907</v>
      </c>
      <c r="F33" s="610" t="n">
        <f aca="false">'Cuenta Ahorro-Inversión-Financi'!G33+'Cuenta Ahorro-Inversión-Financi'!S33+'Cuenta Ahorro-Inversión-Financi'!T33+'Cuenta Ahorro-Inversión-Financi'!X33+'Cuenta Ahorro-Inversión-Financi'!AA33</f>
        <v>974259326.61034</v>
      </c>
      <c r="G33" s="611" t="n">
        <f aca="false">'Cuenta Ahorro-Inversión-Financi'!H33+'Cuenta Ahorro-Inversión-Financi'!I33+'Cuenta Ahorro-Inversión-Financi'!J33+'Cuenta Ahorro-Inversión-Financi'!P33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3"/>
      <c r="P33" s="612" t="n">
        <f aca="false">12907812600/1000</f>
        <v>12907812.6</v>
      </c>
      <c r="Q33" s="653" t="n">
        <v>5625587</v>
      </c>
      <c r="R33" s="653" t="n">
        <v>7282225.6</v>
      </c>
      <c r="S33" s="612" t="n">
        <f aca="false">1090953809.7/1000</f>
        <v>1090953.8097</v>
      </c>
      <c r="T33" s="610" t="n">
        <f aca="false">U33+V33</f>
        <v>591744275.94887</v>
      </c>
      <c r="U33" s="612" t="n">
        <f aca="false">591737717484.36/1000</f>
        <v>591737717.48436</v>
      </c>
      <c r="V33" s="613" t="n">
        <f aca="false">6558464.51/1000</f>
        <v>6558.46451</v>
      </c>
      <c r="W33" s="613"/>
      <c r="X33" s="612" t="n">
        <f aca="false">Z33+Y33</f>
        <v>110276582.29881</v>
      </c>
      <c r="Y33" s="612" t="n">
        <f aca="false">7054651211.07/1000</f>
        <v>7054651.21107</v>
      </c>
      <c r="Z33" s="612" t="n">
        <f aca="false">103221931087.74/1000</f>
        <v>103221931.08774</v>
      </c>
      <c r="AA33" s="613"/>
      <c r="AB33" s="613"/>
      <c r="AC33" s="613"/>
      <c r="AD33" s="610" t="n">
        <f aca="false">'Cuenta Ahorro-Inversión-Financi'!AE33+'Cuenta Ahorro-Inversión-Financi'!AF33</f>
        <v>1444.23803</v>
      </c>
      <c r="AE33" s="654" t="n">
        <f aca="false">1444238.03/1000</f>
        <v>1444.23803</v>
      </c>
      <c r="AF33" s="613"/>
      <c r="AG33" s="654" t="n">
        <f aca="false">'Cuenta Ahorro-Inversión-Financi'!AD33+'Cuenta Ahorro-Inversión-Financi'!F33</f>
        <v>974260770.84837</v>
      </c>
      <c r="AH33" s="610" t="n">
        <f aca="false">377160739088.46/1000</f>
        <v>377160739.08846</v>
      </c>
      <c r="AI33" s="613" t="n">
        <f aca="false">'Cálculo masa impuestos copartic'!X29*1000</f>
        <v>166461992.04945</v>
      </c>
      <c r="AJ33" s="613" t="n">
        <f aca="false">BG33</f>
        <v>2970227.038</v>
      </c>
      <c r="AK33" s="613" t="n">
        <v>0</v>
      </c>
      <c r="AL33" s="613" t="n">
        <f aca="false">'Cuenta Ahorro-Inversión-Financi'!BW33</f>
        <v>3609378.409</v>
      </c>
      <c r="AM33" s="613" t="n">
        <v>8156877.3</v>
      </c>
      <c r="AN33" s="612" t="n">
        <f aca="false">'Cuenta Ahorro-Inversión-Financi'!AH33-('Cuenta Ahorro-Inversión-Financi'!AI33+'Cuenta Ahorro-Inversión-Financi'!AK33+'Cuenta Ahorro-Inversión-Financi'!AL33+'Cuenta Ahorro-Inversión-Financi'!AM33)</f>
        <v>198932491.33001</v>
      </c>
      <c r="AO33" s="612" t="n">
        <f aca="false">'Cuenta Ahorro-Inversión-Financi'!AI33-'Cuenta Ahorro-Inversión-Financi'!CH33+'Cuenta Ahorro-Inversión-Financi'!AK33+'Cuenta Ahorro-Inversión-Financi'!AL33+'Cuenta Ahorro-Inversión-Financi'!AM33+AJ33</f>
        <v>45654205.10556</v>
      </c>
      <c r="AP33" s="612" t="n">
        <f aca="false">'Cuenta Ahorro-Inversión-Financi'!AO33</f>
        <v>45654205.10556</v>
      </c>
      <c r="AQ33" s="635" t="s">
        <v>904</v>
      </c>
      <c r="AR33" s="655"/>
      <c r="AS33" s="655"/>
      <c r="AT33" s="656"/>
      <c r="AU33" s="656"/>
      <c r="AV33" s="656"/>
      <c r="AW33" s="631" t="n">
        <v>2017</v>
      </c>
      <c r="AX33" s="617" t="n">
        <f aca="false">'Cuenta Ahorro-Inversión-Financi'!AY33+'Cuenta Ahorro-Inversión-Financi'!BC33+'Cuenta Ahorro-Inversión-Financi'!BF33+'Cuenta Ahorro-Inversión-Financi'!BX33</f>
        <v>1063335715.50801</v>
      </c>
      <c r="AY33" s="620" t="n">
        <f aca="false">'Cuenta Ahorro-Inversión-Financi'!AZ33+'Cuenta Ahorro-Inversión-Financi'!BA33</f>
        <v>18322852.72915</v>
      </c>
      <c r="AZ33" s="618" t="n">
        <f aca="false">13817748058.41/1000</f>
        <v>13817748.05841</v>
      </c>
      <c r="BA33" s="618" t="n">
        <f aca="false">(133506595.07+4371598075.67)/1000</f>
        <v>4505104.67074</v>
      </c>
      <c r="BB33" s="619"/>
      <c r="BC33" s="618" t="n">
        <f aca="false">61222478.81/1000</f>
        <v>61222.47881</v>
      </c>
      <c r="BD33" s="619"/>
      <c r="BE33" s="619"/>
      <c r="BF33" s="617" t="n">
        <f aca="false">854575919983.15/1000</f>
        <v>854575919.98315</v>
      </c>
      <c r="BG33" s="617" t="n">
        <f aca="false">2970227038/1000</f>
        <v>2970227.038</v>
      </c>
      <c r="BH33" s="617" t="n">
        <f aca="false">9373728112/1000</f>
        <v>9373728.112</v>
      </c>
      <c r="BI33" s="619"/>
      <c r="BJ33" s="619"/>
      <c r="BK33" s="619"/>
      <c r="BL33" s="618" t="n">
        <v>6394236.85892</v>
      </c>
      <c r="BM33" s="618" t="n">
        <f aca="false">9870.05/1000</f>
        <v>9.87005</v>
      </c>
      <c r="BN33" s="618" t="n">
        <f aca="false">202141976025.9/1000</f>
        <v>202141976.0259</v>
      </c>
      <c r="BO33" s="619" t="n">
        <f aca="false">154650725422.93/1000</f>
        <v>154650725.42293</v>
      </c>
      <c r="BP33" s="619" t="n">
        <f aca="false">47486083873.78/1000</f>
        <v>47486083.87378</v>
      </c>
      <c r="BQ33" s="619" t="n">
        <f aca="false">5166729.19/1000</f>
        <v>5166.72919</v>
      </c>
      <c r="BR33" s="619" t="n">
        <f aca="false">162361618272.29/1000</f>
        <v>162361618.27229</v>
      </c>
      <c r="BS33" s="619" t="n">
        <f aca="false">31623480453.61/1000</f>
        <v>31623480.45361</v>
      </c>
      <c r="BT33" s="619"/>
      <c r="BU33" s="619"/>
      <c r="BV33" s="619" t="n">
        <v>8156877.3</v>
      </c>
      <c r="BW33" s="619" t="n">
        <v>3609378.409</v>
      </c>
      <c r="BX33" s="619" t="n">
        <f aca="false">'Cuenta Ahorro-Inversión-Financi'!BN33-'Cuenta Ahorro-Inversión-Financi'!BV33-'Cuenta Ahorro-Inversión-Financi'!BW33</f>
        <v>190375720.3169</v>
      </c>
      <c r="BY33" s="619"/>
      <c r="BZ33" s="617" t="n">
        <f aca="false">'Cuenta Ahorro-Inversión-Financi'!CA33+'Cuenta Ahorro-Inversión-Financi'!CB33+'Cuenta Ahorro-Inversión-Financi'!CF33</f>
        <v>567026.85153</v>
      </c>
      <c r="CA33" s="619" t="n">
        <f aca="false">567026851.53/1000</f>
        <v>567026.85153</v>
      </c>
      <c r="CB33" s="619"/>
      <c r="CC33" s="619"/>
      <c r="CD33" s="619"/>
      <c r="CE33" s="619"/>
      <c r="CF33" s="619"/>
      <c r="CG33" s="617" t="n">
        <f aca="false">'Cuenta Ahorro-Inversión-Financi'!BZ33+'Cuenta Ahorro-Inversión-Financi'!AX33</f>
        <v>1063902742.35954</v>
      </c>
      <c r="CH33" s="617" t="n">
        <f aca="false">135544269690.89/1000</f>
        <v>135544269.69089</v>
      </c>
      <c r="CI33" s="649"/>
      <c r="CJ33" s="617" t="n">
        <f aca="false">30933083008.08/1000</f>
        <v>30933083.00808</v>
      </c>
      <c r="CK33" s="617" t="n">
        <f aca="false">92478820884.8/1000</f>
        <v>92478820.8848</v>
      </c>
      <c r="CL33" s="617" t="n">
        <f aca="false">104611186682.81/1000-CK33</f>
        <v>12132365.79801</v>
      </c>
      <c r="CM33" s="657" t="n">
        <f aca="false">18023556128.08/1000</f>
        <v>18023556.12808</v>
      </c>
      <c r="CN33" s="657" t="n">
        <f aca="false">2012218469.46/1000</f>
        <v>2012218.46946</v>
      </c>
      <c r="CO33" s="649" t="n">
        <f aca="false">'Cuenta Ahorro-Inversión-Financi'!F33-'Cuenta Ahorro-Inversión-Financi'!AX33</f>
        <v>-89076388.89767</v>
      </c>
      <c r="CP33" s="619" t="n">
        <f aca="false">'Cuenta Ahorro-Inversión-Financi'!CO33+'Cuenta Ahorro-Inversión-Financi'!AD33-'Cuenta Ahorro-Inversión-Financi'!BZ33</f>
        <v>-89641971.51117</v>
      </c>
      <c r="CQ33" s="619" t="n">
        <f aca="false">'Cuenta Ahorro-Inversión-Financi'!T33-'Cuenta Ahorro-Inversión-Financi'!BF33-'Cuenta Ahorro-Inversión-Financi'!BN33</f>
        <v>-464973620.06018</v>
      </c>
      <c r="CR33" s="619"/>
      <c r="CS33" s="618" t="n">
        <f aca="false">77978.3298140266*1000</f>
        <v>77978329.8140266</v>
      </c>
      <c r="CT33" s="637" t="s">
        <v>908</v>
      </c>
      <c r="CU33" s="658"/>
      <c r="CW33" s="650" t="n">
        <v>2018</v>
      </c>
      <c r="CX33" s="651"/>
      <c r="CY33" s="651"/>
      <c r="CZ33" s="651"/>
      <c r="DA33" s="651"/>
      <c r="DB33" s="652"/>
      <c r="DC33" s="623" t="n">
        <v>12295597168.7493</v>
      </c>
      <c r="DD33" s="98" t="n">
        <v>14242781391.0506</v>
      </c>
      <c r="DE33" s="98" t="n">
        <v>14960937951.1837</v>
      </c>
      <c r="DF33" s="98" t="n">
        <v>16766919057.5723</v>
      </c>
      <c r="DG33" s="622" t="n">
        <f aca="false">('Cuenta Ahorro-Inversión-Financi'!DC33+'Cuenta Ahorro-Inversión-Financi'!DD33+'Cuenta Ahorro-Inversión-Financi'!DE33+'Cuenta Ahorro-Inversión-Financi'!DF33)/4</f>
        <v>14566558892.139</v>
      </c>
      <c r="DH33" s="456"/>
      <c r="DJ33" s="456"/>
      <c r="DZ33" s="1" t="n">
        <f aca="false">DZ32+1</f>
        <v>2017</v>
      </c>
      <c r="EB33" s="28" t="n">
        <f aca="false">BO33-BV33-BW33</f>
        <v>142884469.71393</v>
      </c>
      <c r="EC33" s="28" t="n">
        <f aca="false">BS33</f>
        <v>31623480.45361</v>
      </c>
      <c r="ED33" s="456" t="n">
        <f aca="false">EB33/1000/'PIB corriente base 2004'!X21</f>
        <v>0.0134229627885565</v>
      </c>
      <c r="EE33" s="456" t="n">
        <f aca="false">EC33/1000/'PIB corriente base 2004'!X21</f>
        <v>0.00297079733174157</v>
      </c>
      <c r="EF33" s="456" t="n">
        <f aca="false">ED33+EE33</f>
        <v>0.0163937601202981</v>
      </c>
    </row>
    <row r="34" customFormat="false" ht="21" hidden="false" customHeight="true" outlineLevel="0" collapsed="false">
      <c r="A34" s="456" t="n">
        <f aca="false">AVERAGE('Cuenta Ahorro-Inversión-Financi'!A25:A32)</f>
        <v>0.084691357817953</v>
      </c>
      <c r="B34" s="456" t="n">
        <f aca="false">AVERAGE('Cuenta Ahorro-Inversión-Financi'!B25:B32)</f>
        <v>0.262397076705192</v>
      </c>
      <c r="C34" s="456" t="n">
        <f aca="false">AVERAGE('Cuenta Ahorro-Inversión-Financi'!C25:C32)</f>
        <v>0.651774981665321</v>
      </c>
      <c r="D34" s="456"/>
      <c r="E34" s="609" t="s">
        <v>909</v>
      </c>
      <c r="F34" s="625" t="n">
        <f aca="false">'Cuenta Ahorro-Inversión-Financi'!G34+'Cuenta Ahorro-Inversión-Financi'!S34+'Cuenta Ahorro-Inversión-Financi'!T34+'Cuenta Ahorro-Inversión-Financi'!X34+'Cuenta Ahorro-Inversión-Financi'!AA34</f>
        <v>1311048363.8691</v>
      </c>
      <c r="G34" s="626" t="n">
        <f aca="false">'Cuenta Ahorro-Inversión-Financi'!H34+'Cuenta Ahorro-Inversión-Financi'!I34+'Cuenta Ahorro-Inversión-Financi'!J34+'Cuenta Ahorro-Inversión-Financi'!P34</f>
        <v>387779655.10095</v>
      </c>
      <c r="H34" s="632"/>
      <c r="I34" s="632"/>
      <c r="J34" s="632" t="n">
        <v>369916840.60095</v>
      </c>
      <c r="K34" s="659" t="n">
        <v>106984441.63282</v>
      </c>
      <c r="L34" s="633" t="n">
        <v>30341077.9158</v>
      </c>
      <c r="M34" s="633"/>
      <c r="N34" s="633"/>
      <c r="O34" s="633" t="n">
        <f aca="false">J34-SUM(K34:N34)</f>
        <v>232591321.05233</v>
      </c>
      <c r="P34" s="632" t="n">
        <f aca="false">17862814500/1000</f>
        <v>17862814.5</v>
      </c>
      <c r="Q34" s="632" t="n">
        <v>6845924</v>
      </c>
      <c r="R34" s="632" t="n">
        <v>11016890.5</v>
      </c>
      <c r="S34" s="632" t="n">
        <f aca="false">1442478893.57/1000</f>
        <v>1442478.89357</v>
      </c>
      <c r="T34" s="625" t="n">
        <f aca="false">U34+V34</f>
        <v>738595132.5425</v>
      </c>
      <c r="U34" s="632" t="n">
        <f aca="false">738588101462.45/1000</f>
        <v>738588101.46245</v>
      </c>
      <c r="V34" s="632" t="n">
        <f aca="false">7031080.05/1000</f>
        <v>7031.08005</v>
      </c>
      <c r="W34" s="633"/>
      <c r="X34" s="632" t="n">
        <f aca="false">Y34+Z34</f>
        <v>183231097.33208</v>
      </c>
      <c r="Y34" s="632" t="n">
        <f aca="false">8838814545.61/1000</f>
        <v>8838814.54561</v>
      </c>
      <c r="Z34" s="632" t="n">
        <f aca="false">174392282786.47/1000</f>
        <v>174392282.78647</v>
      </c>
      <c r="AA34" s="633"/>
      <c r="AB34" s="633"/>
      <c r="AC34" s="633"/>
      <c r="AD34" s="625" t="n">
        <f aca="false">AE34+AF34</f>
        <v>27323.32056</v>
      </c>
      <c r="AE34" s="633" t="n">
        <f aca="false">1160820.56/1000</f>
        <v>1160.82056</v>
      </c>
      <c r="AF34" s="633" t="n">
        <f aca="false">26162500/1000</f>
        <v>26162.5</v>
      </c>
      <c r="AG34" s="625" t="n">
        <f aca="false">'Cuenta Ahorro-Inversión-Financi'!AD34+'Cuenta Ahorro-Inversión-Financi'!F34</f>
        <v>1311075687.18966</v>
      </c>
      <c r="AH34" s="660" t="n">
        <f aca="false">382990766338.38/1000</f>
        <v>382990766.33838</v>
      </c>
      <c r="AI34" s="628" t="n">
        <f aca="false">'Cálculo masa impuestos copartic'!X30*1000</f>
        <v>260430300</v>
      </c>
      <c r="AJ34" s="628" t="n">
        <f aca="false">BG34</f>
        <v>8603980.081</v>
      </c>
      <c r="AK34" s="628" t="n">
        <v>0</v>
      </c>
      <c r="AL34" s="628" t="n">
        <f aca="false">4021642214/1000</f>
        <v>4021642.214</v>
      </c>
      <c r="AM34" s="628" t="n">
        <f aca="false">678257489/1000</f>
        <v>678257.489</v>
      </c>
      <c r="AN34" s="627" t="n">
        <f aca="false">'Cuenta Ahorro-Inversión-Financi'!AH34-('Cuenta Ahorro-Inversión-Financi'!AI34+'Cuenta Ahorro-Inversión-Financi'!AK34+'Cuenta Ahorro-Inversión-Financi'!AL34+'Cuenta Ahorro-Inversión-Financi'!AM34)</f>
        <v>117860566.63538</v>
      </c>
      <c r="AO34" s="627" t="n">
        <f aca="false">'Cuenta Ahorro-Inversión-Financi'!AI34-'Cuenta Ahorro-Inversión-Financi'!CH34+'Cuenta Ahorro-Inversión-Financi'!AK34+'Cuenta Ahorro-Inversión-Financi'!AL34+'Cuenta Ahorro-Inversión-Financi'!AM34+AJ34</f>
        <v>133167073.28025</v>
      </c>
      <c r="AP34" s="627" t="n">
        <f aca="false">'Cuenta Ahorro-Inversión-Financi'!AO34</f>
        <v>133167073.28025</v>
      </c>
      <c r="AQ34" s="630" t="s">
        <v>910</v>
      </c>
      <c r="AR34" s="661"/>
      <c r="AS34" s="661"/>
      <c r="AT34" s="662"/>
      <c r="AU34" s="662"/>
      <c r="AV34" s="662"/>
      <c r="AW34" s="631" t="n">
        <v>2018</v>
      </c>
      <c r="AX34" s="625" t="n">
        <f aca="false">'Cuenta Ahorro-Inversión-Financi'!AY34+'Cuenta Ahorro-Inversión-Financi'!BC34+'Cuenta Ahorro-Inversión-Financi'!BF34+'Cuenta Ahorro-Inversión-Financi'!BX34</f>
        <v>1401889393.64882</v>
      </c>
      <c r="AY34" s="627" t="n">
        <f aca="false">'Cuenta Ahorro-Inversión-Financi'!AZ34+'Cuenta Ahorro-Inversión-Financi'!BA34</f>
        <v>21525462.73405</v>
      </c>
      <c r="AZ34" s="627" t="n">
        <f aca="false">16381281.80116</f>
        <v>16381281.80116</v>
      </c>
      <c r="BA34" s="627" t="n">
        <f aca="false">(109201137.69+5034979795.2)/1000</f>
        <v>5144180.93289</v>
      </c>
      <c r="BB34" s="627"/>
      <c r="BC34" s="627" t="n">
        <f aca="false">65887508.52/1000</f>
        <v>65887.50852</v>
      </c>
      <c r="BD34" s="627"/>
      <c r="BE34" s="627"/>
      <c r="BF34" s="625" t="n">
        <f aca="false">1122621499164.77/1000</f>
        <v>1122621499.16477</v>
      </c>
      <c r="BG34" s="625" t="n">
        <f aca="false">8603980081/1000</f>
        <v>8603980.081</v>
      </c>
      <c r="BH34" s="625" t="n">
        <f aca="false">38198551272/1000</f>
        <v>38198551.272</v>
      </c>
      <c r="BI34" s="625"/>
      <c r="BJ34" s="625"/>
      <c r="BK34" s="625"/>
      <c r="BL34" s="627" t="n">
        <f aca="false">8240048329/1000</f>
        <v>8240048.329</v>
      </c>
      <c r="BM34" s="627" t="n">
        <f aca="false">5025.51/1000</f>
        <v>5.02551</v>
      </c>
      <c r="BN34" s="627" t="n">
        <f aca="false">262376443944.28/1000</f>
        <v>262376443.94428</v>
      </c>
      <c r="BO34" s="628" t="n">
        <f aca="false">195535781874.51/1000</f>
        <v>195535781.87451</v>
      </c>
      <c r="BP34" s="628" t="n">
        <f aca="false">66835065776.27/1000</f>
        <v>66835065.77627</v>
      </c>
      <c r="BQ34" s="628" t="n">
        <f aca="false">5596293.5/1000</f>
        <v>5596.2935</v>
      </c>
      <c r="BR34" s="628" t="n">
        <f aca="false">220656454453.54/1000</f>
        <v>220656454.45354</v>
      </c>
      <c r="BS34" s="628" t="n">
        <f aca="false">41041732001.94/1000</f>
        <v>41041732.00194</v>
      </c>
      <c r="BT34" s="641"/>
      <c r="BU34" s="627"/>
      <c r="BV34" s="628" t="n">
        <v>678257.4888</v>
      </c>
      <c r="BW34" s="628" t="n">
        <f aca="false">AL34</f>
        <v>4021642.214</v>
      </c>
      <c r="BX34" s="628" t="n">
        <f aca="false">'Cuenta Ahorro-Inversión-Financi'!BN34-'Cuenta Ahorro-Inversión-Financi'!BV34-'Cuenta Ahorro-Inversión-Financi'!BW34</f>
        <v>257676544.24148</v>
      </c>
      <c r="BY34" s="628"/>
      <c r="BZ34" s="625" t="n">
        <f aca="false">'Cuenta Ahorro-Inversión-Financi'!CA34+'Cuenta Ahorro-Inversión-Financi'!CB34+'Cuenta Ahorro-Inversión-Financi'!CF34</f>
        <v>6272.39871</v>
      </c>
      <c r="CA34" s="628" t="n">
        <f aca="false">6272398.71/1000</f>
        <v>6272.39871</v>
      </c>
      <c r="CB34" s="627"/>
      <c r="CC34" s="627"/>
      <c r="CD34" s="627"/>
      <c r="CE34" s="627"/>
      <c r="CF34" s="641"/>
      <c r="CG34" s="625" t="n">
        <f aca="false">'Cuenta Ahorro-Inversión-Financi'!BZ34+'Cuenta Ahorro-Inversión-Financi'!AX34</f>
        <v>1401895666.04753</v>
      </c>
      <c r="CH34" s="625" t="n">
        <f aca="false">140567106.50375</f>
        <v>140567106.50375</v>
      </c>
      <c r="CI34" s="625"/>
      <c r="CJ34" s="625" t="n">
        <f aca="false">39299818627.15/1000</f>
        <v>39299818.62715</v>
      </c>
      <c r="CK34" s="625" t="n">
        <f aca="false">88985224607.52/1000</f>
        <v>88985224.60752</v>
      </c>
      <c r="CL34" s="625" t="n">
        <f aca="false">140567106.50375-CK34-CJ34</f>
        <v>12282063.26908</v>
      </c>
      <c r="CM34" s="625" t="n">
        <f aca="false">22662949946.06/1000</f>
        <v>22662949.94606</v>
      </c>
      <c r="CN34" s="625" t="n">
        <f aca="false">5468244013.05/1000</f>
        <v>5468244.01305</v>
      </c>
      <c r="CO34" s="625" t="n">
        <f aca="false">'Cuenta Ahorro-Inversión-Financi'!F34-'Cuenta Ahorro-Inversión-Financi'!AX34</f>
        <v>-90841029.7797201</v>
      </c>
      <c r="CP34" s="627" t="n">
        <f aca="false">'Cuenta Ahorro-Inversión-Financi'!CO34+'Cuenta Ahorro-Inversión-Financi'!AD34-'Cuenta Ahorro-Inversión-Financi'!BZ34</f>
        <v>-90819978.8578701</v>
      </c>
      <c r="CQ34" s="627" t="n">
        <f aca="false">'Cuenta Ahorro-Inversión-Financi'!T34-'Cuenta Ahorro-Inversión-Financi'!BF34-'Cuenta Ahorro-Inversión-Financi'!BN34</f>
        <v>-646402810.56655</v>
      </c>
      <c r="CR34" s="627"/>
      <c r="CS34" s="627" t="n">
        <f aca="false">168141.7*1000</f>
        <v>168141700</v>
      </c>
      <c r="CT34" s="634" t="s">
        <v>908</v>
      </c>
      <c r="CU34" s="456"/>
      <c r="CV34" s="456"/>
      <c r="CW34" s="456"/>
      <c r="CX34" s="456"/>
      <c r="CY34" s="456"/>
      <c r="CZ34" s="456"/>
      <c r="DA34" s="456"/>
      <c r="DB34" s="456"/>
      <c r="DC34" s="456"/>
      <c r="DD34" s="456"/>
      <c r="DE34" s="456"/>
      <c r="DF34" s="456"/>
      <c r="DG34" s="456"/>
      <c r="DH34" s="456"/>
      <c r="DI34" s="456"/>
      <c r="DJ34" s="456"/>
      <c r="DK34" s="456"/>
      <c r="DL34" s="456"/>
      <c r="DM34" s="456"/>
      <c r="DN34" s="456"/>
      <c r="DO34" s="456"/>
      <c r="DZ34" s="28"/>
      <c r="EA34" s="28"/>
      <c r="EB34" s="456"/>
      <c r="EC34" s="456"/>
      <c r="ED34" s="456"/>
    </row>
    <row r="35" customFormat="false" ht="14.45" hidden="false" customHeight="true" outlineLevel="0" collapsed="false">
      <c r="A35" s="456"/>
      <c r="B35" s="456"/>
      <c r="C35" s="456"/>
      <c r="D35" s="456"/>
      <c r="E35" s="609" t="s">
        <v>911</v>
      </c>
      <c r="F35" s="610" t="n">
        <f aca="false">'Cuenta Ahorro-Inversión-Financi'!G35+'Cuenta Ahorro-Inversión-Financi'!S35+'Cuenta Ahorro-Inversión-Financi'!T35+'Cuenta Ahorro-Inversión-Financi'!X35+'Cuenta Ahorro-Inversión-Financi'!AA35</f>
        <v>1849133314.83913</v>
      </c>
      <c r="G35" s="611" t="n">
        <f aca="false">'Cuenta Ahorro-Inversión-Financi'!H35+'Cuenta Ahorro-Inversión-Financi'!I35+'Cuenta Ahorro-Inversión-Financi'!J35+'Cuenta Ahorro-Inversión-Financi'!P35</f>
        <v>559597499.72566</v>
      </c>
      <c r="H35" s="612"/>
      <c r="I35" s="612"/>
      <c r="J35" s="612" t="n">
        <f aca="false">SUM(K35:O35)</f>
        <v>536164065.08228</v>
      </c>
      <c r="K35" s="647" t="n">
        <f aca="false">151152893489.43/1000</f>
        <v>151152893.48943</v>
      </c>
      <c r="L35" s="613" t="n">
        <f aca="false">17500.9/1000+41698451389.7/1000</f>
        <v>41698468.8906</v>
      </c>
      <c r="M35" s="647"/>
      <c r="N35" s="613"/>
      <c r="O35" s="613" t="n">
        <f aca="false">343312702702.25/1000</f>
        <v>343312702.70225</v>
      </c>
      <c r="P35" s="612" t="n">
        <f aca="false">Q35+R35</f>
        <v>23433434.64338</v>
      </c>
      <c r="Q35" s="653" t="n">
        <f aca="false">9268001000/1000</f>
        <v>9268001</v>
      </c>
      <c r="R35" s="653" t="n">
        <f aca="false">14165433643.38/1000</f>
        <v>14165433.64338</v>
      </c>
      <c r="S35" s="612" t="n">
        <f aca="false">1984403048.13/1000</f>
        <v>1984403.04813</v>
      </c>
      <c r="T35" s="610" t="n">
        <f aca="false">982689787693.62/1000</f>
        <v>982689787.69362</v>
      </c>
      <c r="U35" s="612" t="n">
        <f aca="false">982681385411.19/1000</f>
        <v>982681385.41119</v>
      </c>
      <c r="V35" s="612" t="n">
        <f aca="false">8402282.43/1000</f>
        <v>8402.28243</v>
      </c>
      <c r="W35" s="613"/>
      <c r="X35" s="612" t="n">
        <f aca="false">Z35+Y35</f>
        <v>304861624.37172</v>
      </c>
      <c r="Y35" s="612" t="n">
        <f aca="false">19975926274.18/1000</f>
        <v>19975926.27418</v>
      </c>
      <c r="Z35" s="612" t="n">
        <f aca="false">284885698097.54/1000</f>
        <v>284885698.09754</v>
      </c>
      <c r="AA35" s="613"/>
      <c r="AB35" s="613"/>
      <c r="AC35" s="613"/>
      <c r="AD35" s="610" t="n">
        <f aca="false">AE35+AF35</f>
        <v>29344500.53468</v>
      </c>
      <c r="AE35" s="613" t="n">
        <f aca="false">29333248569.97/1000</f>
        <v>29333248.56997</v>
      </c>
      <c r="AF35" s="613" t="n">
        <f aca="false">11251964.71/1000</f>
        <v>11251.96471</v>
      </c>
      <c r="AG35" s="654" t="n">
        <f aca="false">'Cuenta Ahorro-Inversión-Financi'!AD35+'Cuenta Ahorro-Inversión-Financi'!F35</f>
        <v>1878477815.37381</v>
      </c>
      <c r="AH35" s="610" t="n">
        <f aca="false">658763744762.93/1000</f>
        <v>658763744.76293</v>
      </c>
      <c r="AI35" s="613" t="n">
        <f aca="false">372410.1834225*1000</f>
        <v>372410183.4225</v>
      </c>
      <c r="AJ35" s="613" t="n">
        <f aca="false">17242566505/1000</f>
        <v>17242566.505</v>
      </c>
      <c r="AK35" s="613" t="n">
        <v>0</v>
      </c>
      <c r="AL35" s="613" t="n">
        <f aca="false">4808127870/1000</f>
        <v>4808127.87</v>
      </c>
      <c r="AM35" s="613" t="n">
        <v>0</v>
      </c>
      <c r="AN35" s="613" t="n">
        <f aca="false">'Cuenta Ahorro-Inversión-Financi'!AH35-('Cuenta Ahorro-Inversión-Financi'!AI35+'Cuenta Ahorro-Inversión-Financi'!AK35+'Cuenta Ahorro-Inversión-Financi'!AL35+'Cuenta Ahorro-Inversión-Financi'!AM35)</f>
        <v>281545433.47043</v>
      </c>
      <c r="AO35" s="613" t="n">
        <f aca="false">'Cuenta Ahorro-Inversión-Financi'!AI35-'Cuenta Ahorro-Inversión-Financi'!CH35+'Cuenta Ahorro-Inversión-Financi'!AK35+'Cuenta Ahorro-Inversión-Financi'!AL35+'Cuenta Ahorro-Inversión-Financi'!AM35+AJ35</f>
        <v>186349907.53296</v>
      </c>
      <c r="AP35" s="613" t="n">
        <f aca="false">'Cuenta Ahorro-Inversión-Financi'!AO35</f>
        <v>186349907.53296</v>
      </c>
      <c r="AQ35" s="635" t="s">
        <v>912</v>
      </c>
      <c r="AR35" s="655"/>
      <c r="AS35" s="655"/>
      <c r="AT35" s="662"/>
      <c r="AU35" s="662"/>
      <c r="AV35" s="662"/>
      <c r="AW35" s="631" t="n">
        <v>2019</v>
      </c>
      <c r="AX35" s="617" t="n">
        <f aca="false">'Cuenta Ahorro-Inversión-Financi'!AY35+'Cuenta Ahorro-Inversión-Financi'!BC35+'Cuenta Ahorro-Inversión-Financi'!BF35+'Cuenta Ahorro-Inversión-Financi'!BX35</f>
        <v>2019667077.06469</v>
      </c>
      <c r="AY35" s="620" t="n">
        <f aca="false">AZ35+BA35</f>
        <v>27068720.54651</v>
      </c>
      <c r="AZ35" s="618" t="n">
        <f aca="false">20898432977.94/1000</f>
        <v>20898432.97794</v>
      </c>
      <c r="BA35" s="618" t="n">
        <f aca="false">(199337279.35/1000+5970950289.22/1000)</f>
        <v>6170287.56857</v>
      </c>
      <c r="BB35" s="619"/>
      <c r="BC35" s="618" t="n">
        <f aca="false">107234650.91/1000</f>
        <v>107234.65091</v>
      </c>
      <c r="BD35" s="619"/>
      <c r="BE35" s="619"/>
      <c r="BF35" s="617" t="n">
        <f aca="false">1614484536000.68/1000</f>
        <v>1614484536.00068</v>
      </c>
      <c r="BG35" s="617" t="n">
        <f aca="false">AJ35</f>
        <v>17242566.505</v>
      </c>
      <c r="BH35" s="617" t="n">
        <f aca="false">52849724776/1000</f>
        <v>52849724.776</v>
      </c>
      <c r="BI35" s="619"/>
      <c r="BJ35" s="619"/>
      <c r="BK35" s="619"/>
      <c r="BL35" s="618" t="n">
        <f aca="false">11479346169/1000</f>
        <v>11479346.169</v>
      </c>
      <c r="BM35" s="618" t="n">
        <f aca="false">10206.68/1000</f>
        <v>10.20668</v>
      </c>
      <c r="BN35" s="618" t="n">
        <f aca="false">382814713736.59/1000</f>
        <v>382814713.73659</v>
      </c>
      <c r="BO35" s="619" t="n">
        <f aca="false">290620040966.05/1000</f>
        <v>290620040.96605</v>
      </c>
      <c r="BP35" s="619" t="n">
        <f aca="false">92186567795.41/1000</f>
        <v>92186567.79541</v>
      </c>
      <c r="BQ35" s="619" t="n">
        <f aca="false">8104975.13/1000</f>
        <v>8104.97513</v>
      </c>
      <c r="BR35" s="619" t="n">
        <f aca="false">324229936405.62/1000</f>
        <v>324229936.40562</v>
      </c>
      <c r="BS35" s="619" t="n">
        <f aca="false">58584777330.97/1000</f>
        <v>58584777.33097</v>
      </c>
      <c r="BT35" s="619"/>
      <c r="BU35" s="619"/>
      <c r="BV35" s="619"/>
      <c r="BW35" s="619" t="n">
        <f aca="false">AL35</f>
        <v>4808127.87</v>
      </c>
      <c r="BX35" s="619" t="n">
        <f aca="false">'Cuenta Ahorro-Inversión-Financi'!BN35-'Cuenta Ahorro-Inversión-Financi'!BV35-'Cuenta Ahorro-Inversión-Financi'!BW35</f>
        <v>378006585.86659</v>
      </c>
      <c r="BY35" s="619"/>
      <c r="BZ35" s="617" t="n">
        <f aca="false">CA35</f>
        <v>662193.57994</v>
      </c>
      <c r="CA35" s="619" t="n">
        <f aca="false">662193579.94/1000</f>
        <v>662193.57994</v>
      </c>
      <c r="CB35" s="619"/>
      <c r="CC35" s="619"/>
      <c r="CD35" s="619"/>
      <c r="CE35" s="619"/>
      <c r="CF35" s="619"/>
      <c r="CG35" s="617" t="n">
        <f aca="false">'Cuenta Ahorro-Inversión-Financi'!BZ35+'Cuenta Ahorro-Inversión-Financi'!AX35</f>
        <v>2020329270.64463</v>
      </c>
      <c r="CH35" s="617" t="n">
        <f aca="false">208110970264.54/1000</f>
        <v>208110970.26454</v>
      </c>
      <c r="CI35" s="649"/>
      <c r="CJ35" s="617" t="n">
        <f aca="false">68320169714.74/1000</f>
        <v>68320169.71474</v>
      </c>
      <c r="CK35" s="617" t="n">
        <f aca="false">131071459254.52/1000</f>
        <v>131071459.25452</v>
      </c>
      <c r="CL35" s="617" t="n">
        <f aca="false">CH35-CJ35-CK35</f>
        <v>8719341.29528004</v>
      </c>
      <c r="CM35" s="657" t="n">
        <f aca="false">34713224421.91/1000</f>
        <v>34713224.42191</v>
      </c>
      <c r="CN35" s="657" t="n">
        <f aca="false">6123626529.34/1000</f>
        <v>6123626.52934</v>
      </c>
      <c r="CO35" s="649" t="n">
        <f aca="false">'Cuenta Ahorro-Inversión-Financi'!F35-'Cuenta Ahorro-Inversión-Financi'!AX35</f>
        <v>-170533762.22556</v>
      </c>
      <c r="CP35" s="619" t="n">
        <f aca="false">'Cuenta Ahorro-Inversión-Financi'!CO35+'Cuenta Ahorro-Inversión-Financi'!AD35-'Cuenta Ahorro-Inversión-Financi'!BZ35</f>
        <v>-141851455.27082</v>
      </c>
      <c r="CQ35" s="619" t="n">
        <f aca="false">'Cuenta Ahorro-Inversión-Financi'!T35-'Cuenta Ahorro-Inversión-Financi'!BF35-'Cuenta Ahorro-Inversión-Financi'!BN35</f>
        <v>-1014609462.04365</v>
      </c>
      <c r="CR35" s="619"/>
      <c r="CS35" s="618" t="n">
        <f aca="false">306424.71635524*1000</f>
        <v>306424716.35524</v>
      </c>
      <c r="CT35" s="637" t="s">
        <v>908</v>
      </c>
      <c r="CU35" s="658"/>
      <c r="CV35" s="456"/>
      <c r="CW35" s="456"/>
      <c r="CX35" s="456"/>
      <c r="CY35" s="456"/>
      <c r="CZ35" s="456"/>
      <c r="DA35" s="456"/>
      <c r="DB35" s="456"/>
      <c r="DC35" s="456"/>
      <c r="DD35" s="456"/>
      <c r="DE35" s="456"/>
      <c r="DF35" s="456"/>
      <c r="DG35" s="456"/>
      <c r="DH35" s="456"/>
      <c r="DI35" s="456"/>
      <c r="DJ35" s="456"/>
      <c r="DK35" s="456"/>
      <c r="DL35" s="456"/>
      <c r="DM35" s="456"/>
      <c r="DN35" s="456"/>
      <c r="DO35" s="456"/>
      <c r="DZ35" s="28"/>
      <c r="EA35" s="28"/>
      <c r="EB35" s="456"/>
      <c r="EC35" s="456"/>
      <c r="ED35" s="456"/>
    </row>
    <row r="36" customFormat="false" ht="15.75" hidden="false" customHeight="true" outlineLevel="0" collapsed="false">
      <c r="C36" s="1" t="n">
        <v>29081800</v>
      </c>
      <c r="D36" s="456"/>
      <c r="E36" s="456"/>
      <c r="F36" s="663" t="n">
        <f aca="false">F32-786538325066.52/1000</f>
        <v>14118972.0810901</v>
      </c>
      <c r="G36" s="663" t="n">
        <f aca="false">F36-I32+V75/1000-CN33</f>
        <v>-88427544.6399399</v>
      </c>
      <c r="H36" s="456"/>
      <c r="I36" s="456"/>
      <c r="J36" s="456" t="n">
        <f aca="false">K36/'PIB corriente base 2004'!X22/1000</f>
        <v>0.0159674857167434</v>
      </c>
      <c r="K36" s="28" t="n">
        <f aca="false">J34-K34-L34</f>
        <v>232591321.05233</v>
      </c>
      <c r="L36" s="456"/>
      <c r="M36" s="456"/>
      <c r="N36" s="456"/>
      <c r="O36" s="664"/>
      <c r="P36" s="665"/>
      <c r="Q36" s="456"/>
      <c r="R36" s="456"/>
      <c r="S36" s="456"/>
      <c r="T36" s="666"/>
      <c r="U36" s="456" t="s">
        <v>913</v>
      </c>
      <c r="V36" s="667" t="n">
        <v>15554.1</v>
      </c>
      <c r="W36" s="456" t="s">
        <v>914</v>
      </c>
      <c r="X36" s="663" t="n">
        <f aca="false">X34+(Y36+Z36)/1000</f>
        <v>183258420.65264</v>
      </c>
      <c r="Y36" s="581" t="n">
        <v>26162500</v>
      </c>
      <c r="Z36" s="581" t="n">
        <v>1160820.56</v>
      </c>
      <c r="AA36" s="456"/>
      <c r="AB36" s="456"/>
      <c r="AC36" s="456"/>
      <c r="AD36" s="456"/>
      <c r="AE36" s="456"/>
      <c r="AF36" s="456"/>
      <c r="AG36" s="456"/>
      <c r="AH36" s="456"/>
      <c r="AI36" s="456"/>
      <c r="AJ36" s="456"/>
      <c r="AK36" s="456"/>
      <c r="AL36" s="456"/>
      <c r="AM36" s="456"/>
      <c r="AN36" s="456"/>
      <c r="AO36" s="456"/>
      <c r="AP36" s="661" t="s">
        <v>915</v>
      </c>
      <c r="AQ36" s="456"/>
      <c r="AR36" s="456"/>
      <c r="AS36" s="456"/>
      <c r="AT36" s="456"/>
      <c r="AU36" s="456"/>
      <c r="AV36" s="667"/>
      <c r="AW36" s="668"/>
      <c r="AX36" s="668"/>
      <c r="AY36" s="668"/>
      <c r="AZ36" s="667"/>
      <c r="BA36" s="667"/>
      <c r="BB36" s="456"/>
      <c r="BC36" s="456"/>
      <c r="BD36" s="456"/>
      <c r="BE36" s="669"/>
      <c r="BF36" s="670"/>
      <c r="BG36" s="456"/>
      <c r="BH36" s="456"/>
      <c r="BI36" s="456"/>
      <c r="BJ36" s="671" t="n">
        <v>7751887161</v>
      </c>
      <c r="BK36" s="669" t="n">
        <v>314331.5</v>
      </c>
      <c r="BL36" s="672" t="s">
        <v>916</v>
      </c>
      <c r="BM36" s="673" t="n">
        <v>19171.5</v>
      </c>
      <c r="BN36" s="456" t="s">
        <v>917</v>
      </c>
      <c r="BO36" s="668" t="n">
        <v>2016</v>
      </c>
      <c r="BP36" s="668" t="n">
        <v>2017</v>
      </c>
      <c r="BQ36" s="456"/>
      <c r="BR36" s="28"/>
      <c r="BS36" s="456"/>
      <c r="BT36" s="456"/>
      <c r="BU36" s="456"/>
      <c r="BV36" s="456"/>
      <c r="BW36" s="456"/>
      <c r="BX36" s="456"/>
      <c r="BY36" s="456"/>
      <c r="BZ36" s="456"/>
      <c r="CA36" s="456"/>
      <c r="CB36" s="456"/>
      <c r="CC36" s="456"/>
      <c r="CD36" s="456"/>
      <c r="CE36" s="456"/>
      <c r="CF36" s="456"/>
      <c r="CG36" s="456"/>
      <c r="CH36" s="667"/>
      <c r="CI36" s="456"/>
      <c r="CJ36" s="456"/>
      <c r="CK36" s="46"/>
      <c r="CL36" s="46"/>
      <c r="CM36" s="312"/>
      <c r="CN36" s="456"/>
      <c r="CO36" s="456"/>
      <c r="CP36" s="456"/>
      <c r="CQ36" s="456"/>
      <c r="CR36" s="456"/>
      <c r="CT36" s="637" t="s">
        <v>918</v>
      </c>
      <c r="CU36" s="456"/>
      <c r="CV36" s="456"/>
      <c r="CW36" s="456"/>
      <c r="CX36" s="456"/>
      <c r="CY36" s="456"/>
      <c r="CZ36" s="456"/>
      <c r="DA36" s="456"/>
      <c r="DB36" s="456"/>
      <c r="DC36" s="456"/>
      <c r="DD36" s="456"/>
      <c r="DE36" s="456"/>
      <c r="DF36" s="456"/>
      <c r="DG36" s="456"/>
      <c r="DH36" s="456"/>
      <c r="DI36" s="456"/>
      <c r="DJ36" s="456"/>
      <c r="DK36" s="456"/>
      <c r="DV36" s="28"/>
      <c r="DW36" s="28"/>
      <c r="DX36" s="456"/>
      <c r="DY36" s="456"/>
      <c r="DZ36" s="456"/>
    </row>
    <row r="37" customFormat="false" ht="37.7" hidden="false" customHeight="true" outlineLevel="0" collapsed="false">
      <c r="C37" s="1" t="n">
        <f aca="false">C36+I32+I33</f>
        <v>177423237.66518</v>
      </c>
      <c r="D37" s="456"/>
      <c r="E37" s="456"/>
      <c r="F37" s="663" t="n">
        <f aca="false">F33-1075040748738.2/1000</f>
        <v>-100781422.12786</v>
      </c>
      <c r="G37" s="663" t="n">
        <f aca="false">F37-I33+V76/1000-CN34</f>
        <v>-109600981.1159</v>
      </c>
      <c r="H37" s="456"/>
      <c r="I37" s="456"/>
      <c r="J37" s="456"/>
      <c r="K37" s="456" t="s">
        <v>863</v>
      </c>
      <c r="L37" s="456"/>
      <c r="M37" s="456"/>
      <c r="N37" s="456"/>
      <c r="O37" s="456"/>
      <c r="P37" s="665"/>
      <c r="Q37" s="456"/>
      <c r="R37" s="456"/>
      <c r="S37" s="674"/>
      <c r="T37" s="674"/>
      <c r="U37" s="456" t="s">
        <v>919</v>
      </c>
      <c r="V37" s="675" t="n">
        <v>42342</v>
      </c>
      <c r="W37" s="456" t="s">
        <v>920</v>
      </c>
      <c r="X37" s="675" t="n">
        <v>7446.4</v>
      </c>
      <c r="Y37" s="456"/>
      <c r="Z37" s="676" t="n">
        <f aca="false">Y36+Z36</f>
        <v>27323320.56</v>
      </c>
      <c r="AA37" s="456"/>
      <c r="AB37" s="456"/>
      <c r="AC37" s="456"/>
      <c r="AD37" s="456"/>
      <c r="AE37" s="456"/>
      <c r="AF37" s="456"/>
      <c r="AG37" s="456"/>
      <c r="AH37" s="456"/>
      <c r="AI37" s="677"/>
      <c r="AJ37" s="581"/>
      <c r="AK37" s="456"/>
      <c r="AL37" s="456"/>
      <c r="AM37" s="456"/>
      <c r="AN37" s="456"/>
      <c r="AO37" s="456"/>
      <c r="AP37" s="456"/>
      <c r="AQ37" s="456"/>
      <c r="AR37" s="456"/>
      <c r="AS37" s="456"/>
      <c r="AT37" s="456"/>
      <c r="AU37" s="456"/>
      <c r="AV37" s="678"/>
      <c r="AW37" s="667"/>
      <c r="AX37" s="668"/>
      <c r="AY37" s="668"/>
      <c r="AZ37" s="679"/>
      <c r="BA37" s="680"/>
      <c r="BB37" s="681" t="n">
        <f aca="false">T34-BF34</f>
        <v>-384026366.62227</v>
      </c>
      <c r="BC37" s="681" t="n">
        <f aca="false">-407696.9*1000</f>
        <v>-407696900</v>
      </c>
      <c r="BD37" s="669" t="n">
        <f aca="false">BB37-BC37</f>
        <v>23670533.3777298</v>
      </c>
      <c r="BE37" s="456"/>
      <c r="BF37" s="456"/>
      <c r="BG37" s="681"/>
      <c r="BH37" s="668"/>
      <c r="BI37" s="456"/>
      <c r="BJ37" s="456"/>
      <c r="BK37" s="456"/>
      <c r="BL37" s="682" t="n">
        <v>10845031919</v>
      </c>
      <c r="BM37" s="668" t="n">
        <f aca="false">BL37/1000+BS33</f>
        <v>42468512.37261</v>
      </c>
      <c r="BN37" s="312" t="n">
        <f aca="false">66815.9+60115.6+11370.4+3609.4+8156.9+3369.7+1210.4</f>
        <v>154648.3</v>
      </c>
      <c r="BO37" s="683" t="n">
        <v>19171.46037581</v>
      </c>
      <c r="BP37" s="675" t="n">
        <v>10845.031919</v>
      </c>
      <c r="BQ37" s="456"/>
      <c r="BR37" s="456"/>
      <c r="BS37" s="456"/>
      <c r="BT37" s="456"/>
      <c r="BU37" s="581"/>
      <c r="BV37" s="456"/>
      <c r="BW37" s="456"/>
      <c r="BX37" s="456"/>
      <c r="BY37" s="456"/>
      <c r="BZ37" s="456"/>
      <c r="CA37" s="456"/>
      <c r="CB37" s="456"/>
      <c r="CC37" s="456"/>
      <c r="CD37" s="456"/>
      <c r="CE37" s="456"/>
      <c r="CF37" s="456"/>
      <c r="CG37" s="456" t="n">
        <f aca="false">CH34/DG33</f>
        <v>0.00964998717573639</v>
      </c>
      <c r="CH37" s="667" t="n">
        <f aca="false">CJ33+CL33</f>
        <v>43065448.80609</v>
      </c>
      <c r="CI37" s="456"/>
      <c r="CJ37" s="456" t="s">
        <v>921</v>
      </c>
      <c r="CK37" s="684"/>
      <c r="CL37" s="456"/>
      <c r="CM37" s="456"/>
      <c r="CN37" s="456"/>
      <c r="CO37" s="456"/>
      <c r="CP37" s="456"/>
      <c r="CQ37" s="456"/>
      <c r="CR37" s="456"/>
      <c r="CS37" s="456"/>
      <c r="CT37" s="456"/>
      <c r="CU37" s="456"/>
      <c r="CV37" s="456"/>
      <c r="CW37" s="456"/>
      <c r="CX37" s="456"/>
      <c r="CY37" s="456"/>
      <c r="CZ37" s="456"/>
      <c r="DA37" s="667" t="n">
        <f aca="false">DG33*0.004</f>
        <v>58266235.5685559</v>
      </c>
      <c r="DB37" s="456" t="n">
        <f aca="false">DC37/DG32</f>
        <v>0.00390792092402232</v>
      </c>
      <c r="DC37" s="668" t="n">
        <v>41598953.80094</v>
      </c>
      <c r="DD37" s="456"/>
      <c r="DE37" s="456"/>
      <c r="DF37" s="456"/>
      <c r="DG37" s="456"/>
      <c r="DH37" s="456"/>
      <c r="DI37" s="456"/>
      <c r="DJ37" s="456"/>
      <c r="DK37" s="456"/>
      <c r="DV37" s="28"/>
      <c r="DW37" s="28"/>
      <c r="DX37" s="456"/>
      <c r="DY37" s="456"/>
      <c r="DZ37" s="456"/>
    </row>
    <row r="38" customFormat="false" ht="15.75" hidden="false" customHeight="true" outlineLevel="0" collapsed="false">
      <c r="C38" s="28" t="n">
        <v>72883834.4127533</v>
      </c>
      <c r="D38" s="456"/>
      <c r="E38" s="456"/>
      <c r="F38" s="456"/>
      <c r="G38" s="456"/>
      <c r="H38" s="456" t="n">
        <f aca="false">F42+G42+H42</f>
        <v>0.0581347504711977</v>
      </c>
      <c r="I38" s="456"/>
      <c r="J38" s="456"/>
      <c r="K38" s="456"/>
      <c r="L38" s="456"/>
      <c r="M38" s="456"/>
      <c r="N38" s="456"/>
      <c r="O38" s="456"/>
      <c r="P38" s="456"/>
      <c r="Q38" s="456"/>
      <c r="R38" s="456"/>
      <c r="S38" s="456"/>
      <c r="T38" s="456"/>
      <c r="U38" s="456" t="s">
        <v>922</v>
      </c>
      <c r="V38" s="675" t="n">
        <v>54097.3</v>
      </c>
      <c r="W38" s="456" t="s">
        <v>923</v>
      </c>
      <c r="X38" s="675" t="n">
        <v>12650.5</v>
      </c>
      <c r="Y38" s="667" t="n">
        <f aca="false">(SUM(X36:X39)+SUM(V36:V39))*1000</f>
        <v>183426412152.64</v>
      </c>
      <c r="Z38" s="456"/>
      <c r="AA38" s="456"/>
      <c r="AB38" s="456"/>
      <c r="AC38" s="456"/>
      <c r="AD38" s="456"/>
      <c r="AE38" s="456"/>
      <c r="AF38" s="456"/>
      <c r="AG38" s="456"/>
      <c r="AH38" s="456"/>
      <c r="AI38" s="456"/>
      <c r="AJ38" s="456"/>
      <c r="AK38" s="456"/>
      <c r="AL38" s="456"/>
      <c r="AM38" s="456"/>
      <c r="AN38" s="685"/>
      <c r="AO38" s="686" t="s">
        <v>924</v>
      </c>
      <c r="AP38" s="686" t="s">
        <v>925</v>
      </c>
      <c r="AQ38" s="686" t="s">
        <v>926</v>
      </c>
      <c r="AR38" s="686" t="s">
        <v>927</v>
      </c>
      <c r="AS38" s="686" t="s">
        <v>928</v>
      </c>
      <c r="AT38" s="686" t="s">
        <v>929</v>
      </c>
      <c r="AU38" s="686" t="s">
        <v>930</v>
      </c>
      <c r="AV38" s="686" t="s">
        <v>931</v>
      </c>
      <c r="AW38" s="686" t="s">
        <v>932</v>
      </c>
      <c r="AX38" s="686" t="s">
        <v>933</v>
      </c>
      <c r="AY38" s="686" t="s">
        <v>934</v>
      </c>
      <c r="AZ38" s="686" t="s">
        <v>935</v>
      </c>
      <c r="BA38" s="668"/>
      <c r="BB38" s="456"/>
      <c r="BC38" s="456"/>
      <c r="BD38" s="456"/>
      <c r="BE38" s="456"/>
      <c r="BF38" s="456"/>
      <c r="BG38" s="456"/>
      <c r="BH38" s="456"/>
      <c r="BI38" s="456"/>
      <c r="BJ38" s="456"/>
      <c r="BK38" s="456"/>
      <c r="BL38" s="668"/>
      <c r="BM38" s="667" t="n">
        <f aca="false">BL37+BS33-BM37</f>
        <v>10834186887.081</v>
      </c>
      <c r="BN38" s="456"/>
      <c r="BO38" s="456"/>
      <c r="BP38" s="456"/>
      <c r="BQ38" s="456"/>
      <c r="BR38" s="456"/>
      <c r="BS38" s="687" t="s">
        <v>936</v>
      </c>
      <c r="BT38" s="456"/>
      <c r="BU38" s="456"/>
      <c r="BV38" s="456"/>
      <c r="BW38" s="456"/>
      <c r="BX38" s="456"/>
      <c r="BY38" s="456"/>
      <c r="BZ38" s="456"/>
      <c r="CA38" s="456"/>
      <c r="CB38" s="456"/>
      <c r="CC38" s="456"/>
      <c r="CD38" s="456"/>
      <c r="CE38" s="456"/>
      <c r="CF38" s="456"/>
      <c r="CG38" s="456"/>
      <c r="CH38" s="456"/>
      <c r="CI38" s="456"/>
      <c r="CJ38" s="456"/>
      <c r="CK38" s="456"/>
      <c r="CL38" s="456"/>
      <c r="CM38" s="456"/>
      <c r="CN38" s="456"/>
      <c r="CO38" s="456"/>
      <c r="CP38" s="456"/>
      <c r="CQ38" s="688"/>
      <c r="CR38" s="456"/>
      <c r="CS38" s="456"/>
      <c r="CT38" s="456"/>
      <c r="CU38" s="456"/>
      <c r="CV38" s="456"/>
      <c r="CW38" s="456"/>
      <c r="CX38" s="456"/>
      <c r="CY38" s="456"/>
      <c r="CZ38" s="456"/>
      <c r="DA38" s="456"/>
      <c r="DB38" s="456"/>
      <c r="DC38" s="456"/>
      <c r="DD38" s="456"/>
      <c r="DE38" s="456"/>
      <c r="DF38" s="456"/>
      <c r="DG38" s="456"/>
      <c r="DH38" s="456"/>
      <c r="DI38" s="456"/>
      <c r="DJ38" s="456"/>
      <c r="DK38" s="456"/>
      <c r="DV38" s="28"/>
      <c r="DW38" s="28"/>
      <c r="DX38" s="456"/>
      <c r="DY38" s="456"/>
      <c r="DZ38" s="456"/>
    </row>
    <row r="39" customFormat="false" ht="15.75" hidden="false" customHeight="true" outlineLevel="0" collapsed="false">
      <c r="C39" s="28" t="n">
        <f aca="false">C37-C38</f>
        <v>104539403.252427</v>
      </c>
      <c r="E39" s="689" t="n">
        <v>26370.9</v>
      </c>
      <c r="F39" s="1" t="n">
        <f aca="false">E39*1000+I32+I33</f>
        <v>174712337.66518</v>
      </c>
      <c r="G39" s="1" t="s">
        <v>937</v>
      </c>
      <c r="I39" s="28"/>
      <c r="J39" s="28" t="n">
        <v>73864460.8792096</v>
      </c>
      <c r="K39" s="690" t="n">
        <v>1000</v>
      </c>
      <c r="L39" s="690" t="n">
        <f aca="false">'Cuenta Ahorro-Inversión-Financi'!H33+'Cuenta Ahorro-Inversión-Financi'!J33+'Cuenta Ahorro-Inversión-Financi'!P33</f>
        <v>226336866.88778</v>
      </c>
      <c r="M39" s="691"/>
      <c r="N39" s="674" t="s">
        <v>938</v>
      </c>
      <c r="O39" s="674"/>
      <c r="U39" s="164" t="s">
        <v>939</v>
      </c>
      <c r="V39" s="692" t="n">
        <v>12612.9</v>
      </c>
      <c r="W39" s="693" t="s">
        <v>940</v>
      </c>
      <c r="X39" s="675" t="n">
        <v>23288.3</v>
      </c>
      <c r="AB39" s="1" t="s">
        <v>941</v>
      </c>
      <c r="AN39" s="685"/>
      <c r="AO39" s="686"/>
      <c r="AP39" s="686"/>
      <c r="AQ39" s="686"/>
      <c r="AR39" s="686"/>
      <c r="AS39" s="686"/>
      <c r="AT39" s="686"/>
      <c r="AU39" s="686"/>
      <c r="AV39" s="686"/>
      <c r="AW39" s="686"/>
      <c r="AX39" s="686"/>
      <c r="AY39" s="686"/>
      <c r="AZ39" s="686"/>
      <c r="BC39" s="694"/>
      <c r="BJ39" s="1" t="n">
        <f aca="false">BP31+BQ31+BO31</f>
        <v>92783271.8156</v>
      </c>
      <c r="BK39" s="1" t="n">
        <v>124211453.686</v>
      </c>
      <c r="BL39" s="668" t="n">
        <f aca="false">BK39+BP32+BQ32+BS32</f>
        <v>167993739.75098</v>
      </c>
      <c r="BM39" s="1" t="n">
        <v>142881993.528</v>
      </c>
      <c r="BN39" s="456"/>
      <c r="BO39" s="312" t="n">
        <f aca="false">31623.5 +10845 +5017.6</f>
        <v>47486.1</v>
      </c>
      <c r="BP39" s="456"/>
      <c r="BQ39" s="456"/>
      <c r="BR39" s="456"/>
      <c r="BS39" s="456"/>
      <c r="BT39" s="456"/>
      <c r="BU39" s="456"/>
      <c r="BX39" s="1" t="s">
        <v>942</v>
      </c>
      <c r="CE39" s="456"/>
      <c r="CV39" s="28"/>
      <c r="CW39" s="28"/>
      <c r="CX39" s="28"/>
      <c r="CY39" s="456" t="n">
        <f aca="false">(DF32-DC29)/DC29</f>
        <v>1.98635947383654</v>
      </c>
      <c r="CZ39" s="456" t="n">
        <f aca="false">(DG32-DG29)/DG29</f>
        <v>1.32465120992682</v>
      </c>
      <c r="DA39" s="28"/>
      <c r="DB39" s="28"/>
      <c r="DC39" s="28"/>
      <c r="DV39" s="28"/>
      <c r="DW39" s="28"/>
    </row>
    <row r="40" customFormat="false" ht="15.75" hidden="false" customHeight="true" outlineLevel="0" collapsed="false">
      <c r="D40" s="456" t="n">
        <f aca="false">C36/(I32-7076808)</f>
        <v>0.30150958412479</v>
      </c>
      <c r="E40" s="695" t="s">
        <v>775</v>
      </c>
      <c r="F40" s="696" t="s">
        <v>943</v>
      </c>
      <c r="G40" s="696" t="s">
        <v>944</v>
      </c>
      <c r="H40" s="696" t="s">
        <v>945</v>
      </c>
      <c r="I40" s="696" t="s">
        <v>946</v>
      </c>
      <c r="J40" s="696" t="s">
        <v>947</v>
      </c>
      <c r="K40" s="696" t="s">
        <v>948</v>
      </c>
      <c r="L40" s="696" t="s">
        <v>949</v>
      </c>
      <c r="M40" s="696" t="s">
        <v>950</v>
      </c>
      <c r="N40" s="697" t="s">
        <v>951</v>
      </c>
      <c r="O40" s="697" t="s">
        <v>952</v>
      </c>
      <c r="Q40" s="695" t="s">
        <v>775</v>
      </c>
      <c r="R40" s="596" t="s">
        <v>953</v>
      </c>
      <c r="S40" s="596" t="s">
        <v>954</v>
      </c>
      <c r="T40" s="596" t="s">
        <v>955</v>
      </c>
      <c r="U40" s="596" t="s">
        <v>956</v>
      </c>
      <c r="V40" s="596" t="s">
        <v>957</v>
      </c>
      <c r="W40" s="596" t="s">
        <v>958</v>
      </c>
      <c r="X40" s="596" t="s">
        <v>959</v>
      </c>
      <c r="Y40" s="596" t="s">
        <v>960</v>
      </c>
      <c r="Z40" s="592" t="s">
        <v>961</v>
      </c>
      <c r="AA40" s="592" t="s">
        <v>962</v>
      </c>
      <c r="AC40" s="695" t="s">
        <v>775</v>
      </c>
      <c r="AD40" s="698" t="s">
        <v>963</v>
      </c>
      <c r="AE40" s="698" t="s">
        <v>964</v>
      </c>
      <c r="AF40" s="698" t="s">
        <v>965</v>
      </c>
      <c r="AG40" s="698" t="s">
        <v>966</v>
      </c>
      <c r="AH40" s="698" t="s">
        <v>967</v>
      </c>
      <c r="AI40" s="698" t="s">
        <v>968</v>
      </c>
      <c r="AJ40" s="698" t="s">
        <v>969</v>
      </c>
      <c r="AK40" s="418"/>
      <c r="AL40" s="418"/>
      <c r="AN40" s="685"/>
      <c r="AO40" s="686"/>
      <c r="AP40" s="686"/>
      <c r="AQ40" s="686"/>
      <c r="AR40" s="686"/>
      <c r="AS40" s="686"/>
      <c r="AT40" s="686"/>
      <c r="AU40" s="686"/>
      <c r="AV40" s="686"/>
      <c r="AW40" s="686"/>
      <c r="AX40" s="686"/>
      <c r="AY40" s="686"/>
      <c r="AZ40" s="686"/>
      <c r="BB40" s="1" t="s">
        <v>970</v>
      </c>
      <c r="BC40" s="1" t="s">
        <v>971</v>
      </c>
      <c r="BG40" s="456" t="n">
        <f aca="false">('Cuenta Ahorro-Inversión-Financi'!BF31-'Cuenta Ahorro-Inversión-Financi'!AY39)/'PIB corriente base 2004'!X19/1000</f>
        <v>0.0727904762035428</v>
      </c>
      <c r="BH40" s="456"/>
      <c r="BJ40" s="1" t="n">
        <f aca="false">BP32+BQ32+BO32</f>
        <v>167993739.7493</v>
      </c>
      <c r="BK40" s="1" t="n">
        <f aca="false">SUM(BJ42:BM42)</f>
        <v>0</v>
      </c>
      <c r="BL40" s="690" t="n">
        <v>7072.1</v>
      </c>
      <c r="BN40" s="456"/>
      <c r="BO40" s="456"/>
      <c r="BP40" s="456"/>
      <c r="BQ40" s="456"/>
      <c r="BR40" s="456"/>
      <c r="BS40" s="456"/>
      <c r="BT40" s="456"/>
      <c r="BU40" s="456"/>
      <c r="CC40" s="1" t="s">
        <v>972</v>
      </c>
      <c r="CX40" s="456"/>
      <c r="CY40" s="456"/>
      <c r="CZ40" s="28" t="n">
        <f aca="false">DF32*100/DA41</f>
        <v>5824332476.7477</v>
      </c>
      <c r="DA40" s="28"/>
      <c r="DB40" s="312" t="n">
        <v>95988816</v>
      </c>
      <c r="DC40" s="456" t="n">
        <f aca="false">DB40/DG32</f>
        <v>0.0090174552060502</v>
      </c>
      <c r="DD40" s="456"/>
      <c r="DE40" s="456"/>
    </row>
    <row r="41" customFormat="false" ht="15.75" hidden="false" customHeight="true" outlineLevel="0" collapsed="false">
      <c r="D41" s="699" t="n">
        <v>99898227.856</v>
      </c>
      <c r="E41" s="695"/>
      <c r="F41" s="696"/>
      <c r="G41" s="696"/>
      <c r="H41" s="696"/>
      <c r="I41" s="696"/>
      <c r="J41" s="696"/>
      <c r="K41" s="696"/>
      <c r="L41" s="696"/>
      <c r="M41" s="696"/>
      <c r="N41" s="697"/>
      <c r="O41" s="697"/>
      <c r="Q41" s="695"/>
      <c r="R41" s="596"/>
      <c r="S41" s="596"/>
      <c r="T41" s="596"/>
      <c r="U41" s="596"/>
      <c r="V41" s="596"/>
      <c r="W41" s="596"/>
      <c r="X41" s="596"/>
      <c r="Y41" s="596"/>
      <c r="Z41" s="592"/>
      <c r="AA41" s="592"/>
      <c r="AC41" s="695"/>
      <c r="AD41" s="698"/>
      <c r="AE41" s="698"/>
      <c r="AF41" s="698"/>
      <c r="AG41" s="698"/>
      <c r="AH41" s="698"/>
      <c r="AI41" s="698"/>
      <c r="AJ41" s="698"/>
      <c r="AK41" s="418"/>
      <c r="AL41" s="418"/>
      <c r="AN41" s="685"/>
      <c r="AO41" s="686"/>
      <c r="AP41" s="686"/>
      <c r="AQ41" s="686"/>
      <c r="AR41" s="686"/>
      <c r="AS41" s="686"/>
      <c r="AT41" s="686"/>
      <c r="AU41" s="686"/>
      <c r="AV41" s="686"/>
      <c r="AW41" s="686"/>
      <c r="AX41" s="686"/>
      <c r="AY41" s="686"/>
      <c r="AZ41" s="686"/>
      <c r="BG41" s="456" t="n">
        <f aca="false">('Cuenta Ahorro-Inversión-Financi'!AY39-'Cuenta Ahorro-Inversión-Financi'!BG40)/1000/'PIB corriente base 2004'!X19</f>
        <v>-1.22244257301135E-011</v>
      </c>
      <c r="BH41" s="456"/>
      <c r="BI41" s="28" t="n">
        <f aca="false">'Cuenta Ahorro-Inversión-Financi'!BN33+'Cuenta Ahorro-Inversión-Financi'!BS33</f>
        <v>233765456.47951</v>
      </c>
      <c r="BJ41" s="28" t="n">
        <f aca="false">BP33+BQ33+BS33+BO33</f>
        <v>233765456.47951</v>
      </c>
      <c r="BK41" s="28" t="n">
        <f aca="false">'Cuenta Ahorro-Inversión-Financi'!BI40-'Cuenta Ahorro-Inversión-Financi'!BQ33-'Cuenta Ahorro-Inversión-Financi'!BP33-'Cuenta Ahorro-Inversión-Financi'!BS33</f>
        <v>-79114731.05658</v>
      </c>
      <c r="BL41" s="690" t="n">
        <v>12099.4</v>
      </c>
      <c r="BN41" s="456"/>
      <c r="BO41" s="456"/>
      <c r="BP41" s="456"/>
      <c r="BQ41" s="456"/>
      <c r="BR41" s="456"/>
      <c r="BS41" s="456"/>
      <c r="BT41" s="456"/>
      <c r="BU41" s="456"/>
      <c r="CC41" s="1" t="s">
        <v>973</v>
      </c>
      <c r="CW41" s="28"/>
      <c r="CX41" s="700"/>
      <c r="DA41" s="701" t="n">
        <v>200.87293846</v>
      </c>
      <c r="DB41" s="456" t="n">
        <f aca="false">DB40/DF32</f>
        <v>0.00820451746422248</v>
      </c>
      <c r="DC41" s="28"/>
      <c r="DD41" s="456"/>
    </row>
    <row r="42" customFormat="false" ht="15.75" hidden="false" customHeight="true" outlineLevel="0" collapsed="false">
      <c r="A42" s="702"/>
      <c r="B42" s="702"/>
      <c r="C42" s="702"/>
      <c r="D42" s="703" t="n">
        <f aca="false">'Cuenta Ahorro-Inversión-Financi'!D41/'PIB corriente base 2004'!X18/1000</f>
        <v>0.0218161918284941</v>
      </c>
      <c r="E42" s="704" t="n">
        <v>1993</v>
      </c>
      <c r="F42" s="705" t="n">
        <f aca="false">'Cuenta Ahorro-Inversión-Financi'!U9/'PIB corriente base 1993'!V8/1000</f>
        <v>0.045352832912549</v>
      </c>
      <c r="G42" s="705" t="n">
        <f aca="false">('Cuenta Ahorro-Inversión-Financi'!G9+'Cuenta Ahorro-Inversión-Financi'!S9)/'PIB corriente base 1993'!V8/1000</f>
        <v>0.0114261586914329</v>
      </c>
      <c r="H42" s="705" t="n">
        <f aca="false">'Cuenta Ahorro-Inversión-Financi'!X9/'PIB corriente base 1993'!V8/1000</f>
        <v>0.00135575886721573</v>
      </c>
      <c r="I42" s="705" t="n">
        <f aca="false">('Cuenta Ahorro-Inversión-Financi'!F9-'Cuenta Ahorro-Inversión-Financi'!V9)/'PIB corriente base 1993'!V8/1000</f>
        <v>0.0581347504711977</v>
      </c>
      <c r="J42" s="705" t="n">
        <f aca="false">'Cuenta Ahorro-Inversión-Financi'!F9/'PIB corriente base 1993'!V8/1000</f>
        <v>0.0652148542825878</v>
      </c>
      <c r="K42" s="705" t="n">
        <f aca="false">'Cuenta Ahorro-Inversión-Financi'!T9/'PIB corriente base 1993'!V8/1000</f>
        <v>0.0524329367239392</v>
      </c>
      <c r="L42" s="705" t="n">
        <f aca="false">'Cuenta Ahorro-Inversión-Financi'!AH9/'PIB corriente base 1993'!V8/1000</f>
        <v>0.012477115671009</v>
      </c>
      <c r="M42" s="705" t="n">
        <f aca="false">'Cuenta Ahorro-Inversión-Financi'!AO9/'PIB corriente base 1993'!V8/1000</f>
        <v>0.00718848713660595</v>
      </c>
      <c r="N42" s="705" t="n">
        <f aca="false">('Cuenta Ahorro-Inversión-Financi'!AG9/'PIB corriente base 1993'!V8/1000)</f>
        <v>0.0659632751447781</v>
      </c>
      <c r="O42" s="705" t="n">
        <f aca="false">'Cuenta Ahorro-Inversión-Financi'!M42+'Cuenta Ahorro-Inversión-Financi'!I42</f>
        <v>0.0653232376078036</v>
      </c>
      <c r="P42" s="702"/>
      <c r="Q42" s="706" t="n">
        <v>1993</v>
      </c>
      <c r="R42" s="707" t="n">
        <f aca="false">'Cuenta Ahorro-Inversión-Financi'!BF9/1000/'PIB corriente base 1993'!V8</f>
        <v>0.0526370931910582</v>
      </c>
      <c r="S42" s="707"/>
      <c r="T42" s="707" t="n">
        <f aca="false">'Cuenta Ahorro-Inversión-Financi'!BX9/1000/'PIB corriente base 1993'!V8</f>
        <v>0.011642303700453</v>
      </c>
      <c r="U42" s="707" t="n">
        <f aca="false">'Cuenta Ahorro-Inversión-Financi'!T42+'Cuenta Ahorro-Inversión-Financi'!R42+(('Cuenta Ahorro-Inversión-Financi'!AY9+'Cuenta Ahorro-Inversión-Financi'!BC9)/1000/'PIB corriente base 1993'!V8)</f>
        <v>0.0657693068832675</v>
      </c>
      <c r="V42" s="707" t="n">
        <f aca="false">'Cuenta Ahorro-Inversión-Financi'!BN9/1000/'PIB corriente base 1993'!V8</f>
        <v>0.011642303700453</v>
      </c>
      <c r="W42" s="707" t="n">
        <f aca="false">'Cuenta Ahorro-Inversión-Financi'!AX9/1000/'PIB corriente base 1993'!V8</f>
        <v>0.0657693068832675</v>
      </c>
      <c r="X42" s="707" t="n">
        <f aca="false">W42</f>
        <v>0.0657693068832675</v>
      </c>
      <c r="Y42" s="707"/>
      <c r="Z42" s="707" t="n">
        <f aca="false">('Cuenta Ahorro-Inversión-Financi'!CG9)/1000/'PIB corriente base 1993'!V8</f>
        <v>0.0658173341637083</v>
      </c>
      <c r="AA42" s="707" t="n">
        <f aca="false">('Cuenta Ahorro-Inversión-Financi'!CG9-'Cuenta Ahorro-Inversión-Financi'!AY9)/1000/'PIB corriente base 1993'!V8</f>
        <v>0.0643274241719519</v>
      </c>
      <c r="AB42" s="702"/>
      <c r="AC42" s="708" t="n">
        <v>1993</v>
      </c>
      <c r="AD42" s="709" t="n">
        <f aca="false">'Cuenta Ahorro-Inversión-Financi'!J42-'Cuenta Ahorro-Inversión-Financi'!X42</f>
        <v>-0.000554452600679711</v>
      </c>
      <c r="AE42" s="709" t="n">
        <f aca="false">'Cuenta Ahorro-Inversión-Financi'!F42-'Cuenta Ahorro-Inversión-Financi'!R42</f>
        <v>-0.00728426027850915</v>
      </c>
      <c r="AF42" s="709" t="n">
        <f aca="false">'Cuenta Ahorro-Inversión-Financi'!I42-'Cuenta Ahorro-Inversión-Financi'!U42-'Cuenta Ahorro-Inversión-Financi'!H42</f>
        <v>-0.00899031527928557</v>
      </c>
      <c r="AG42" s="709" t="n">
        <f aca="false">'Cuenta Ahorro-Inversión-Financi'!I42-'Cuenta Ahorro-Inversión-Financi'!U42</f>
        <v>-0.00763455641206984</v>
      </c>
      <c r="AH42" s="709" t="n">
        <f aca="false">'Cuenta Ahorro-Inversión-Financi'!O42-'Cuenta Ahorro-Inversión-Financi'!U42</f>
        <v>-0.000446069275463895</v>
      </c>
      <c r="AI42" s="709" t="n">
        <f aca="false">'Cuenta Ahorro-Inversión-Financi'!F42-('Cuenta Ahorro-Inversión-Financi'!BF9+'Cuenta Ahorro-Inversión-Financi'!BR9)/'PIB corriente base 1993'!V8/1000</f>
        <v>-0.0189265639789621</v>
      </c>
      <c r="AJ42" s="456" t="n">
        <f aca="false">'Cuenta Ahorro-Inversión-Financi'!AH42-'Cuenta Ahorro-Inversión-Financi'!H42</f>
        <v>-0.00180182814267962</v>
      </c>
      <c r="AK42" s="418"/>
      <c r="AL42" s="418"/>
      <c r="AN42" s="710" t="n">
        <f aca="false">'Cuenta Ahorro-Inversión-Financi'!AN43-1</f>
        <v>1993</v>
      </c>
      <c r="AO42" s="709" t="n">
        <f aca="false">'Cuenta Ahorro-Inversión-Financi'!I42</f>
        <v>0.0581347504711977</v>
      </c>
      <c r="AP42" s="709" t="n">
        <f aca="false">'Cuenta Ahorro-Inversión-Financi'!F42</f>
        <v>0.045352832912549</v>
      </c>
      <c r="AQ42" s="709" t="n">
        <v>0</v>
      </c>
      <c r="AR42" s="709" t="n">
        <f aca="false">'Cuenta Ahorro-Inversión-Financi'!L42</f>
        <v>0.012477115671009</v>
      </c>
      <c r="AS42" s="709" t="n">
        <f aca="false">'Cuenta Ahorro-Inversión-Financi'!T42+'Cuenta Ahorro-Inversión-Financi'!R42+(('Cuenta Ahorro-Inversión-Financi'!BC9)/1000/'PIB corriente base 1993'!V8)</f>
        <v>0.0642793968915112</v>
      </c>
      <c r="AT42" s="709" t="n">
        <f aca="false">'Cuenta Ahorro-Inversión-Financi'!T42+'Cuenta Ahorro-Inversión-Financi'!R42+(('Cuenta Ahorro-Inversión-Financi'!BC9-'Cuenta Ahorro-Inversión-Financi'!BP9-'Cuenta Ahorro-Inversión-Financi'!BQ9)/1000/'PIB corriente base 1993'!V8)</f>
        <v>0.0630504099452548</v>
      </c>
      <c r="AU42" s="709" t="n">
        <f aca="false">'Cuenta Ahorro-Inversión-Financi'!U42</f>
        <v>0.0657693068832675</v>
      </c>
      <c r="AV42" s="709" t="n">
        <f aca="false">('Cuenta Ahorro-Inversión-Financi'!CH9)/1000/'PIB corriente base 1993'!V8+'Cuenta Ahorro-Inversión-Financi'!Y42</f>
        <v>0.00528862853440302</v>
      </c>
      <c r="AW42" s="709" t="n">
        <f aca="false">'Cuenta Ahorro-Inversión-Financi'!AP42-'Cuenta Ahorro-Inversión-Financi'!AT42</f>
        <v>-0.0176975770327058</v>
      </c>
      <c r="AX42" s="709" t="n">
        <f aca="false">'Cuenta Ahorro-Inversión-Financi'!AO42-'Cuenta Ahorro-Inversión-Financi'!AU42</f>
        <v>-0.00763455641206984</v>
      </c>
      <c r="AY42" s="709" t="n">
        <f aca="false">'Cuenta Ahorro-Inversión-Financi'!AO42+'Cuenta Ahorro-Inversión-Financi'!AR42-'Cuenta Ahorro-Inversión-Financi'!AU42-'Cuenta Ahorro-Inversión-Financi'!AV42</f>
        <v>-0.000446069275463893</v>
      </c>
      <c r="AZ42" s="709" t="n">
        <f aca="false">'Cuenta Ahorro-Inversión-Financi'!AY42</f>
        <v>-0.000446069275463893</v>
      </c>
      <c r="BA42" s="456" t="n">
        <f aca="false">AU42+AV42</f>
        <v>0.0710579354176705</v>
      </c>
      <c r="BB42" s="456" t="n">
        <v>-0.00899031527928553</v>
      </c>
      <c r="BC42" s="456" t="n">
        <v>-0.0076345564120698</v>
      </c>
      <c r="CC42" s="1" t="s">
        <v>974</v>
      </c>
      <c r="CG42" s="646"/>
      <c r="CW42" s="456"/>
      <c r="CX42" s="456"/>
    </row>
    <row r="43" customFormat="false" ht="15.75" hidden="false" customHeight="true" outlineLevel="0" collapsed="false">
      <c r="A43" s="702"/>
      <c r="B43" s="702"/>
      <c r="C43" s="702"/>
      <c r="D43" s="711" t="n">
        <f aca="false">69000/'PIB corriente base 2004'!X19</f>
        <v>0.011587853512858</v>
      </c>
      <c r="E43" s="704" t="n">
        <v>1994</v>
      </c>
      <c r="F43" s="712" t="n">
        <f aca="false">'Cuenta Ahorro-Inversión-Financi'!U10/'PIB corriente base 1993'!V9/1000</f>
        <v>0.0412406410701487</v>
      </c>
      <c r="G43" s="712" t="n">
        <f aca="false">('Cuenta Ahorro-Inversión-Financi'!G10+'Cuenta Ahorro-Inversión-Financi'!S10)/'PIB corriente base 1993'!V9/1000</f>
        <v>0.0120869185800861</v>
      </c>
      <c r="H43" s="712" t="n">
        <f aca="false">'Cuenta Ahorro-Inversión-Financi'!X10/'PIB corriente base 1993'!V9/1000</f>
        <v>9.53195096879308E-005</v>
      </c>
      <c r="I43" s="712" t="n">
        <f aca="false">('Cuenta Ahorro-Inversión-Financi'!F10-'Cuenta Ahorro-Inversión-Financi'!V10)/'PIB corriente base 1993'!V9/1000</f>
        <v>0.0534228791599228</v>
      </c>
      <c r="J43" s="712" t="n">
        <f aca="false">'Cuenta Ahorro-Inversión-Financi'!F10/'PIB corriente base 1993'!V9/1000</f>
        <v>0.0630274732613387</v>
      </c>
      <c r="K43" s="712" t="n">
        <f aca="false">'Cuenta Ahorro-Inversión-Financi'!T10/'PIB corriente base 1993'!V9/1000</f>
        <v>0.0508452351715647</v>
      </c>
      <c r="L43" s="712" t="n">
        <f aca="false">'Cuenta Ahorro-Inversión-Financi'!AH10/'PIB corriente base 1993'!V9/1000</f>
        <v>0.0103138055803019</v>
      </c>
      <c r="M43" s="712" t="n">
        <f aca="false">'Cuenta Ahorro-Inversión-Financi'!AO10/'PIB corriente base 1993'!V9/1000</f>
        <v>0.0035384967109414</v>
      </c>
      <c r="N43" s="712" t="n">
        <f aca="false">'Cuenta Ahorro-Inversión-Financi'!AG10/'PIB corriente base 1993'!V9/1000</f>
        <v>0.064592550668188</v>
      </c>
      <c r="O43" s="712" t="n">
        <f aca="false">'Cuenta Ahorro-Inversión-Financi'!M43+'Cuenta Ahorro-Inversión-Financi'!I43</f>
        <v>0.0569613758708642</v>
      </c>
      <c r="P43" s="702"/>
      <c r="Q43" s="713" t="n">
        <v>1994</v>
      </c>
      <c r="R43" s="712" t="n">
        <f aca="false">'Cuenta Ahorro-Inversión-Financi'!BF10/1000/'PIB corriente base 1993'!V9</f>
        <v>0.0564644262203535</v>
      </c>
      <c r="S43" s="712"/>
      <c r="T43" s="712" t="n">
        <f aca="false">'Cuenta Ahorro-Inversión-Financi'!BX10/1000/'PIB corriente base 1993'!V9</f>
        <v>0.0124360211037753</v>
      </c>
      <c r="U43" s="712" t="n">
        <f aca="false">'Cuenta Ahorro-Inversión-Financi'!T43+'Cuenta Ahorro-Inversión-Financi'!R43+(('Cuenta Ahorro-Inversión-Financi'!AY10+'Cuenta Ahorro-Inversión-Financi'!BC10)/1000/'PIB corriente base 1993'!V9)</f>
        <v>0.0700467053319257</v>
      </c>
      <c r="V43" s="712" t="n">
        <f aca="false">'Cuenta Ahorro-Inversión-Financi'!BN10/1000/'PIB corriente base 1993'!V9</f>
        <v>0.0124360211037753</v>
      </c>
      <c r="W43" s="712" t="n">
        <f aca="false">'Cuenta Ahorro-Inversión-Financi'!AX10/1000/'PIB corriente base 1993'!V9</f>
        <v>0.0700467053319257</v>
      </c>
      <c r="X43" s="712" t="n">
        <f aca="false">W43</f>
        <v>0.0700467053319257</v>
      </c>
      <c r="Y43" s="712"/>
      <c r="Z43" s="712" t="n">
        <f aca="false">('Cuenta Ahorro-Inversión-Financi'!CG10)/1000/'PIB corriente base 1993'!V9</f>
        <v>0.0700723507736687</v>
      </c>
      <c r="AA43" s="712" t="n">
        <f aca="false">('Cuenta Ahorro-Inversión-Financi'!CG10-'Cuenta Ahorro-Inversión-Financi'!AY10)/1000/'PIB corriente base 1993'!V9</f>
        <v>0.0689312570544823</v>
      </c>
      <c r="AB43" s="702"/>
      <c r="AC43" s="714" t="n">
        <v>1994</v>
      </c>
      <c r="AD43" s="712" t="n">
        <f aca="false">'Cuenta Ahorro-Inversión-Financi'!J43-'Cuenta Ahorro-Inversión-Financi'!X43</f>
        <v>-0.00701923207058701</v>
      </c>
      <c r="AE43" s="712" t="n">
        <f aca="false">'Cuenta Ahorro-Inversión-Financi'!F43-'Cuenta Ahorro-Inversión-Financi'!R43</f>
        <v>-0.0152237851502048</v>
      </c>
      <c r="AF43" s="712" t="n">
        <f aca="false">'Cuenta Ahorro-Inversión-Financi'!I43-'Cuenta Ahorro-Inversión-Financi'!U43-'Cuenta Ahorro-Inversión-Financi'!H43</f>
        <v>-0.0167191456816909</v>
      </c>
      <c r="AG43" s="712" t="n">
        <f aca="false">'Cuenta Ahorro-Inversión-Financi'!I43-'Cuenta Ahorro-Inversión-Financi'!U43</f>
        <v>-0.0166238261720029</v>
      </c>
      <c r="AH43" s="712" t="n">
        <f aca="false">'Cuenta Ahorro-Inversión-Financi'!O43-'Cuenta Ahorro-Inversión-Financi'!U43</f>
        <v>-0.0130853294610615</v>
      </c>
      <c r="AI43" s="712" t="n">
        <f aca="false">'Cuenta Ahorro-Inversión-Financi'!F43-('Cuenta Ahorro-Inversión-Financi'!BF10+'Cuenta Ahorro-Inversión-Financi'!BR10)/'PIB corriente base 1993'!V9/1000</f>
        <v>-0.0276598062539801</v>
      </c>
      <c r="AJ43" s="456" t="n">
        <f aca="false">'Cuenta Ahorro-Inversión-Financi'!AH43-'Cuenta Ahorro-Inversión-Financi'!H43</f>
        <v>-0.0131806489707495</v>
      </c>
      <c r="AK43" s="418"/>
      <c r="AL43" s="418"/>
      <c r="AN43" s="710" t="n">
        <f aca="false">'Cuenta Ahorro-Inversión-Financi'!AN44-1</f>
        <v>1994</v>
      </c>
      <c r="AO43" s="712" t="n">
        <f aca="false">'Cuenta Ahorro-Inversión-Financi'!I43</f>
        <v>0.0534228791599228</v>
      </c>
      <c r="AP43" s="712" t="n">
        <f aca="false">'Cuenta Ahorro-Inversión-Financi'!F43</f>
        <v>0.0412406410701487</v>
      </c>
      <c r="AQ43" s="712" t="n">
        <v>0</v>
      </c>
      <c r="AR43" s="712" t="n">
        <f aca="false">'Cuenta Ahorro-Inversión-Financi'!L43</f>
        <v>0.0103138055803019</v>
      </c>
      <c r="AS43" s="712" t="n">
        <f aca="false">'Cuenta Ahorro-Inversión-Financi'!T43+'Cuenta Ahorro-Inversión-Financi'!R43+(('Cuenta Ahorro-Inversión-Financi'!BC10)/1000/'PIB corriente base 1993'!V9)</f>
        <v>0.0689056116127393</v>
      </c>
      <c r="AT43" s="712" t="n">
        <f aca="false">'Cuenta Ahorro-Inversión-Financi'!T43+'Cuenta Ahorro-Inversión-Financi'!R43+(('Cuenta Ahorro-Inversión-Financi'!BC10-'Cuenta Ahorro-Inversión-Financi'!BP10-'Cuenta Ahorro-Inversión-Financi'!BQ10)/1000/'PIB corriente base 1993'!V9)</f>
        <v>0.067811314403621</v>
      </c>
      <c r="AU43" s="712" t="n">
        <f aca="false">'Cuenta Ahorro-Inversión-Financi'!U43</f>
        <v>0.0700467053319257</v>
      </c>
      <c r="AV43" s="712" t="n">
        <f aca="false">('Cuenta Ahorro-Inversión-Financi'!CH10)/1000/'PIB corriente base 1993'!V9+'Cuenta Ahorro-Inversión-Financi'!Y43</f>
        <v>0.00677530886936053</v>
      </c>
      <c r="AW43" s="712" t="n">
        <f aca="false">'Cuenta Ahorro-Inversión-Financi'!AP43-'Cuenta Ahorro-Inversión-Financi'!AT43</f>
        <v>-0.0265706733334723</v>
      </c>
      <c r="AX43" s="712" t="n">
        <f aca="false">'Cuenta Ahorro-Inversión-Financi'!AO43-'Cuenta Ahorro-Inversión-Financi'!AU43</f>
        <v>-0.0166238261720029</v>
      </c>
      <c r="AY43" s="712" t="n">
        <f aca="false">'Cuenta Ahorro-Inversión-Financi'!AO43+'Cuenta Ahorro-Inversión-Financi'!AQ43+'Cuenta Ahorro-Inversión-Financi'!AR43-'Cuenta Ahorro-Inversión-Financi'!AU43-'Cuenta Ahorro-Inversión-Financi'!AV43</f>
        <v>-0.0130853294610615</v>
      </c>
      <c r="AZ43" s="712" t="n">
        <f aca="false">'Cuenta Ahorro-Inversión-Financi'!AY43</f>
        <v>-0.0130853294610615</v>
      </c>
      <c r="BA43" s="456" t="n">
        <f aca="false">AU43+AV43</f>
        <v>0.0768220142012862</v>
      </c>
      <c r="BB43" s="456" t="n">
        <v>-0.0167191456816908</v>
      </c>
      <c r="BC43" s="456" t="n">
        <v>-0.0166238261720029</v>
      </c>
      <c r="BJ43" s="28" t="n">
        <v>124211453.686</v>
      </c>
      <c r="BK43" s="715"/>
      <c r="BL43" s="28"/>
      <c r="BM43" s="546" t="s">
        <v>975</v>
      </c>
      <c r="CG43" s="646"/>
      <c r="DC43" s="716"/>
      <c r="DD43" s="456"/>
    </row>
    <row r="44" customFormat="false" ht="15.75" hidden="false" customHeight="true" outlineLevel="0" collapsed="false">
      <c r="A44" s="702"/>
      <c r="B44" s="702"/>
      <c r="C44" s="702"/>
      <c r="D44" s="702"/>
      <c r="E44" s="704" t="n">
        <v>1995</v>
      </c>
      <c r="F44" s="705" t="n">
        <f aca="false">'Cuenta Ahorro-Inversión-Financi'!U11/'PIB corriente base 1993'!V10/1000</f>
        <v>0.0367162842262927</v>
      </c>
      <c r="G44" s="705" t="n">
        <f aca="false">('Cuenta Ahorro-Inversión-Financi'!G11+'Cuenta Ahorro-Inversión-Financi'!S11)/'PIB corriente base 1993'!V10/1000</f>
        <v>0.0121121840535182</v>
      </c>
      <c r="H44" s="705" t="n">
        <f aca="false">'Cuenta Ahorro-Inversión-Financi'!X11/'PIB corriente base 1993'!V10/1000</f>
        <v>3.16975206724679E-005</v>
      </c>
      <c r="I44" s="705" t="n">
        <f aca="false">('Cuenta Ahorro-Inversión-Financi'!F11-'Cuenta Ahorro-Inversión-Financi'!V11)/'PIB corriente base 1993'!V10/1000</f>
        <v>0.0488601658004833</v>
      </c>
      <c r="J44" s="705" t="n">
        <f aca="false">'Cuenta Ahorro-Inversión-Financi'!F11/'PIB corriente base 1993'!V10/1000</f>
        <v>0.0574158427272895</v>
      </c>
      <c r="K44" s="705" t="n">
        <f aca="false">'Cuenta Ahorro-Inversión-Financi'!T11/'PIB corriente base 1993'!V10/1000</f>
        <v>0.0452719611530988</v>
      </c>
      <c r="L44" s="705" t="n">
        <f aca="false">'Cuenta Ahorro-Inversión-Financi'!AI11/'PIB corriente base 1993'!V10/1000</f>
        <v>0.011591546064283</v>
      </c>
      <c r="M44" s="705" t="n">
        <f aca="false">'Cuenta Ahorro-Inversión-Financi'!AO11/'PIB corriente base 1993'!V10/1000</f>
        <v>0.00583532853827533</v>
      </c>
      <c r="N44" s="705" t="n">
        <f aca="false">'Cuenta Ahorro-Inversión-Financi'!AG11/'PIB corriente base 1993'!V10/1000</f>
        <v>0.0587486727334167</v>
      </c>
      <c r="O44" s="705" t="n">
        <f aca="false">'Cuenta Ahorro-Inversión-Financi'!M44+'Cuenta Ahorro-Inversión-Financi'!I44</f>
        <v>0.0546954943387587</v>
      </c>
      <c r="P44" s="702"/>
      <c r="Q44" s="713" t="n">
        <v>1995</v>
      </c>
      <c r="R44" s="707" t="n">
        <f aca="false">'Cuenta Ahorro-Inversión-Financi'!BF11/1000/'PIB corriente base 1993'!V10</f>
        <v>0.0536446703997522</v>
      </c>
      <c r="S44" s="707"/>
      <c r="T44" s="707" t="n">
        <f aca="false">'Cuenta Ahorro-Inversión-Financi'!BX11/1000/'PIB corriente base 1993'!V10</f>
        <v>0.00535587988298989</v>
      </c>
      <c r="U44" s="707" t="n">
        <f aca="false">'Cuenta Ahorro-Inversión-Financi'!T44+'Cuenta Ahorro-Inversión-Financi'!R44+(('Cuenta Ahorro-Inversión-Financi'!AY11+'Cuenta Ahorro-Inversión-Financi'!BC11)/1000/'PIB corriente base 1993'!V10)</f>
        <v>0.0601927035550024</v>
      </c>
      <c r="V44" s="707" t="n">
        <f aca="false">'Cuenta Ahorro-Inversión-Financi'!BN11/1000/'PIB corriente base 1993'!V10</f>
        <v>0.00535587988298989</v>
      </c>
      <c r="W44" s="707" t="n">
        <f aca="false">'Cuenta Ahorro-Inversión-Financi'!AX11/1000/'PIB corriente base 1993'!V10</f>
        <v>0.0601927035550024</v>
      </c>
      <c r="X44" s="707" t="n">
        <f aca="false">W44</f>
        <v>0.0601927035550024</v>
      </c>
      <c r="Y44" s="707"/>
      <c r="Z44" s="707" t="n">
        <f aca="false">('Cuenta Ahorro-Inversión-Financi'!CG11)/1000/'PIB corriente base 1993'!V10</f>
        <v>0.0602051982050321</v>
      </c>
      <c r="AA44" s="707" t="n">
        <f aca="false">('Cuenta Ahorro-Inversión-Financi'!CG11-'Cuenta Ahorro-Inversión-Financi'!AY11)/1000/'PIB corriente base 1993'!V10</f>
        <v>0.0590544568958267</v>
      </c>
      <c r="AB44" s="702"/>
      <c r="AC44" s="714" t="n">
        <v>1995</v>
      </c>
      <c r="AD44" s="709" t="n">
        <f aca="false">'Cuenta Ahorro-Inversión-Financi'!J44-'Cuenta Ahorro-Inversión-Financi'!X44</f>
        <v>-0.00277686082771296</v>
      </c>
      <c r="AE44" s="709" t="n">
        <f aca="false">'Cuenta Ahorro-Inversión-Financi'!F44-'Cuenta Ahorro-Inversión-Financi'!R44</f>
        <v>-0.0169283861734595</v>
      </c>
      <c r="AF44" s="709" t="n">
        <f aca="false">'Cuenta Ahorro-Inversión-Financi'!I44-'Cuenta Ahorro-Inversión-Financi'!U44-'Cuenta Ahorro-Inversión-Financi'!H44</f>
        <v>-0.0113642352751916</v>
      </c>
      <c r="AG44" s="709" t="n">
        <f aca="false">'Cuenta Ahorro-Inversión-Financi'!I44-'Cuenta Ahorro-Inversión-Financi'!U44</f>
        <v>-0.0113325377545191</v>
      </c>
      <c r="AH44" s="709" t="n">
        <f aca="false">'Cuenta Ahorro-Inversión-Financi'!O44-'Cuenta Ahorro-Inversión-Financi'!U44</f>
        <v>-0.00549720921624376</v>
      </c>
      <c r="AI44" s="709" t="n">
        <f aca="false">'Cuenta Ahorro-Inversión-Financi'!F44-('Cuenta Ahorro-Inversión-Financi'!BF11+'Cuenta Ahorro-Inversión-Financi'!BR11)/'PIB corriente base 1993'!V10/1000</f>
        <v>-0.0222842660564494</v>
      </c>
      <c r="AJ44" s="456" t="n">
        <f aca="false">'Cuenta Ahorro-Inversión-Financi'!AH44-'Cuenta Ahorro-Inversión-Financi'!H44</f>
        <v>-0.00552890673691623</v>
      </c>
      <c r="AN44" s="710" t="n">
        <f aca="false">'Cuenta Ahorro-Inversión-Financi'!AN45-1</f>
        <v>1995</v>
      </c>
      <c r="AO44" s="709" t="n">
        <f aca="false">'Cuenta Ahorro-Inversión-Financi'!I44</f>
        <v>0.0488601658004833</v>
      </c>
      <c r="AP44" s="709" t="n">
        <f aca="false">'Cuenta Ahorro-Inversión-Financi'!F44</f>
        <v>0.0367162842262927</v>
      </c>
      <c r="AQ44" s="709" t="n">
        <v>0</v>
      </c>
      <c r="AR44" s="709" t="n">
        <f aca="false">'Cuenta Ahorro-Inversión-Financi'!L44</f>
        <v>0.011591546064283</v>
      </c>
      <c r="AS44" s="709" t="n">
        <f aca="false">'Cuenta Ahorro-Inversión-Financi'!T44+'Cuenta Ahorro-Inversión-Financi'!R44+(('Cuenta Ahorro-Inversión-Financi'!BC11)/1000/'PIB corriente base 1993'!V10)</f>
        <v>0.059041962245797</v>
      </c>
      <c r="AT44" s="709" t="n">
        <f aca="false">'Cuenta Ahorro-Inversión-Financi'!T44+'Cuenta Ahorro-Inversión-Financi'!R44+(('Cuenta Ahorro-Inversión-Financi'!BC11-'Cuenta Ahorro-Inversión-Financi'!BP11-'Cuenta Ahorro-Inversión-Financi'!BQ11)/1000/'PIB corriente base 1993'!V10)</f>
        <v>0.059041962245797</v>
      </c>
      <c r="AU44" s="709" t="n">
        <f aca="false">'Cuenta Ahorro-Inversión-Financi'!U44</f>
        <v>0.0601927035550024</v>
      </c>
      <c r="AV44" s="709" t="n">
        <f aca="false">('Cuenta Ahorro-Inversión-Financi'!CH11)/1000/'PIB corriente base 1993'!V10+'Cuenta Ahorro-Inversión-Financi'!Y44</f>
        <v>0.00663835790735207</v>
      </c>
      <c r="AW44" s="709" t="n">
        <f aca="false">'Cuenta Ahorro-Inversión-Financi'!AP44-'Cuenta Ahorro-Inversión-Financi'!AT44</f>
        <v>-0.0223256780195043</v>
      </c>
      <c r="AX44" s="709" t="n">
        <f aca="false">'Cuenta Ahorro-Inversión-Financi'!AO44-'Cuenta Ahorro-Inversión-Financi'!AU44</f>
        <v>-0.0113325377545191</v>
      </c>
      <c r="AY44" s="709" t="n">
        <f aca="false">'Cuenta Ahorro-Inversión-Financi'!AO44+'Cuenta Ahorro-Inversión-Financi'!AQ44+'Cuenta Ahorro-Inversión-Financi'!AR44-'Cuenta Ahorro-Inversión-Financi'!AU44-'Cuenta Ahorro-Inversión-Financi'!AV44</f>
        <v>-0.00637934959758819</v>
      </c>
      <c r="AZ44" s="709" t="n">
        <f aca="false">'Cuenta Ahorro-Inversión-Financi'!AY44</f>
        <v>-0.00637934959758819</v>
      </c>
      <c r="BA44" s="456" t="n">
        <f aca="false">AU44+AV44</f>
        <v>0.0668310614623545</v>
      </c>
      <c r="BB44" s="456" t="n">
        <v>-0.0113642352751916</v>
      </c>
      <c r="BC44" s="456" t="n">
        <v>-0.0113325377545191</v>
      </c>
      <c r="BF44" s="456" t="n">
        <f aca="false">'Cuenta Ahorro-Inversión-Financi'!BS26/'Cuenta Ahorro-Inversión-Financi'!BF26</f>
        <v>0.0358111033544666</v>
      </c>
      <c r="BI44" s="1" t="n">
        <f aca="false">('Cuenta Ahorro-Inversión-Financi'!BO32-'Cuenta Ahorro-Inversión-Financi'!BJ44)+'Cuenta Ahorro-Inversión-Financi'!BN32</f>
        <v>167993739.7493</v>
      </c>
      <c r="BJ44" s="312" t="n">
        <f aca="false">'Cuenta Ahorro-Inversión-Financi'!BN32-'Cuenta Ahorro-Inversión-Financi'!BP32-'Cuenta Ahorro-Inversión-Financi'!BQ32</f>
        <v>145903423.52105</v>
      </c>
      <c r="BK44" s="28" t="n">
        <v>75079918.568</v>
      </c>
      <c r="BL44" s="28" t="n">
        <f aca="false">'Cuenta Ahorro-Inversión-Financi'!BR31-'Cuenta Ahorro-Inversión-Financi'!BP31-'Cuenta Ahorro-Inversión-Financi'!BQ31</f>
        <v>75053880.19793</v>
      </c>
      <c r="BN44" s="28" t="s">
        <v>976</v>
      </c>
      <c r="CG44" s="646"/>
    </row>
    <row r="45" customFormat="false" ht="15.75" hidden="false" customHeight="true" outlineLevel="0" collapsed="false">
      <c r="A45" s="702"/>
      <c r="B45" s="702"/>
      <c r="C45" s="702"/>
      <c r="D45" s="702"/>
      <c r="E45" s="704" t="n">
        <v>1996</v>
      </c>
      <c r="F45" s="717" t="n">
        <f aca="false">'Cuenta Ahorro-Inversión-Financi'!T12/'PIB corriente base 1993'!V11/1000</f>
        <v>0.0363846758844649</v>
      </c>
      <c r="G45" s="717" t="n">
        <f aca="false">('Cuenta Ahorro-Inversión-Financi'!G12+'Cuenta Ahorro-Inversión-Financi'!S12)/'PIB corriente base 1993'!V11/1000</f>
        <v>0.0146741320077489</v>
      </c>
      <c r="H45" s="717" t="n">
        <f aca="false">'Cuenta Ahorro-Inversión-Financi'!X12/'PIB corriente base 1993'!V11/1000</f>
        <v>0.000116523274740473</v>
      </c>
      <c r="I45" s="717" t="n">
        <f aca="false">('Cuenta Ahorro-Inversión-Financi'!F12-'Cuenta Ahorro-Inversión-Financi'!V12)/'PIB corriente base 1993'!V11/1000</f>
        <v>0.0511753311669543</v>
      </c>
      <c r="J45" s="712" t="n">
        <f aca="false">'Cuenta Ahorro-Inversión-Financi'!F12/'PIB corriente base 1993'!V11/1000</f>
        <v>0.0511753311669543</v>
      </c>
      <c r="K45" s="717" t="n">
        <f aca="false">'Cuenta Ahorro-Inversión-Financi'!T12/'PIB corriente base 1993'!V11/1000</f>
        <v>0.0363846758844649</v>
      </c>
      <c r="L45" s="717" t="n">
        <f aca="false">'Cuenta Ahorro-Inversión-Financi'!AI12/'PIB corriente base 1993'!V11/1000</f>
        <v>0.0118734138888744</v>
      </c>
      <c r="M45" s="717" t="n">
        <f aca="false">'Cuenta Ahorro-Inversión-Financi'!AO12/'PIB corriente base 1993'!V11/1000</f>
        <v>0.00441265490624906</v>
      </c>
      <c r="N45" s="718" t="n">
        <f aca="false">'Cuenta Ahorro-Inversión-Financi'!AG12/'PIB corriente base 1993'!V11/1000</f>
        <v>0.0515385086975716</v>
      </c>
      <c r="O45" s="718" t="n">
        <f aca="false">'Cuenta Ahorro-Inversión-Financi'!M45+'Cuenta Ahorro-Inversión-Financi'!I45</f>
        <v>0.0555879860732034</v>
      </c>
      <c r="P45" s="702"/>
      <c r="Q45" s="713" t="n">
        <v>1996</v>
      </c>
      <c r="R45" s="712" t="n">
        <f aca="false">'Cuenta Ahorro-Inversión-Financi'!BF12/1000/'PIB corriente base 1993'!V11</f>
        <v>0.0531622526632245</v>
      </c>
      <c r="S45" s="712"/>
      <c r="T45" s="712" t="n">
        <f aca="false">'Cuenta Ahorro-Inversión-Financi'!BX12/1000/'PIB corriente base 1993'!V11</f>
        <v>0.00600272468782676</v>
      </c>
      <c r="U45" s="712" t="n">
        <f aca="false">'Cuenta Ahorro-Inversión-Financi'!T45+'Cuenta Ahorro-Inversión-Financi'!R45+(('Cuenta Ahorro-Inversión-Financi'!AY12+'Cuenta Ahorro-Inversión-Financi'!BC12)/1000/'PIB corriente base 1993'!V11)</f>
        <v>0.0608752908039948</v>
      </c>
      <c r="V45" s="712" t="n">
        <f aca="false">'Cuenta Ahorro-Inversión-Financi'!BN12/1000/'PIB corriente base 1993'!V11</f>
        <v>0.00600272468782676</v>
      </c>
      <c r="W45" s="712" t="n">
        <f aca="false">'Cuenta Ahorro-Inversión-Financi'!AX12/1000/'PIB corriente base 1993'!V11</f>
        <v>0.0608752908039948</v>
      </c>
      <c r="X45" s="712" t="n">
        <f aca="false">W45</f>
        <v>0.0608752908039948</v>
      </c>
      <c r="Y45" s="712"/>
      <c r="Z45" s="712" t="n">
        <f aca="false">('Cuenta Ahorro-Inversión-Financi'!CG12)/1000/'PIB corriente base 1993'!V11</f>
        <v>0.0609024437585277</v>
      </c>
      <c r="AA45" s="712" t="n">
        <f aca="false">('Cuenta Ahorro-Inversión-Financi'!CG12-'Cuenta Ahorro-Inversión-Financi'!AY12)/1000/'PIB corriente base 1993'!V11</f>
        <v>0.0596866289561886</v>
      </c>
      <c r="AB45" s="702"/>
      <c r="AC45" s="714" t="n">
        <v>1996</v>
      </c>
      <c r="AD45" s="712" t="n">
        <f aca="false">'Cuenta Ahorro-Inversión-Financi'!J45-'Cuenta Ahorro-Inversión-Financi'!X45</f>
        <v>-0.00969995963704045</v>
      </c>
      <c r="AE45" s="712" t="n">
        <f aca="false">'Cuenta Ahorro-Inversión-Financi'!F45-'Cuenta Ahorro-Inversión-Financi'!R45</f>
        <v>-0.0167775767787595</v>
      </c>
      <c r="AF45" s="712" t="n">
        <f aca="false">'Cuenta Ahorro-Inversión-Financi'!I45-'Cuenta Ahorro-Inversión-Financi'!U45-'Cuenta Ahorro-Inversión-Financi'!H45</f>
        <v>-0.00981648291178092</v>
      </c>
      <c r="AG45" s="712" t="n">
        <f aca="false">'Cuenta Ahorro-Inversión-Financi'!I45-'Cuenta Ahorro-Inversión-Financi'!U45</f>
        <v>-0.00969995963704045</v>
      </c>
      <c r="AH45" s="712" t="n">
        <f aca="false">'Cuenta Ahorro-Inversión-Financi'!O45-'Cuenta Ahorro-Inversión-Financi'!U45</f>
        <v>-0.00528730473079139</v>
      </c>
      <c r="AI45" s="712" t="n">
        <f aca="false">'Cuenta Ahorro-Inversión-Financi'!F45-('Cuenta Ahorro-Inversión-Financi'!BF12+'Cuenta Ahorro-Inversión-Financi'!BR12)/'PIB corriente base 1993'!V11/1000</f>
        <v>-0.0167775767787595</v>
      </c>
      <c r="AJ45" s="456" t="n">
        <f aca="false">'Cuenta Ahorro-Inversión-Financi'!AH45-'Cuenta Ahorro-Inversión-Financi'!H45</f>
        <v>-0.00540382800553187</v>
      </c>
      <c r="AK45" s="719"/>
      <c r="AL45" s="719"/>
      <c r="AN45" s="710" t="n">
        <f aca="false">'Cuenta Ahorro-Inversión-Financi'!AN46-1</f>
        <v>1996</v>
      </c>
      <c r="AO45" s="712" t="n">
        <f aca="false">'Cuenta Ahorro-Inversión-Financi'!I45</f>
        <v>0.0511753311669543</v>
      </c>
      <c r="AP45" s="712" t="n">
        <f aca="false">'Cuenta Ahorro-Inversión-Financi'!F45</f>
        <v>0.0363846758844649</v>
      </c>
      <c r="AQ45" s="712" t="n">
        <v>0</v>
      </c>
      <c r="AR45" s="712" t="n">
        <f aca="false">'Cuenta Ahorro-Inversión-Financi'!L45</f>
        <v>0.0118734138888744</v>
      </c>
      <c r="AS45" s="712" t="n">
        <f aca="false">'Cuenta Ahorro-Inversión-Financi'!T45+'Cuenta Ahorro-Inversión-Financi'!R45+(('Cuenta Ahorro-Inversión-Financi'!BC12)/1000/'PIB corriente base 1993'!V11)</f>
        <v>0.0596594760016556</v>
      </c>
      <c r="AT45" s="712" t="n">
        <f aca="false">'Cuenta Ahorro-Inversión-Financi'!T45+'Cuenta Ahorro-Inversión-Financi'!R45+(('Cuenta Ahorro-Inversión-Financi'!BC12-'Cuenta Ahorro-Inversión-Financi'!BP12-'Cuenta Ahorro-Inversión-Financi'!BQ12)/1000/'PIB corriente base 1993'!V11)</f>
        <v>0.0596594760016556</v>
      </c>
      <c r="AU45" s="712" t="n">
        <f aca="false">'Cuenta Ahorro-Inversión-Financi'!U45</f>
        <v>0.0608752908039948</v>
      </c>
      <c r="AV45" s="712" t="n">
        <f aca="false">('Cuenta Ahorro-Inversión-Financi'!CH12)/1000/'PIB corriente base 1993'!V11+'Cuenta Ahorro-Inversión-Financi'!Y45</f>
        <v>0.0074607589826253</v>
      </c>
      <c r="AW45" s="712" t="n">
        <f aca="false">'Cuenta Ahorro-Inversión-Financi'!AP45-'Cuenta Ahorro-Inversión-Financi'!AT45</f>
        <v>-0.0232748001171907</v>
      </c>
      <c r="AX45" s="712" t="n">
        <f aca="false">'Cuenta Ahorro-Inversión-Financi'!AO45-'Cuenta Ahorro-Inversión-Financi'!AU45</f>
        <v>-0.00969995963704045</v>
      </c>
      <c r="AY45" s="712" t="n">
        <f aca="false">'Cuenta Ahorro-Inversión-Financi'!AO45+'Cuenta Ahorro-Inversión-Financi'!AQ45+'Cuenta Ahorro-Inversión-Financi'!AR45-'Cuenta Ahorro-Inversión-Financi'!AU45-'Cuenta Ahorro-Inversión-Financi'!AV45</f>
        <v>-0.00528730473079139</v>
      </c>
      <c r="AZ45" s="712" t="n">
        <f aca="false">'Cuenta Ahorro-Inversión-Financi'!AY45</f>
        <v>-0.00528730473079139</v>
      </c>
      <c r="BA45" s="456" t="n">
        <f aca="false">AU45+AV45</f>
        <v>0.0683360497866201</v>
      </c>
      <c r="BB45" s="456" t="n">
        <v>-0.00981648291178097</v>
      </c>
      <c r="BC45" s="456" t="n">
        <v>-0.0096999596370405</v>
      </c>
      <c r="BF45" s="456" t="n">
        <f aca="false">'Cuenta Ahorro-Inversión-Financi'!BS27/'Cuenta Ahorro-Inversión-Financi'!BF27</f>
        <v>0.0358428339427734</v>
      </c>
      <c r="BI45" s="1" t="n">
        <f aca="false">'Cuenta Ahorro-Inversión-Financi'!BO32-'Cuenta Ahorro-Inversión-Financi'!BJ44</f>
        <v>0</v>
      </c>
      <c r="BJ45" s="28" t="n">
        <v>50627831.65</v>
      </c>
      <c r="BK45" s="28" t="n">
        <f aca="false">'Cuenta Ahorro-Inversión-Financi'!BR30-'Cuenta Ahorro-Inversión-Financi'!BP30-'Cuenta Ahorro-Inversión-Financi'!BQ30</f>
        <v>50627831.64991</v>
      </c>
      <c r="BL45" s="28" t="n">
        <f aca="false">'Cuenta Ahorro-Inversión-Financi'!BL44+'Cuenta Ahorro-Inversión-Financi'!BS31</f>
        <v>90576617.55667</v>
      </c>
      <c r="BM45" s="28" t="n">
        <f aca="false">'Cuenta Ahorro-Inversión-Financi'!BO30+'Cuenta Ahorro-Inversión-Financi'!BP30+'Cuenta Ahorro-Inversión-Financi'!BQ30</f>
        <v>62895026.92646</v>
      </c>
      <c r="BN45" s="720" t="n">
        <v>2684200</v>
      </c>
      <c r="BO45" s="28"/>
      <c r="BP45" s="28" t="n">
        <v>10613959.7659624</v>
      </c>
      <c r="BQ45" s="28"/>
      <c r="BR45" s="1" t="s">
        <v>977</v>
      </c>
      <c r="CG45" s="646"/>
    </row>
    <row r="46" customFormat="false" ht="15.75" hidden="false" customHeight="true" outlineLevel="0" collapsed="false">
      <c r="A46" s="702"/>
      <c r="B46" s="702"/>
      <c r="C46" s="702"/>
      <c r="D46" s="702"/>
      <c r="E46" s="704" t="n">
        <v>1997</v>
      </c>
      <c r="F46" s="705" t="n">
        <f aca="false">'Cuenta Ahorro-Inversión-Financi'!T13/'PIB corriente base 1993'!V12/1000</f>
        <v>0.0349581599781242</v>
      </c>
      <c r="G46" s="705" t="n">
        <f aca="false">('Cuenta Ahorro-Inversión-Financi'!G13+'Cuenta Ahorro-Inversión-Financi'!S13)/'PIB corriente base 1993'!V12/1000</f>
        <v>0.0200853946887565</v>
      </c>
      <c r="H46" s="705" t="n">
        <f aca="false">'Cuenta Ahorro-Inversión-Financi'!X13/'PIB corriente base 1993'!V12/1000</f>
        <v>0.000108303900462984</v>
      </c>
      <c r="I46" s="705" t="n">
        <f aca="false">('Cuenta Ahorro-Inversión-Financi'!F13-'Cuenta Ahorro-Inversión-Financi'!V13)/'PIB corriente base 1993'!V12/1000</f>
        <v>0.048375687457096</v>
      </c>
      <c r="J46" s="705" t="n">
        <f aca="false">'Cuenta Ahorro-Inversión-Financi'!F13/'PIB corriente base 1993'!V12/1000</f>
        <v>0.0551518585673437</v>
      </c>
      <c r="K46" s="705" t="n">
        <f aca="false">'Cuenta Ahorro-Inversión-Financi'!T13/'PIB corriente base 1993'!V12/1000</f>
        <v>0.0349581599781242</v>
      </c>
      <c r="L46" s="705" t="n">
        <f aca="false">'Cuenta Ahorro-Inversión-Financi'!AI13/'PIB corriente base 1993'!V12/1000</f>
        <v>0.0122864231415156</v>
      </c>
      <c r="M46" s="705" t="n">
        <f aca="false">'Cuenta Ahorro-Inversión-Financi'!AO13/'PIB corriente base 1993'!V12/1000</f>
        <v>0.00506896302668518</v>
      </c>
      <c r="N46" s="705" t="n">
        <f aca="false">'Cuenta Ahorro-Inversión-Financi'!AG13/'PIB corriente base 1993'!V12/1000</f>
        <v>0.0558648368629445</v>
      </c>
      <c r="O46" s="705" t="n">
        <f aca="false">'Cuenta Ahorro-Inversión-Financi'!M46+'Cuenta Ahorro-Inversión-Financi'!I46</f>
        <v>0.0534446504837812</v>
      </c>
      <c r="P46" s="702"/>
      <c r="Q46" s="713" t="n">
        <v>1997</v>
      </c>
      <c r="R46" s="721" t="n">
        <f aca="false">'Cuenta Ahorro-Inversión-Financi'!BF13/1000/'PIB corriente base 1993'!V12</f>
        <v>0.0500659666860674</v>
      </c>
      <c r="S46" s="721"/>
      <c r="T46" s="721" t="n">
        <f aca="false">'Cuenta Ahorro-Inversión-Financi'!BX13/1000/'PIB corriente base 1993'!V12</f>
        <v>0.00539903006587295</v>
      </c>
      <c r="U46" s="721" t="n">
        <f aca="false">'Cuenta Ahorro-Inversión-Financi'!T46+'Cuenta Ahorro-Inversión-Financi'!R46+(('Cuenta Ahorro-Inversión-Financi'!AY13+'Cuenta Ahorro-Inversión-Financi'!BC13)/1000/'PIB corriente base 1993'!V12)</f>
        <v>0.0566005957718935</v>
      </c>
      <c r="V46" s="721" t="n">
        <f aca="false">'Cuenta Ahorro-Inversión-Financi'!BN13/1000/'PIB corriente base 1993'!V12</f>
        <v>0.00539903006587295</v>
      </c>
      <c r="W46" s="707" t="n">
        <f aca="false">'Cuenta Ahorro-Inversión-Financi'!AX13/1000/'PIB corriente base 1993'!V12</f>
        <v>0.0566005957718935</v>
      </c>
      <c r="X46" s="707" t="n">
        <f aca="false">W46</f>
        <v>0.0566005957718935</v>
      </c>
      <c r="Y46" s="707"/>
      <c r="Z46" s="707" t="n">
        <f aca="false">('Cuenta Ahorro-Inversión-Financi'!CG13)/1000/'PIB corriente base 1993'!V12</f>
        <v>0.0566307859489529</v>
      </c>
      <c r="AA46" s="707" t="n">
        <f aca="false">('Cuenta Ahorro-Inversión-Financi'!CG13-'Cuenta Ahorro-Inversión-Financi'!AY13)/1000/'PIB corriente base 1993'!V12</f>
        <v>0.0557904399208109</v>
      </c>
      <c r="AB46" s="702"/>
      <c r="AC46" s="714" t="n">
        <v>1997</v>
      </c>
      <c r="AD46" s="709" t="n">
        <f aca="false">'Cuenta Ahorro-Inversión-Financi'!J46-'Cuenta Ahorro-Inversión-Financi'!X46</f>
        <v>-0.00144873720454982</v>
      </c>
      <c r="AE46" s="709" t="n">
        <f aca="false">'Cuenta Ahorro-Inversión-Financi'!F46-'Cuenta Ahorro-Inversión-Financi'!R46</f>
        <v>-0.0151078067079432</v>
      </c>
      <c r="AF46" s="709" t="n">
        <f aca="false">'Cuenta Ahorro-Inversión-Financi'!I46-'Cuenta Ahorro-Inversión-Financi'!U46-'Cuenta Ahorro-Inversión-Financi'!H46</f>
        <v>-0.00833321221526041</v>
      </c>
      <c r="AG46" s="709" t="n">
        <f aca="false">'Cuenta Ahorro-Inversión-Financi'!I46-'Cuenta Ahorro-Inversión-Financi'!U46</f>
        <v>-0.00822490831479743</v>
      </c>
      <c r="AH46" s="709" t="n">
        <f aca="false">'Cuenta Ahorro-Inversión-Financi'!O46-'Cuenta Ahorro-Inversión-Financi'!U46</f>
        <v>-0.00315594528811224</v>
      </c>
      <c r="AI46" s="709" t="n">
        <f aca="false">'Cuenta Ahorro-Inversión-Financi'!F46-('Cuenta Ahorro-Inversión-Financi'!BF13+'Cuenta Ahorro-Inversión-Financi'!BR13)/'PIB corriente base 1993'!V12/1000</f>
        <v>-0.0198405542498262</v>
      </c>
      <c r="AJ46" s="456" t="n">
        <f aca="false">'Cuenta Ahorro-Inversión-Financi'!AH46-'Cuenta Ahorro-Inversión-Financi'!H46</f>
        <v>-0.00326424918857523</v>
      </c>
      <c r="AK46" s="719"/>
      <c r="AL46" s="719"/>
      <c r="AN46" s="710" t="n">
        <f aca="false">'Cuenta Ahorro-Inversión-Financi'!AN47-1</f>
        <v>1997</v>
      </c>
      <c r="AO46" s="709" t="n">
        <f aca="false">'Cuenta Ahorro-Inversión-Financi'!I46</f>
        <v>0.048375687457096</v>
      </c>
      <c r="AP46" s="709" t="n">
        <f aca="false">'Cuenta Ahorro-Inversión-Financi'!F46</f>
        <v>0.0349581599781242</v>
      </c>
      <c r="AQ46" s="709" t="n">
        <v>0</v>
      </c>
      <c r="AR46" s="709" t="n">
        <f aca="false">'Cuenta Ahorro-Inversión-Financi'!L46</f>
        <v>0.0122864231415156</v>
      </c>
      <c r="AS46" s="709" t="n">
        <f aca="false">'Cuenta Ahorro-Inversión-Financi'!T46+'Cuenta Ahorro-Inversión-Financi'!R46+(('Cuenta Ahorro-Inversión-Financi'!BC13)/1000/'PIB corriente base 1993'!V12)</f>
        <v>0.0557602497437515</v>
      </c>
      <c r="AT46" s="709" t="n">
        <f aca="false">'Cuenta Ahorro-Inversión-Financi'!T46+'Cuenta Ahorro-Inversión-Financi'!R46+(('Cuenta Ahorro-Inversión-Financi'!BC13-'Cuenta Ahorro-Inversión-Financi'!BP13-'Cuenta Ahorro-Inversión-Financi'!BQ13)/1000/'PIB corriente base 1993'!V12)</f>
        <v>0.0557602497437515</v>
      </c>
      <c r="AU46" s="709" t="n">
        <f aca="false">'Cuenta Ahorro-Inversión-Financi'!U46</f>
        <v>0.0566005957718935</v>
      </c>
      <c r="AV46" s="709" t="n">
        <f aca="false">('Cuenta Ahorro-Inversión-Financi'!CH13)/1000/'PIB corriente base 1993'!V12+'Cuenta Ahorro-Inversión-Financi'!Y46</f>
        <v>0.00721746011483045</v>
      </c>
      <c r="AW46" s="709" t="n">
        <f aca="false">'Cuenta Ahorro-Inversión-Financi'!AP46-'Cuenta Ahorro-Inversión-Financi'!AT46</f>
        <v>-0.0208020897656273</v>
      </c>
      <c r="AX46" s="709" t="n">
        <f aca="false">'Cuenta Ahorro-Inversión-Financi'!AO46-'Cuenta Ahorro-Inversión-Financi'!AU46</f>
        <v>-0.00822490831479743</v>
      </c>
      <c r="AY46" s="709" t="n">
        <f aca="false">'Cuenta Ahorro-Inversión-Financi'!AO46+'Cuenta Ahorro-Inversión-Financi'!AQ46+'Cuenta Ahorro-Inversión-Financi'!AR46-'Cuenta Ahorro-Inversión-Financi'!AU46-'Cuenta Ahorro-Inversión-Financi'!AV46</f>
        <v>-0.00315594528811225</v>
      </c>
      <c r="AZ46" s="709" t="n">
        <f aca="false">'Cuenta Ahorro-Inversión-Financi'!AY46</f>
        <v>-0.00315594528811225</v>
      </c>
      <c r="BA46" s="456" t="n">
        <f aca="false">AU46+AV46</f>
        <v>0.0638180558867239</v>
      </c>
      <c r="BB46" s="456" t="n">
        <v>-0.00833321221526048</v>
      </c>
      <c r="BC46" s="456" t="n">
        <v>-0.0082249083147975</v>
      </c>
      <c r="BF46" s="456" t="n">
        <f aca="false">'Cuenta Ahorro-Inversión-Financi'!BS28/'Cuenta Ahorro-Inversión-Financi'!BF28</f>
        <v>0.0358325990635829</v>
      </c>
      <c r="BI46" s="1" t="n">
        <f aca="false">'Cuenta Ahorro-Inversión-Financi'!BO32-'Cuenta Ahorro-Inversión-Financi'!BI45</f>
        <v>145903423.52105</v>
      </c>
      <c r="BJ46" s="456" t="n">
        <f aca="false">('Cuenta Ahorro-Inversión-Financi'!BP31)/'Cuenta Ahorro-Inversión-Financi'!BN31</f>
        <v>0.0237612014794172</v>
      </c>
      <c r="BK46" s="1" t="n">
        <f aca="false">'Cuenta Ahorro-Inversión-Financi'!BK45+'Cuenta Ahorro-Inversión-Financi'!BS30</f>
        <v>61284342.35352</v>
      </c>
      <c r="BN46" s="312" t="n">
        <v>26842000</v>
      </c>
      <c r="BO46" s="722" t="n">
        <f aca="false">22088370468.25/1000</f>
        <v>22088370.46825</v>
      </c>
    </row>
    <row r="47" customFormat="false" ht="15.75" hidden="false" customHeight="true" outlineLevel="0" collapsed="false">
      <c r="A47" s="702"/>
      <c r="B47" s="702"/>
      <c r="C47" s="702"/>
      <c r="D47" s="702"/>
      <c r="E47" s="704" t="n">
        <v>1998</v>
      </c>
      <c r="F47" s="712" t="n">
        <f aca="false">'Cuenta Ahorro-Inversión-Financi'!U14/'PIB corriente base 1993'!V13/1000</f>
        <v>0.0264965219233464</v>
      </c>
      <c r="G47" s="712" t="n">
        <f aca="false">('Cuenta Ahorro-Inversión-Financi'!G14+'Cuenta Ahorro-Inversión-Financi'!S14)/'PIB corriente base 1993'!V13/1000</f>
        <v>0.0212578403477591</v>
      </c>
      <c r="H47" s="712" t="n">
        <f aca="false">'Cuenta Ahorro-Inversión-Financi'!X14/'PIB corriente base 1993'!V13/1000</f>
        <v>4.84963051482054E-005</v>
      </c>
      <c r="I47" s="712" t="n">
        <f aca="false">('Cuenta Ahorro-Inversión-Financi'!F14-'Cuenta Ahorro-Inversión-Financi'!V14)/'PIB corriente base 1993'!V13/1000</f>
        <v>0.0478028585762537</v>
      </c>
      <c r="J47" s="712" t="n">
        <f aca="false">'Cuenta Ahorro-Inversión-Financi'!F14/'PIB corriente base 1993'!V13/1000</f>
        <v>0.0544748153423529</v>
      </c>
      <c r="K47" s="712" t="n">
        <f aca="false">'Cuenta Ahorro-Inversión-Financi'!T14/'PIB corriente base 1993'!V13/1000</f>
        <v>0.0331684786894456</v>
      </c>
      <c r="L47" s="712" t="n">
        <f aca="false">'Cuenta Ahorro-Inversión-Financi'!AI14/'PIB corriente base 1993'!V13/1000</f>
        <v>0.0127033327129764</v>
      </c>
      <c r="M47" s="712" t="n">
        <f aca="false">'Cuenta Ahorro-Inversión-Financi'!AO14/'PIB corriente base 1993'!V13/1000</f>
        <v>0.00452259793504476</v>
      </c>
      <c r="N47" s="717" t="n">
        <f aca="false">'Cuenta Ahorro-Inversión-Financi'!AG14/'PIB corriente base 1993'!V13/1000</f>
        <v>0.0547668017431887</v>
      </c>
      <c r="O47" s="717" t="n">
        <f aca="false">'Cuenta Ahorro-Inversión-Financi'!M47+'Cuenta Ahorro-Inversión-Financi'!I47</f>
        <v>0.0523254565112985</v>
      </c>
      <c r="P47" s="702"/>
      <c r="Q47" s="713" t="n">
        <v>1998</v>
      </c>
      <c r="R47" s="712" t="n">
        <f aca="false">'Cuenta Ahorro-Inversión-Financi'!BF14/1000/'PIB corriente base 1993'!V13</f>
        <v>0.0491903555478579</v>
      </c>
      <c r="S47" s="712"/>
      <c r="T47" s="712" t="n">
        <f aca="false">'Cuenta Ahorro-Inversión-Financi'!BR14/1000/'PIB corriente base 1993'!V13</f>
        <v>0.00477034993055969</v>
      </c>
      <c r="U47" s="712" t="n">
        <f aca="false">'Cuenta Ahorro-Inversión-Financi'!T47+'Cuenta Ahorro-Inversión-Financi'!R47+(('Cuenta Ahorro-Inversión-Financi'!AY14+'Cuenta Ahorro-Inversión-Financi'!BC14)/1000/'PIB corriente base 1993'!V13)</f>
        <v>0.0549855186352841</v>
      </c>
      <c r="V47" s="712" t="n">
        <f aca="false">'Cuenta Ahorro-Inversión-Financi'!BN14/1000/'PIB corriente base 1993'!V13</f>
        <v>0.0127524788625281</v>
      </c>
      <c r="W47" s="712" t="n">
        <f aca="false">'Cuenta Ahorro-Inversión-Financi'!AX14/1000/'PIB corriente base 1993'!V13</f>
        <v>0.0629676475672525</v>
      </c>
      <c r="X47" s="712" t="n">
        <f aca="false">W47</f>
        <v>0.0629676475672525</v>
      </c>
      <c r="Y47" s="712"/>
      <c r="Z47" s="712" t="n">
        <f aca="false">('Cuenta Ahorro-Inversión-Financi'!CG14)/1000/'PIB corriente base 1993'!V13</f>
        <v>0.0630144222818809</v>
      </c>
      <c r="AA47" s="712" t="n">
        <f aca="false">('Cuenta Ahorro-Inversión-Financi'!CG14-'Cuenta Ahorro-Inversión-Financi'!AY14)/1000/'PIB corriente base 1993'!V13</f>
        <v>0.0622394225495174</v>
      </c>
      <c r="AB47" s="702"/>
      <c r="AC47" s="714" t="n">
        <v>1998</v>
      </c>
      <c r="AD47" s="712" t="n">
        <f aca="false">'Cuenta Ahorro-Inversión-Financi'!J47-'Cuenta Ahorro-Inversión-Financi'!X47</f>
        <v>-0.00849283222489954</v>
      </c>
      <c r="AE47" s="712" t="n">
        <f aca="false">'Cuenta Ahorro-Inversión-Financi'!F47-'Cuenta Ahorro-Inversión-Financi'!R47</f>
        <v>-0.0226938336245115</v>
      </c>
      <c r="AF47" s="712" t="n">
        <f aca="false">'Cuenta Ahorro-Inversión-Financi'!I47-'Cuenta Ahorro-Inversión-Financi'!U47-'Cuenta Ahorro-Inversión-Financi'!H47</f>
        <v>-0.00723115636417857</v>
      </c>
      <c r="AG47" s="712" t="n">
        <f aca="false">'Cuenta Ahorro-Inversión-Financi'!I47-'Cuenta Ahorro-Inversión-Financi'!U47</f>
        <v>-0.00718266005903036</v>
      </c>
      <c r="AH47" s="712" t="n">
        <f aca="false">'Cuenta Ahorro-Inversión-Financi'!O47-'Cuenta Ahorro-Inversión-Financi'!U47</f>
        <v>-0.0026600621239856</v>
      </c>
      <c r="AI47" s="712" t="n">
        <f aca="false">'Cuenta Ahorro-Inversión-Financi'!F47-('Cuenta Ahorro-Inversión-Financi'!BF14+'Cuenta Ahorro-Inversión-Financi'!BR14)/'PIB corriente base 1993'!V13/1000</f>
        <v>-0.0274641835550712</v>
      </c>
      <c r="AJ47" s="456" t="n">
        <f aca="false">'Cuenta Ahorro-Inversión-Financi'!AH47-'Cuenta Ahorro-Inversión-Financi'!H47</f>
        <v>-0.00270855842913381</v>
      </c>
      <c r="AK47" s="719"/>
      <c r="AL47" s="719"/>
      <c r="AN47" s="710" t="n">
        <f aca="false">'Cuenta Ahorro-Inversión-Financi'!AN48-1</f>
        <v>1998</v>
      </c>
      <c r="AO47" s="712" t="n">
        <f aca="false">'Cuenta Ahorro-Inversión-Financi'!I47</f>
        <v>0.0478028585762537</v>
      </c>
      <c r="AP47" s="712" t="n">
        <f aca="false">'Cuenta Ahorro-Inversión-Financi'!F47</f>
        <v>0.0264965219233464</v>
      </c>
      <c r="AQ47" s="712" t="n">
        <v>0</v>
      </c>
      <c r="AR47" s="712" t="n">
        <f aca="false">'Cuenta Ahorro-Inversión-Financi'!L47</f>
        <v>0.0127033327129764</v>
      </c>
      <c r="AS47" s="712" t="n">
        <f aca="false">'Cuenta Ahorro-Inversión-Financi'!T47+'Cuenta Ahorro-Inversión-Financi'!R47+(('Cuenta Ahorro-Inversión-Financi'!BC14)/1000/'PIB corriente base 1993'!V13)</f>
        <v>0.0542105189029207</v>
      </c>
      <c r="AT47" s="712" t="n">
        <f aca="false">'Cuenta Ahorro-Inversión-Financi'!T47+'Cuenta Ahorro-Inversión-Financi'!R47+(('Cuenta Ahorro-Inversión-Financi'!BC14-'Cuenta Ahorro-Inversión-Financi'!BP14-'Cuenta Ahorro-Inversión-Financi'!BQ14)/1000/'PIB corriente base 1993'!V13)</f>
        <v>0.0536416042274813</v>
      </c>
      <c r="AU47" s="712" t="n">
        <f aca="false">'Cuenta Ahorro-Inversión-Financi'!U47</f>
        <v>0.0549855186352841</v>
      </c>
      <c r="AV47" s="712" t="n">
        <f aca="false">('Cuenta Ahorro-Inversión-Financi'!CH14)/1000/'PIB corriente base 1993'!V13+'Cuenta Ahorro-Inversión-Financi'!Y47</f>
        <v>0.00818073477793168</v>
      </c>
      <c r="AW47" s="712" t="n">
        <f aca="false">'Cuenta Ahorro-Inversión-Financi'!AP47-'Cuenta Ahorro-Inversión-Financi'!AT47</f>
        <v>-0.0271450823041349</v>
      </c>
      <c r="AX47" s="712" t="n">
        <f aca="false">'Cuenta Ahorro-Inversión-Financi'!AO47-'Cuenta Ahorro-Inversión-Financi'!AU47</f>
        <v>-0.00718266005903036</v>
      </c>
      <c r="AY47" s="712" t="n">
        <f aca="false">'Cuenta Ahorro-Inversión-Financi'!AO47+'Cuenta Ahorro-Inversión-Financi'!AQ47+'Cuenta Ahorro-Inversión-Financi'!AR47-'Cuenta Ahorro-Inversión-Financi'!AU47-'Cuenta Ahorro-Inversión-Financi'!AV47</f>
        <v>-0.00266006212398561</v>
      </c>
      <c r="AZ47" s="712" t="n">
        <f aca="false">'Cuenta Ahorro-Inversión-Financi'!AY47</f>
        <v>-0.00266006212398561</v>
      </c>
      <c r="BA47" s="456" t="n">
        <f aca="false">AU47+AV47</f>
        <v>0.0631662534132158</v>
      </c>
      <c r="BB47" s="456" t="n">
        <v>-0.00723115636417861</v>
      </c>
      <c r="BC47" s="456" t="n">
        <v>-0.0071826600590304</v>
      </c>
      <c r="BF47" s="456" t="n">
        <f aca="false">'Cuenta Ahorro-Inversión-Financi'!BS29/'Cuenta Ahorro-Inversión-Financi'!BF29</f>
        <v>0.0358242643817758</v>
      </c>
      <c r="BI47" s="1" t="n">
        <f aca="false">'Cuenta Ahorro-Inversión-Financi'!BI46+'Cuenta Ahorro-Inversión-Financi'!BP32+'Cuenta Ahorro-Inversión-Financi'!BQ32</f>
        <v>167993739.7493</v>
      </c>
      <c r="BJ47" s="456" t="n">
        <f aca="false">('Cuenta Ahorro-Inversión-Financi'!BP32)/'Cuenta Ahorro-Inversión-Financi'!BN32</f>
        <v>0.131483295158575</v>
      </c>
      <c r="BN47" s="28" t="n">
        <f aca="false">'Cuenta Ahorro-Inversión-Financi'!BN46-'Cuenta Ahorro-Inversión-Financi'!BO46</f>
        <v>4753629.53175</v>
      </c>
      <c r="BO47" s="723"/>
      <c r="CA47" s="563" t="s">
        <v>978</v>
      </c>
      <c r="CB47" s="563"/>
      <c r="CC47" s="563"/>
      <c r="CD47" s="563"/>
      <c r="CE47" s="563"/>
      <c r="CF47" s="563"/>
      <c r="CG47" s="563"/>
      <c r="CH47" s="563"/>
      <c r="CI47" s="563"/>
      <c r="CJ47" s="563"/>
      <c r="CK47" s="563"/>
      <c r="CL47" s="563"/>
      <c r="CM47" s="563"/>
    </row>
    <row r="48" customFormat="false" ht="15.75" hidden="false" customHeight="true" outlineLevel="0" collapsed="false">
      <c r="A48" s="702"/>
      <c r="B48" s="702"/>
      <c r="C48" s="702"/>
      <c r="D48" s="702"/>
      <c r="E48" s="704" t="n">
        <v>1999</v>
      </c>
      <c r="F48" s="705" t="n">
        <f aca="false">'Cuenta Ahorro-Inversión-Financi'!U15/'PIB corriente base 1993'!V14/1000</f>
        <v>0.0249055646687138</v>
      </c>
      <c r="G48" s="705" t="n">
        <f aca="false">('Cuenta Ahorro-Inversión-Financi'!G15+'Cuenta Ahorro-Inversión-Financi'!S15)/'PIB corriente base 1993'!V14/1000</f>
        <v>0.0214303302315375</v>
      </c>
      <c r="H48" s="705" t="n">
        <f aca="false">'Cuenta Ahorro-Inversión-Financi'!X15/'PIB corriente base 1993'!V14/1000</f>
        <v>8.90089000381151E-006</v>
      </c>
      <c r="I48" s="705" t="n">
        <f aca="false">('Cuenta Ahorro-Inversión-Financi'!F15-'Cuenta Ahorro-Inversión-Financi'!V15)/'PIB corriente base 1993'!V14/1000</f>
        <v>0.0463447957902552</v>
      </c>
      <c r="J48" s="705" t="n">
        <f aca="false">'Cuenta Ahorro-Inversión-Financi'!F15/'PIB corriente base 1993'!V14/1000</f>
        <v>0.0532777004300702</v>
      </c>
      <c r="K48" s="705" t="n">
        <f aca="false">'Cuenta Ahorro-Inversión-Financi'!T15/'PIB corriente base 1993'!V14/1000</f>
        <v>0.0318384693085288</v>
      </c>
      <c r="L48" s="705" t="n">
        <f aca="false">'Cuenta Ahorro-Inversión-Financi'!AI15/'PIB corriente base 1993'!V14/1000</f>
        <v>0.0130590610333592</v>
      </c>
      <c r="M48" s="705" t="n">
        <f aca="false">'Cuenta Ahorro-Inversión-Financi'!AO15/'PIB corriente base 1993'!V14/1000</f>
        <v>0.0043774827281075</v>
      </c>
      <c r="N48" s="705" t="n">
        <f aca="false">'Cuenta Ahorro-Inversión-Financi'!AG15/'PIB corriente base 1993'!V14/1000</f>
        <v>0.0535007701072415</v>
      </c>
      <c r="O48" s="705" t="n">
        <f aca="false">'Cuenta Ahorro-Inversión-Financi'!M48+'Cuenta Ahorro-Inversión-Financi'!I48</f>
        <v>0.0507222785183627</v>
      </c>
      <c r="P48" s="702"/>
      <c r="Q48" s="713" t="n">
        <v>1999</v>
      </c>
      <c r="R48" s="721" t="n">
        <f aca="false">'Cuenta Ahorro-Inversión-Financi'!BF15/1000/'PIB corriente base 1993'!V14</f>
        <v>0.0517496903211291</v>
      </c>
      <c r="S48" s="721"/>
      <c r="T48" s="721" t="n">
        <f aca="false">'Cuenta Ahorro-Inversión-Financi'!BR15/1000/'PIB corriente base 1993'!V14</f>
        <v>0.00587322823822414</v>
      </c>
      <c r="U48" s="721" t="n">
        <f aca="false">'Cuenta Ahorro-Inversión-Financi'!T48+'Cuenta Ahorro-Inversión-Financi'!R48+(('Cuenta Ahorro-Inversión-Financi'!AY15+'Cuenta Ahorro-Inversión-Financi'!BC15)/1000/'PIB corriente base 1993'!V14)</f>
        <v>0.0584819665329902</v>
      </c>
      <c r="V48" s="721" t="n">
        <f aca="false">'Cuenta Ahorro-Inversión-Financi'!BN15/1000/'PIB corriente base 1993'!V14</f>
        <v>0.0143082213307534</v>
      </c>
      <c r="W48" s="707" t="n">
        <f aca="false">'Cuenta Ahorro-Inversión-Financi'!AX15/1000/'PIB corriente base 1993'!V14</f>
        <v>0.0669169596255194</v>
      </c>
      <c r="X48" s="707" t="n">
        <f aca="false">W48</f>
        <v>0.0669169596255194</v>
      </c>
      <c r="Y48" s="707"/>
      <c r="Z48" s="707" t="n">
        <f aca="false">('Cuenta Ahorro-Inversión-Financi'!CG15)/1000/'PIB corriente base 1993'!V14</f>
        <v>0.0669406296146645</v>
      </c>
      <c r="AA48" s="707" t="n">
        <f aca="false">('Cuenta Ahorro-Inversión-Financi'!CG15-'Cuenta Ahorro-Inversión-Financi'!AY15)/1000/'PIB corriente base 1993'!V14</f>
        <v>0.0660958081948481</v>
      </c>
      <c r="AB48" s="702"/>
      <c r="AC48" s="714" t="n">
        <v>1999</v>
      </c>
      <c r="AD48" s="709" t="n">
        <f aca="false">'Cuenta Ahorro-Inversión-Financi'!J48-'Cuenta Ahorro-Inversión-Financi'!X48</f>
        <v>-0.0136392591954492</v>
      </c>
      <c r="AE48" s="709" t="n">
        <f aca="false">'Cuenta Ahorro-Inversión-Financi'!F48-'Cuenta Ahorro-Inversión-Financi'!R48</f>
        <v>-0.0268441256524153</v>
      </c>
      <c r="AF48" s="709" t="n">
        <f aca="false">'Cuenta Ahorro-Inversión-Financi'!I48-'Cuenta Ahorro-Inversión-Financi'!U48-'Cuenta Ahorro-Inversión-Financi'!H48</f>
        <v>-0.0121460716327388</v>
      </c>
      <c r="AG48" s="709" t="n">
        <f aca="false">'Cuenta Ahorro-Inversión-Financi'!I48-'Cuenta Ahorro-Inversión-Financi'!U48</f>
        <v>-0.012137170742735</v>
      </c>
      <c r="AH48" s="709" t="n">
        <f aca="false">'Cuenta Ahorro-Inversión-Financi'!O48-'Cuenta Ahorro-Inversión-Financi'!U48</f>
        <v>-0.0077596880146275</v>
      </c>
      <c r="AI48" s="709" t="n">
        <f aca="false">'Cuenta Ahorro-Inversión-Financi'!F48-('Cuenta Ahorro-Inversión-Financi'!BF15+'Cuenta Ahorro-Inversión-Financi'!BR15)/'PIB corriente base 1993'!V14/1000</f>
        <v>-0.0327173538906395</v>
      </c>
      <c r="AJ48" s="456" t="n">
        <f aca="false">'Cuenta Ahorro-Inversión-Financi'!AH48-'Cuenta Ahorro-Inversión-Financi'!H48</f>
        <v>-0.00776858890463131</v>
      </c>
      <c r="AK48" s="719"/>
      <c r="AL48" s="719"/>
      <c r="AN48" s="710" t="n">
        <f aca="false">'Cuenta Ahorro-Inversión-Financi'!AN49-1</f>
        <v>1999</v>
      </c>
      <c r="AO48" s="709" t="n">
        <f aca="false">'Cuenta Ahorro-Inversión-Financi'!I48</f>
        <v>0.0463447957902552</v>
      </c>
      <c r="AP48" s="709" t="n">
        <f aca="false">'Cuenta Ahorro-Inversión-Financi'!F48</f>
        <v>0.0249055646687138</v>
      </c>
      <c r="AQ48" s="709" t="n">
        <v>0</v>
      </c>
      <c r="AR48" s="709" t="n">
        <f aca="false">'Cuenta Ahorro-Inversión-Financi'!L48</f>
        <v>0.0130590610333592</v>
      </c>
      <c r="AS48" s="709" t="n">
        <f aca="false">'Cuenta Ahorro-Inversión-Financi'!T48+'Cuenta Ahorro-Inversión-Financi'!R48+(('Cuenta Ahorro-Inversión-Financi'!BC15)/1000/'PIB corriente base 1993'!V14)</f>
        <v>0.0576371451131737</v>
      </c>
      <c r="AT48" s="709" t="n">
        <f aca="false">'Cuenta Ahorro-Inversión-Financi'!T48+'Cuenta Ahorro-Inversión-Financi'!R48+(('Cuenta Ahorro-Inversión-Financi'!BC15-'Cuenta Ahorro-Inversión-Financi'!BP15-'Cuenta Ahorro-Inversión-Financi'!BQ15)/1000/'PIB corriente base 1993'!V14)</f>
        <v>0.0570572015353597</v>
      </c>
      <c r="AU48" s="709" t="n">
        <f aca="false">'Cuenta Ahorro-Inversión-Financi'!U48</f>
        <v>0.0584819665329902</v>
      </c>
      <c r="AV48" s="709" t="n">
        <f aca="false">('Cuenta Ahorro-Inversión-Financi'!CH15)/1000/'PIB corriente base 1993'!V14+'Cuenta Ahorro-Inversión-Financi'!Y48</f>
        <v>0.00868157830525175</v>
      </c>
      <c r="AW48" s="709" t="n">
        <f aca="false">'Cuenta Ahorro-Inversión-Financi'!AP48-'Cuenta Ahorro-Inversión-Financi'!AT48</f>
        <v>-0.0321516368666459</v>
      </c>
      <c r="AX48" s="709" t="n">
        <f aca="false">'Cuenta Ahorro-Inversión-Financi'!AO48-'Cuenta Ahorro-Inversión-Financi'!AU48</f>
        <v>-0.012137170742735</v>
      </c>
      <c r="AY48" s="709" t="n">
        <f aca="false">'Cuenta Ahorro-Inversión-Financi'!AO48+'Cuenta Ahorro-Inversión-Financi'!AQ48+'Cuenta Ahorro-Inversión-Financi'!AR48-'Cuenta Ahorro-Inversión-Financi'!AU48-'Cuenta Ahorro-Inversión-Financi'!AV48</f>
        <v>-0.0077596880146275</v>
      </c>
      <c r="AZ48" s="709" t="n">
        <f aca="false">'Cuenta Ahorro-Inversión-Financi'!AY48</f>
        <v>-0.0077596880146275</v>
      </c>
      <c r="BA48" s="456" t="n">
        <f aca="false">AU48+AV48</f>
        <v>0.0671635448382419</v>
      </c>
      <c r="BB48" s="456" t="n">
        <v>-0.0121460716327388</v>
      </c>
      <c r="BC48" s="456" t="n">
        <v>-0.012137170742735</v>
      </c>
      <c r="BF48" s="456" t="n">
        <f aca="false">'Cuenta Ahorro-Inversión-Financi'!BS30/'Cuenta Ahorro-Inversión-Financi'!BF30</f>
        <v>0.0360495702062939</v>
      </c>
      <c r="BI48" s="1" t="s">
        <v>979</v>
      </c>
      <c r="BJ48" s="456" t="n">
        <f aca="false">('Cuenta Ahorro-Inversión-Financi'!BP33)/'Cuenta Ahorro-Inversión-Financi'!BN33</f>
        <v>0.234914513092994</v>
      </c>
      <c r="CA48" s="563"/>
      <c r="CB48" s="563"/>
      <c r="CC48" s="563"/>
      <c r="CD48" s="563"/>
      <c r="CE48" s="563"/>
      <c r="CF48" s="563"/>
      <c r="CG48" s="563"/>
      <c r="CH48" s="563"/>
      <c r="CI48" s="563"/>
      <c r="CJ48" s="563"/>
      <c r="CK48" s="563"/>
      <c r="CL48" s="563"/>
      <c r="CM48" s="563"/>
    </row>
    <row r="49" customFormat="false" ht="15.75" hidden="false" customHeight="true" outlineLevel="0" collapsed="false">
      <c r="A49" s="702"/>
      <c r="B49" s="702"/>
      <c r="C49" s="702"/>
      <c r="D49" s="702"/>
      <c r="E49" s="704" t="n">
        <v>2000</v>
      </c>
      <c r="F49" s="712" t="n">
        <f aca="false">'Cuenta Ahorro-Inversión-Financi'!U16/'PIB corriente base 1993'!V15/1000</f>
        <v>0.0236198765665383</v>
      </c>
      <c r="G49" s="712" t="n">
        <f aca="false">('Cuenta Ahorro-Inversión-Financi'!G16+'Cuenta Ahorro-Inversión-Financi'!S16)/'PIB corriente base 1993'!V15/1000</f>
        <v>0.023556870770298</v>
      </c>
      <c r="H49" s="712" t="n">
        <f aca="false">'Cuenta Ahorro-Inversión-Financi'!X16/'PIB corriente base 1993'!V15/1000</f>
        <v>5.08058139376392E-006</v>
      </c>
      <c r="I49" s="712" t="n">
        <f aca="false">('Cuenta Ahorro-Inversión-Financi'!F16-'Cuenta Ahorro-Inversión-Financi'!V16)/'PIB corriente base 1993'!V15/1000</f>
        <v>0.04718182791823</v>
      </c>
      <c r="J49" s="712" t="n">
        <f aca="false">'Cuenta Ahorro-Inversión-Financi'!F16/'PIB corriente base 1993'!V15/1000</f>
        <v>0.054583562219837</v>
      </c>
      <c r="K49" s="712" t="n">
        <f aca="false">'Cuenta Ahorro-Inversión-Financi'!T16/'PIB corriente base 1993'!V15/1000</f>
        <v>0.0310216108681453</v>
      </c>
      <c r="L49" s="712" t="n">
        <f aca="false">'Cuenta Ahorro-Inversión-Financi'!AI16/'PIB corriente base 1993'!V15/1000</f>
        <v>0.0132482904466693</v>
      </c>
      <c r="M49" s="712" t="n">
        <f aca="false">'Cuenta Ahorro-Inversión-Financi'!AO16/'PIB corriente base 1993'!V15/1000</f>
        <v>0.00482449701758396</v>
      </c>
      <c r="N49" s="717" t="n">
        <f aca="false">'Cuenta Ahorro-Inversión-Financi'!AG16/'PIB corriente base 1993'!V15/1000</f>
        <v>0.054875592705221</v>
      </c>
      <c r="O49" s="717" t="n">
        <f aca="false">'Cuenta Ahorro-Inversión-Financi'!M49+'Cuenta Ahorro-Inversión-Financi'!I49</f>
        <v>0.052006324935814</v>
      </c>
      <c r="P49" s="702"/>
      <c r="Q49" s="713" t="n">
        <v>2000</v>
      </c>
      <c r="R49" s="712" t="n">
        <f aca="false">'Cuenta Ahorro-Inversión-Financi'!BF16/1000/'PIB corriente base 1993'!V15</f>
        <v>0.0518501300658357</v>
      </c>
      <c r="S49" s="712"/>
      <c r="T49" s="712" t="n">
        <f aca="false">'Cuenta Ahorro-Inversión-Financi'!BR16/1000/'PIB corriente base 1993'!V15</f>
        <v>0.00613084017631838</v>
      </c>
      <c r="U49" s="712" t="n">
        <f aca="false">'Cuenta Ahorro-Inversión-Financi'!T49+'Cuenta Ahorro-Inversión-Financi'!R49+(('Cuenta Ahorro-Inversión-Financi'!AY16+'Cuenta Ahorro-Inversión-Financi'!BC16)/1000/'PIB corriente base 1993'!V15)</f>
        <v>0.0587448693895881</v>
      </c>
      <c r="V49" s="712" t="n">
        <f aca="false">'Cuenta Ahorro-Inversión-Financi'!BN16/1000/'PIB corriente base 1993'!V15</f>
        <v>0.014655603363751</v>
      </c>
      <c r="W49" s="712" t="n">
        <f aca="false">'Cuenta Ahorro-Inversión-Financi'!AX16/1000/'PIB corriente base 1993'!V15</f>
        <v>0.0672696325770207</v>
      </c>
      <c r="X49" s="712" t="n">
        <f aca="false">W49</f>
        <v>0.0672696325770207</v>
      </c>
      <c r="Y49" s="712"/>
      <c r="Z49" s="712" t="n">
        <f aca="false">('Cuenta Ahorro-Inversión-Financi'!CG16)/1000/'PIB corriente base 1993'!V15</f>
        <v>0.0672878171489847</v>
      </c>
      <c r="AA49" s="712" t="n">
        <f aca="false">('Cuenta Ahorro-Inversión-Financi'!CG16-'Cuenta Ahorro-Inversión-Financi'!AY16)/1000/'PIB corriente base 1993'!V15</f>
        <v>0.0665298996258745</v>
      </c>
      <c r="AB49" s="702"/>
      <c r="AC49" s="714" t="n">
        <v>2000</v>
      </c>
      <c r="AD49" s="712" t="n">
        <f aca="false">'Cuenta Ahorro-Inversión-Financi'!J49-'Cuenta Ahorro-Inversión-Financi'!X49</f>
        <v>-0.0126860703571837</v>
      </c>
      <c r="AE49" s="712" t="n">
        <f aca="false">'Cuenta Ahorro-Inversión-Financi'!F49-'Cuenta Ahorro-Inversión-Financi'!R49</f>
        <v>-0.0282302534992974</v>
      </c>
      <c r="AF49" s="712" t="n">
        <f aca="false">'Cuenta Ahorro-Inversión-Financi'!I49-'Cuenta Ahorro-Inversión-Financi'!U49-'Cuenta Ahorro-Inversión-Financi'!H49</f>
        <v>-0.0115681220527518</v>
      </c>
      <c r="AG49" s="712" t="n">
        <f aca="false">'Cuenta Ahorro-Inversión-Financi'!I49-'Cuenta Ahorro-Inversión-Financi'!U49</f>
        <v>-0.011563041471358</v>
      </c>
      <c r="AH49" s="712" t="n">
        <f aca="false">'Cuenta Ahorro-Inversión-Financi'!O49-'Cuenta Ahorro-Inversión-Financi'!U49</f>
        <v>-0.00673854445377408</v>
      </c>
      <c r="AI49" s="712" t="n">
        <f aca="false">'Cuenta Ahorro-Inversión-Financi'!F49-('Cuenta Ahorro-Inversión-Financi'!BF16+'Cuenta Ahorro-Inversión-Financi'!BR16)/'PIB corriente base 1993'!V15/1000</f>
        <v>-0.0343610936756157</v>
      </c>
      <c r="AJ49" s="456" t="n">
        <f aca="false">'Cuenta Ahorro-Inversión-Financi'!AH49-'Cuenta Ahorro-Inversión-Financi'!H49</f>
        <v>-0.00674362503516784</v>
      </c>
      <c r="AN49" s="710" t="n">
        <f aca="false">'Cuenta Ahorro-Inversión-Financi'!AN50-1</f>
        <v>2000</v>
      </c>
      <c r="AO49" s="712" t="n">
        <f aca="false">'Cuenta Ahorro-Inversión-Financi'!I49</f>
        <v>0.04718182791823</v>
      </c>
      <c r="AP49" s="712" t="n">
        <f aca="false">'Cuenta Ahorro-Inversión-Financi'!F49</f>
        <v>0.0236198765665383</v>
      </c>
      <c r="AQ49" s="712" t="n">
        <v>0</v>
      </c>
      <c r="AR49" s="712" t="n">
        <f aca="false">'Cuenta Ahorro-Inversión-Financi'!L49</f>
        <v>0.0132482904466693</v>
      </c>
      <c r="AS49" s="712" t="n">
        <f aca="false">'Cuenta Ahorro-Inversión-Financi'!T49+'Cuenta Ahorro-Inversión-Financi'!R49+(('Cuenta Ahorro-Inversión-Financi'!BC16)/1000/'PIB corriente base 1993'!V15)</f>
        <v>0.0579869518664778</v>
      </c>
      <c r="AT49" s="712" t="n">
        <f aca="false">'Cuenta Ahorro-Inversión-Financi'!T49+'Cuenta Ahorro-Inversión-Financi'!R49+(('Cuenta Ahorro-Inversión-Financi'!BC16-'Cuenta Ahorro-Inversión-Financi'!BP16-'Cuenta Ahorro-Inversión-Financi'!BQ16)/1000/'PIB corriente base 1993'!V15)</f>
        <v>0.0573953731031391</v>
      </c>
      <c r="AU49" s="712" t="n">
        <f aca="false">'Cuenta Ahorro-Inversión-Financi'!U49</f>
        <v>0.0587448693895881</v>
      </c>
      <c r="AV49" s="712" t="n">
        <f aca="false">('Cuenta Ahorro-Inversión-Financi'!CH16)/1000/'PIB corriente base 1993'!V15+'Cuenta Ahorro-Inversión-Financi'!Y49</f>
        <v>0.00842379342908535</v>
      </c>
      <c r="AW49" s="712" t="n">
        <f aca="false">'Cuenta Ahorro-Inversión-Financi'!AP49-'Cuenta Ahorro-Inversión-Financi'!AT49</f>
        <v>-0.0337754965366008</v>
      </c>
      <c r="AX49" s="712" t="n">
        <f aca="false">'Cuenta Ahorro-Inversión-Financi'!AO49-'Cuenta Ahorro-Inversión-Financi'!AU49</f>
        <v>-0.011563041471358</v>
      </c>
      <c r="AY49" s="712" t="n">
        <f aca="false">'Cuenta Ahorro-Inversión-Financi'!AO49+'Cuenta Ahorro-Inversión-Financi'!AQ49+'Cuenta Ahorro-Inversión-Financi'!AR49-'Cuenta Ahorro-Inversión-Financi'!AU49-'Cuenta Ahorro-Inversión-Financi'!AV49</f>
        <v>-0.00673854445377408</v>
      </c>
      <c r="AZ49" s="712" t="n">
        <f aca="false">'Cuenta Ahorro-Inversión-Financi'!AY49</f>
        <v>-0.00673854445377408</v>
      </c>
      <c r="BA49" s="456" t="n">
        <f aca="false">AU49+AV49</f>
        <v>0.0671686628186734</v>
      </c>
      <c r="BB49" s="456" t="n">
        <v>-0.0115681220527519</v>
      </c>
      <c r="BC49" s="456" t="n">
        <v>-0.0115630414713581</v>
      </c>
      <c r="BF49" s="456" t="n">
        <f aca="false">'Cuenta Ahorro-Inversión-Financi'!BS31/'Cuenta Ahorro-Inversión-Financi'!BF31</f>
        <v>0.0358135732666865</v>
      </c>
      <c r="CA49" s="563"/>
      <c r="CB49" s="563"/>
      <c r="CC49" s="563"/>
      <c r="CD49" s="563"/>
      <c r="CE49" s="563"/>
      <c r="CF49" s="563"/>
      <c r="CG49" s="563"/>
      <c r="CH49" s="563"/>
      <c r="CI49" s="563"/>
      <c r="CJ49" s="563"/>
      <c r="CK49" s="563"/>
      <c r="CL49" s="563"/>
      <c r="CM49" s="563"/>
    </row>
    <row r="50" customFormat="false" ht="15.75" hidden="false" customHeight="true" outlineLevel="0" collapsed="false">
      <c r="A50" s="702"/>
      <c r="B50" s="702"/>
      <c r="C50" s="702"/>
      <c r="D50" s="702"/>
      <c r="E50" s="704" t="n">
        <v>2001</v>
      </c>
      <c r="F50" s="705" t="n">
        <f aca="false">'Cuenta Ahorro-Inversión-Financi'!U17/'PIB corriente base 1993'!V16/1000</f>
        <v>0.0238758696338049</v>
      </c>
      <c r="G50" s="705" t="n">
        <f aca="false">('Cuenta Ahorro-Inversión-Financi'!G17+'Cuenta Ahorro-Inversión-Financi'!S17)/'PIB corriente base 1993'!V16/1000</f>
        <v>0.0214457736331774</v>
      </c>
      <c r="H50" s="705" t="n">
        <f aca="false">'Cuenta Ahorro-Inversión-Financi'!X17/'PIB corriente base 1993'!V16/1000</f>
        <v>1.27950379999639E-006</v>
      </c>
      <c r="I50" s="705" t="n">
        <f aca="false">('Cuenta Ahorro-Inversión-Financi'!F17-'Cuenta Ahorro-Inversión-Financi'!V17)/'PIB corriente base 1993'!V16/1000</f>
        <v>0.0453229227707823</v>
      </c>
      <c r="J50" s="705" t="n">
        <f aca="false">'Cuenta Ahorro-Inversión-Financi'!F17/'PIB corriente base 1993'!V16/1000</f>
        <v>0.0507931667444309</v>
      </c>
      <c r="K50" s="705" t="n">
        <f aca="false">'Cuenta Ahorro-Inversión-Financi'!T17/'PIB corriente base 1993'!V16/1000</f>
        <v>0.0293461136074535</v>
      </c>
      <c r="L50" s="705" t="n">
        <f aca="false">'Cuenta Ahorro-Inversión-Financi'!AI17/'PIB corriente base 1993'!V16/1000</f>
        <v>0.0124450443431941</v>
      </c>
      <c r="M50" s="705" t="n">
        <f aca="false">'Cuenta Ahorro-Inversión-Financi'!AO17/'PIB corriente base 1993'!V16/1000</f>
        <v>0.0039388708840709</v>
      </c>
      <c r="N50" s="705" t="n">
        <f aca="false">'Cuenta Ahorro-Inversión-Financi'!AG17/'PIB corriente base 1993'!V16/1000</f>
        <v>0.0508109480158158</v>
      </c>
      <c r="O50" s="705" t="n">
        <f aca="false">'Cuenta Ahorro-Inversión-Financi'!M50+'Cuenta Ahorro-Inversión-Financi'!I50</f>
        <v>0.0492617936548532</v>
      </c>
      <c r="P50" s="702"/>
      <c r="Q50" s="713" t="n">
        <v>2001</v>
      </c>
      <c r="R50" s="721" t="n">
        <f aca="false">'Cuenta Ahorro-Inversión-Financi'!BF17/1000/'PIB corriente base 1993'!V16</f>
        <v>0.0525215308255347</v>
      </c>
      <c r="S50" s="721"/>
      <c r="T50" s="721" t="n">
        <f aca="false">'Cuenta Ahorro-Inversión-Financi'!BR17/1000/'PIB corriente base 1993'!V16</f>
        <v>0.00621669920590712</v>
      </c>
      <c r="U50" s="721" t="n">
        <f aca="false">'Cuenta Ahorro-Inversión-Financi'!T50+'Cuenta Ahorro-Inversión-Financi'!R50+(('Cuenta Ahorro-Inversión-Financi'!AY17+'Cuenta Ahorro-Inversión-Financi'!BC17)/1000/'PIB corriente base 1993'!V16)</f>
        <v>0.0594267223921134</v>
      </c>
      <c r="V50" s="721" t="n">
        <f aca="false">'Cuenta Ahorro-Inversión-Financi'!BN17/1000/'PIB corriente base 1993'!V16</f>
        <v>0.0137770801877703</v>
      </c>
      <c r="W50" s="707" t="n">
        <f aca="false">'Cuenta Ahorro-Inversión-Financi'!AX17/1000/'PIB corriente base 1993'!V16</f>
        <v>0.0669871033739766</v>
      </c>
      <c r="X50" s="707" t="n">
        <f aca="false">W50</f>
        <v>0.0669871033739766</v>
      </c>
      <c r="Y50" s="707"/>
      <c r="Z50" s="707" t="n">
        <f aca="false">('Cuenta Ahorro-Inversión-Financi'!CG17)/1000/'PIB corriente base 1993'!V16</f>
        <v>0.0670031949985773</v>
      </c>
      <c r="AA50" s="707" t="n">
        <f aca="false">('Cuenta Ahorro-Inversión-Financi'!CG17-'Cuenta Ahorro-Inversión-Financi'!AY17)/1000/'PIB corriente base 1993'!V16</f>
        <v>0.066314774894094</v>
      </c>
      <c r="AB50" s="702"/>
      <c r="AC50" s="714" t="n">
        <v>2001</v>
      </c>
      <c r="AD50" s="709" t="n">
        <f aca="false">'Cuenta Ahorro-Inversión-Financi'!J50-'Cuenta Ahorro-Inversión-Financi'!X50</f>
        <v>-0.0161939366295456</v>
      </c>
      <c r="AE50" s="709" t="n">
        <f aca="false">'Cuenta Ahorro-Inversión-Financi'!F50-'Cuenta Ahorro-Inversión-Financi'!R50</f>
        <v>-0.0286456611917298</v>
      </c>
      <c r="AF50" s="709" t="n">
        <f aca="false">'Cuenta Ahorro-Inversión-Financi'!I50-'Cuenta Ahorro-Inversión-Financi'!U50-'Cuenta Ahorro-Inversión-Financi'!H50</f>
        <v>-0.0141050791251311</v>
      </c>
      <c r="AG50" s="709" t="n">
        <f aca="false">'Cuenta Ahorro-Inversión-Financi'!I50-'Cuenta Ahorro-Inversión-Financi'!U50</f>
        <v>-0.0141037996213311</v>
      </c>
      <c r="AH50" s="709" t="n">
        <f aca="false">'Cuenta Ahorro-Inversión-Financi'!O50-'Cuenta Ahorro-Inversión-Financi'!U50</f>
        <v>-0.0101649287372602</v>
      </c>
      <c r="AI50" s="709" t="n">
        <f aca="false">'Cuenta Ahorro-Inversión-Financi'!F50-('Cuenta Ahorro-Inversión-Financi'!BF17+'Cuenta Ahorro-Inversión-Financi'!BR17)/'PIB corriente base 1993'!V16/1000</f>
        <v>-0.0348623603976369</v>
      </c>
      <c r="AJ50" s="456" t="n">
        <f aca="false">'Cuenta Ahorro-Inversión-Financi'!AH50-'Cuenta Ahorro-Inversión-Financi'!H50</f>
        <v>-0.0101662082410602</v>
      </c>
      <c r="AN50" s="710" t="n">
        <f aca="false">'Cuenta Ahorro-Inversión-Financi'!AN51-1</f>
        <v>2001</v>
      </c>
      <c r="AO50" s="709" t="n">
        <f aca="false">'Cuenta Ahorro-Inversión-Financi'!I50</f>
        <v>0.0453229227707823</v>
      </c>
      <c r="AP50" s="709" t="n">
        <f aca="false">'Cuenta Ahorro-Inversión-Financi'!F50</f>
        <v>0.0238758696338049</v>
      </c>
      <c r="AQ50" s="709" t="n">
        <v>0</v>
      </c>
      <c r="AR50" s="709" t="n">
        <f aca="false">'Cuenta Ahorro-Inversión-Financi'!L50</f>
        <v>0.0124450443431941</v>
      </c>
      <c r="AS50" s="709" t="n">
        <f aca="false">'Cuenta Ahorro-Inversión-Financi'!T50+'Cuenta Ahorro-Inversión-Financi'!R50+(('Cuenta Ahorro-Inversión-Financi'!BC17)/1000/'PIB corriente base 1993'!V16)</f>
        <v>0.0587383022876302</v>
      </c>
      <c r="AT50" s="709" t="n">
        <f aca="false">'Cuenta Ahorro-Inversión-Financi'!T50+'Cuenta Ahorro-Inversión-Financi'!R50+(('Cuenta Ahorro-Inversión-Financi'!BC17-'Cuenta Ahorro-Inversión-Financi'!BP17-'Cuenta Ahorro-Inversión-Financi'!BQ17)/1000/'PIB corriente base 1993'!V16)</f>
        <v>0.0582083672867225</v>
      </c>
      <c r="AU50" s="709" t="n">
        <f aca="false">'Cuenta Ahorro-Inversión-Financi'!U50</f>
        <v>0.0594267223921134</v>
      </c>
      <c r="AV50" s="709" t="n">
        <f aca="false">('Cuenta Ahorro-Inversión-Financi'!CH17)/1000/'PIB corriente base 1993'!V16+'Cuenta Ahorro-Inversión-Financi'!Y50</f>
        <v>0.00850617345912317</v>
      </c>
      <c r="AW50" s="709" t="n">
        <f aca="false">'Cuenta Ahorro-Inversión-Financi'!AP50-'Cuenta Ahorro-Inversión-Financi'!AT50</f>
        <v>-0.0343324976529175</v>
      </c>
      <c r="AX50" s="709" t="n">
        <f aca="false">'Cuenta Ahorro-Inversión-Financi'!AO50-'Cuenta Ahorro-Inversión-Financi'!AU50</f>
        <v>-0.0141037996213311</v>
      </c>
      <c r="AY50" s="709" t="n">
        <f aca="false">'Cuenta Ahorro-Inversión-Financi'!AO50+'Cuenta Ahorro-Inversión-Financi'!AQ50+'Cuenta Ahorro-Inversión-Financi'!AR50-'Cuenta Ahorro-Inversión-Financi'!AU50-'Cuenta Ahorro-Inversión-Financi'!AV50</f>
        <v>-0.0101649287372602</v>
      </c>
      <c r="AZ50" s="709" t="n">
        <f aca="false">'Cuenta Ahorro-Inversión-Financi'!AY50</f>
        <v>-0.0101649287372602</v>
      </c>
      <c r="BA50" s="456" t="n">
        <f aca="false">AU50+AV50</f>
        <v>0.0679328958512366</v>
      </c>
      <c r="BB50" s="456" t="n">
        <v>-0.0141050791251311</v>
      </c>
      <c r="BC50" s="456" t="n">
        <v>-0.0141037996213311</v>
      </c>
      <c r="BF50" s="456" t="n">
        <f aca="false">'Cuenta Ahorro-Inversión-Financi'!BS32/'Cuenta Ahorro-Inversión-Financi'!BF32</f>
        <v>0.0359144456567929</v>
      </c>
      <c r="BI50" s="1" t="s">
        <v>980</v>
      </c>
      <c r="BX50" s="1" t="n">
        <f aca="false">'Cuenta Ahorro-Inversión-Financi'!BF13+'Cuenta Ahorro-Inversión-Financi'!BS13</f>
        <v>16496294.74536</v>
      </c>
      <c r="BY50" s="456" t="n">
        <f aca="false">'Cuenta Ahorro-Inversión-Financi'!BS13/'Cuenta Ahorro-Inversión-Financi'!BX50</f>
        <v>0.111178417794449</v>
      </c>
      <c r="CA50" s="563"/>
      <c r="CB50" s="563"/>
      <c r="CC50" s="563"/>
      <c r="CD50" s="563"/>
      <c r="CE50" s="563"/>
      <c r="CF50" s="563"/>
      <c r="CG50" s="563"/>
      <c r="CH50" s="563"/>
      <c r="CI50" s="563"/>
      <c r="CJ50" s="563"/>
      <c r="CK50" s="563"/>
      <c r="CL50" s="563"/>
      <c r="CM50" s="563"/>
    </row>
    <row r="51" customFormat="false" ht="15.75" hidden="false" customHeight="true" outlineLevel="0" collapsed="false">
      <c r="A51" s="702"/>
      <c r="B51" s="702"/>
      <c r="C51" s="702"/>
      <c r="D51" s="702"/>
      <c r="E51" s="704" t="n">
        <v>2002</v>
      </c>
      <c r="F51" s="712" t="n">
        <f aca="false">'Cuenta Ahorro-Inversión-Financi'!U18/'PIB corriente base 1993'!V17/1000</f>
        <v>0.0204511996433966</v>
      </c>
      <c r="G51" s="712" t="n">
        <f aca="false">('Cuenta Ahorro-Inversión-Financi'!G18+'Cuenta Ahorro-Inversión-Financi'!S18)/'PIB corriente base 1993'!V17/1000</f>
        <v>0.0170555199717405</v>
      </c>
      <c r="H51" s="712" t="n">
        <f aca="false">'Cuenta Ahorro-Inversión-Financi'!X18/'PIB corriente base 1993'!V17/1000</f>
        <v>1.71830895387883E-005</v>
      </c>
      <c r="I51" s="712" t="n">
        <f aca="false">('Cuenta Ahorro-Inversión-Financi'!F18-'Cuenta Ahorro-Inversión-Financi'!V18)/'PIB corriente base 1993'!V17/1000</f>
        <v>0.0375241039760657</v>
      </c>
      <c r="J51" s="712" t="n">
        <f aca="false">'Cuenta Ahorro-Inversión-Financi'!F18/'PIB corriente base 1993'!V17/1000</f>
        <v>0.0425755916753143</v>
      </c>
      <c r="K51" s="712" t="n">
        <f aca="false">'Cuenta Ahorro-Inversión-Financi'!T18/'PIB corriente base 1993'!V17/1000</f>
        <v>0.0255026873426452</v>
      </c>
      <c r="L51" s="712" t="n">
        <f aca="false">'Cuenta Ahorro-Inversión-Financi'!AI18/'PIB corriente base 1993'!V17/1000</f>
        <v>0.00963695804700716</v>
      </c>
      <c r="M51" s="712" t="n">
        <f aca="false">'Cuenta Ahorro-Inversión-Financi'!AO18/'PIB corriente base 1993'!V17/1000</f>
        <v>0.00283823010803953</v>
      </c>
      <c r="N51" s="717" t="n">
        <f aca="false">'Cuenta Ahorro-Inversión-Financi'!AG18/'PIB corriente base 1993'!V17/1000</f>
        <v>0.0425896269595964</v>
      </c>
      <c r="O51" s="717" t="n">
        <f aca="false">'Cuenta Ahorro-Inversión-Financi'!M51+'Cuenta Ahorro-Inversión-Financi'!I51</f>
        <v>0.0403623340841053</v>
      </c>
      <c r="P51" s="702"/>
      <c r="Q51" s="713" t="n">
        <v>2002</v>
      </c>
      <c r="R51" s="712" t="n">
        <f aca="false">'Cuenta Ahorro-Inversión-Financi'!BF18/1000/'PIB corriente base 1993'!V17</f>
        <v>0.0443421627477132</v>
      </c>
      <c r="S51" s="712"/>
      <c r="T51" s="712" t="n">
        <f aca="false">'Cuenta Ahorro-Inversión-Financi'!BR18/1000/'PIB corriente base 1993'!V17</f>
        <v>0.00678591755475529</v>
      </c>
      <c r="U51" s="712" t="n">
        <f aca="false">'Cuenta Ahorro-Inversión-Financi'!T51+'Cuenta Ahorro-Inversión-Financi'!R51+(('Cuenta Ahorro-Inversión-Financi'!AY18+'Cuenta Ahorro-Inversión-Financi'!BC18)/1000/'PIB corriente base 1993'!V17)</f>
        <v>0.0518021958823888</v>
      </c>
      <c r="V51" s="712" t="n">
        <f aca="false">'Cuenta Ahorro-Inversión-Financi'!BN18/1000/'PIB corriente base 1993'!V17</f>
        <v>0.0135383031668524</v>
      </c>
      <c r="W51" s="712" t="n">
        <f aca="false">'Cuenta Ahorro-Inversión-Financi'!AX18/1000/'PIB corriente base 1993'!V17</f>
        <v>0.0585545814944859</v>
      </c>
      <c r="X51" s="712" t="n">
        <f aca="false">W51</f>
        <v>0.0585545814944859</v>
      </c>
      <c r="Y51" s="712"/>
      <c r="Z51" s="712" t="n">
        <f aca="false">('Cuenta Ahorro-Inversión-Financi'!CG18)/1000/'PIB corriente base 1993'!V17</f>
        <v>0.0585599215640098</v>
      </c>
      <c r="AA51" s="712" t="n">
        <f aca="false">('Cuenta Ahorro-Inversión-Financi'!CG18-'Cuenta Ahorro-Inversión-Financi'!AY18)/1000/'PIB corriente base 1993'!V17</f>
        <v>0.0578858059840895</v>
      </c>
      <c r="AB51" s="702"/>
      <c r="AC51" s="714" t="n">
        <v>2002</v>
      </c>
      <c r="AD51" s="712" t="n">
        <f aca="false">'Cuenta Ahorro-Inversión-Financi'!J51-'Cuenta Ahorro-Inversión-Financi'!X51</f>
        <v>-0.0159789898191716</v>
      </c>
      <c r="AE51" s="712" t="n">
        <f aca="false">'Cuenta Ahorro-Inversión-Financi'!F51-'Cuenta Ahorro-Inversión-Financi'!R51</f>
        <v>-0.0238909631043166</v>
      </c>
      <c r="AF51" s="712" t="n">
        <f aca="false">'Cuenta Ahorro-Inversión-Financi'!I51-'Cuenta Ahorro-Inversión-Financi'!U51-'Cuenta Ahorro-Inversión-Financi'!H51</f>
        <v>-0.0142952749958618</v>
      </c>
      <c r="AG51" s="712" t="n">
        <f aca="false">'Cuenta Ahorro-Inversión-Financi'!I51-'Cuenta Ahorro-Inversión-Financi'!U51</f>
        <v>-0.014278091906323</v>
      </c>
      <c r="AH51" s="712" t="n">
        <f aca="false">'Cuenta Ahorro-Inversión-Financi'!O51-'Cuenta Ahorro-Inversión-Financi'!U51</f>
        <v>-0.0114398617982835</v>
      </c>
      <c r="AI51" s="712" t="n">
        <f aca="false">'Cuenta Ahorro-Inversión-Financi'!F51-('Cuenta Ahorro-Inversión-Financi'!BF18+'Cuenta Ahorro-Inversión-Financi'!BR18)/'PIB corriente base 1993'!V17/1000</f>
        <v>-0.0306768806590719</v>
      </c>
      <c r="AJ51" s="456" t="n">
        <f aca="false">'Cuenta Ahorro-Inversión-Financi'!AH51-'Cuenta Ahorro-Inversión-Financi'!H51</f>
        <v>-0.0114570448878223</v>
      </c>
      <c r="AN51" s="710" t="n">
        <f aca="false">'Cuenta Ahorro-Inversión-Financi'!AN52-1</f>
        <v>2002</v>
      </c>
      <c r="AO51" s="712" t="n">
        <f aca="false">'Cuenta Ahorro-Inversión-Financi'!I51</f>
        <v>0.0375241039760657</v>
      </c>
      <c r="AP51" s="712" t="n">
        <f aca="false">'Cuenta Ahorro-Inversión-Financi'!F51</f>
        <v>0.0204511996433966</v>
      </c>
      <c r="AQ51" s="712" t="n">
        <v>0</v>
      </c>
      <c r="AR51" s="712" t="n">
        <f aca="false">'Cuenta Ahorro-Inversión-Financi'!L51</f>
        <v>0.00963695804700716</v>
      </c>
      <c r="AS51" s="712" t="n">
        <f aca="false">'Cuenta Ahorro-Inversión-Financi'!T51+'Cuenta Ahorro-Inversión-Financi'!R51+(('Cuenta Ahorro-Inversión-Financi'!BC18)/1000/'PIB corriente base 1993'!V17)</f>
        <v>0.0511280803024685</v>
      </c>
      <c r="AT51" s="712" t="n">
        <f aca="false">'Cuenta Ahorro-Inversión-Financi'!T51+'Cuenta Ahorro-Inversión-Financi'!R51+(('Cuenta Ahorro-Inversión-Financi'!BC18-'Cuenta Ahorro-Inversión-Financi'!BP18-'Cuenta Ahorro-Inversión-Financi'!BQ18)/1000/'PIB corriente base 1993'!V17)</f>
        <v>0.0501515392156605</v>
      </c>
      <c r="AU51" s="712" t="n">
        <f aca="false">'Cuenta Ahorro-Inversión-Financi'!U51</f>
        <v>0.0518021958823888</v>
      </c>
      <c r="AV51" s="712" t="n">
        <f aca="false">('Cuenta Ahorro-Inversión-Financi'!CH18)/1000/'PIB corriente base 1993'!V17+'Cuenta Ahorro-Inversión-Financi'!Y51</f>
        <v>0.00679872793896764</v>
      </c>
      <c r="AW51" s="712" t="n">
        <f aca="false">'Cuenta Ahorro-Inversión-Financi'!AP51-'Cuenta Ahorro-Inversión-Financi'!AT51</f>
        <v>-0.0297003395722639</v>
      </c>
      <c r="AX51" s="712" t="n">
        <f aca="false">'Cuenta Ahorro-Inversión-Financi'!AO51-'Cuenta Ahorro-Inversión-Financi'!AU51</f>
        <v>-0.014278091906323</v>
      </c>
      <c r="AY51" s="712" t="n">
        <f aca="false">'Cuenta Ahorro-Inversión-Financi'!AO51+'Cuenta Ahorro-Inversión-Financi'!AQ51+'Cuenta Ahorro-Inversión-Financi'!AR51-'Cuenta Ahorro-Inversión-Financi'!AU51-'Cuenta Ahorro-Inversión-Financi'!AV51</f>
        <v>-0.0114398617982835</v>
      </c>
      <c r="AZ51" s="712" t="n">
        <f aca="false">'Cuenta Ahorro-Inversión-Financi'!AY51</f>
        <v>-0.0114398617982835</v>
      </c>
      <c r="BA51" s="456" t="n">
        <f aca="false">AU51+AV51</f>
        <v>0.0586009238213564</v>
      </c>
      <c r="BB51" s="456" t="n">
        <v>-0.0142952749958619</v>
      </c>
      <c r="BC51" s="456" t="n">
        <v>-0.0142780919063231</v>
      </c>
      <c r="BI51" s="1" t="s">
        <v>981</v>
      </c>
      <c r="BX51" s="1" t="n">
        <f aca="false">'Cuenta Ahorro-Inversión-Financi'!BF14+'Cuenta Ahorro-Inversión-Financi'!BS14</f>
        <v>16764543.50543</v>
      </c>
      <c r="BY51" s="456" t="n">
        <f aca="false">'Cuenta Ahorro-Inversión-Financi'!BS14/'Cuenta Ahorro-Inversión-Financi'!BX51</f>
        <v>0.122828722239472</v>
      </c>
      <c r="CA51" s="563"/>
      <c r="CB51" s="563"/>
      <c r="CC51" s="563"/>
      <c r="CD51" s="563"/>
      <c r="CE51" s="563"/>
      <c r="CF51" s="563"/>
      <c r="CG51" s="563"/>
      <c r="CH51" s="563"/>
      <c r="CI51" s="563"/>
      <c r="CJ51" s="563"/>
      <c r="CK51" s="563"/>
      <c r="CL51" s="563"/>
      <c r="CM51" s="563"/>
    </row>
    <row r="52" customFormat="false" ht="15.75" hidden="false" customHeight="true" outlineLevel="0" collapsed="false">
      <c r="A52" s="702"/>
      <c r="B52" s="702"/>
      <c r="C52" s="702"/>
      <c r="D52" s="702" t="s">
        <v>982</v>
      </c>
      <c r="E52" s="704" t="n">
        <v>2003</v>
      </c>
      <c r="F52" s="705" t="n">
        <f aca="false">'Cuenta Ahorro-Inversión-Financi'!T19/'PIB corriente base 1993'!V18/1000</f>
        <v>0.0204726739831029</v>
      </c>
      <c r="G52" s="705" t="n">
        <f aca="false">('Cuenta Ahorro-Inversión-Financi'!G19+'Cuenta Ahorro-Inversión-Financi'!S19)/'PIB corriente base 1993'!V18/1000</f>
        <v>0.0198553916144812</v>
      </c>
      <c r="H52" s="705" t="n">
        <f aca="false">'Cuenta Ahorro-Inversión-Financi'!X19/'PIB corriente base 1993'!V18/1000</f>
        <v>5.45970901702129E-006</v>
      </c>
      <c r="I52" s="705" t="n">
        <f aca="false">'Cuenta Ahorro-Inversión-Financi'!J52</f>
        <v>0.0403337211014856</v>
      </c>
      <c r="J52" s="705" t="n">
        <f aca="false">'Cuenta Ahorro-Inversión-Financi'!F19/'PIB corriente base 1993'!V18/1000</f>
        <v>0.0403337211014856</v>
      </c>
      <c r="K52" s="705" t="n">
        <f aca="false">'Cuenta Ahorro-Inversión-Financi'!T19/'PIB corriente base 1993'!V18/1000</f>
        <v>0.0204726739831029</v>
      </c>
      <c r="L52" s="705" t="n">
        <f aca="false">'Cuenta Ahorro-Inversión-Financi'!AI19/'PIB corriente base 1993'!V18/1000</f>
        <v>0.0118026727120887</v>
      </c>
      <c r="M52" s="705" t="n">
        <f aca="false">'Cuenta Ahorro-Inversión-Financi'!AO19/'PIB corriente base 1993'!V18/1000</f>
        <v>0.00500649725115281</v>
      </c>
      <c r="N52" s="705" t="n">
        <f aca="false">'Cuenta Ahorro-Inversión-Financi'!AG19/'PIB corriente base 1993'!V18/1000</f>
        <v>0.040337484666497</v>
      </c>
      <c r="O52" s="705" t="n">
        <f aca="false">'Cuenta Ahorro-Inversión-Financi'!M52+'Cuenta Ahorro-Inversión-Financi'!I52</f>
        <v>0.0453402183526384</v>
      </c>
      <c r="P52" s="702"/>
      <c r="Q52" s="713" t="n">
        <v>2003</v>
      </c>
      <c r="R52" s="721" t="n">
        <f aca="false">'Cuenta Ahorro-Inversión-Financi'!BF19/1000/'PIB corriente base 1993'!V18</f>
        <v>0.0414155099169041</v>
      </c>
      <c r="S52" s="721"/>
      <c r="T52" s="721" t="n">
        <f aca="false">'Cuenta Ahorro-Inversión-Financi'!BX19/1000/'PIB corriente base 1993'!V18</f>
        <v>0.00815617118660916</v>
      </c>
      <c r="U52" s="721" t="n">
        <f aca="false">'Cuenta Ahorro-Inversión-Financi'!T52+'Cuenta Ahorro-Inversión-Financi'!R52+(('Cuenta Ahorro-Inversión-Financi'!AY19+'Cuenta Ahorro-Inversión-Financi'!BC19)/1000/'PIB corriente base 1993'!V18)</f>
        <v>0.0502672923467887</v>
      </c>
      <c r="V52" s="721" t="n">
        <f aca="false">'Cuenta Ahorro-Inversión-Financi'!BN19/1000/'PIB corriente base 1993'!V18</f>
        <v>0.00815617118660916</v>
      </c>
      <c r="W52" s="707" t="n">
        <f aca="false">'Cuenta Ahorro-Inversión-Financi'!AX19/1000/'PIB corriente base 1993'!V18</f>
        <v>0.0502672923467887</v>
      </c>
      <c r="X52" s="707" t="n">
        <f aca="false">W52</f>
        <v>0.0502672923467887</v>
      </c>
      <c r="Y52" s="707"/>
      <c r="Z52" s="707" t="n">
        <f aca="false">('Cuenta Ahorro-Inversión-Financi'!CG19)/1000/'PIB corriente base 1993'!V18</f>
        <v>0.0502820708852091</v>
      </c>
      <c r="AA52" s="707" t="n">
        <f aca="false">('Cuenta Ahorro-Inversión-Financi'!CG19-'Cuenta Ahorro-Inversión-Financi'!AY19)/1000/'PIB corriente base 1993'!V18</f>
        <v>0.0495995128169112</v>
      </c>
      <c r="AB52" s="702"/>
      <c r="AC52" s="714" t="n">
        <v>2003</v>
      </c>
      <c r="AD52" s="709" t="n">
        <f aca="false">'Cuenta Ahorro-Inversión-Financi'!J52-'Cuenta Ahorro-Inversión-Financi'!X52</f>
        <v>-0.00993357124530309</v>
      </c>
      <c r="AE52" s="709" t="n">
        <f aca="false">'Cuenta Ahorro-Inversión-Financi'!F52-'Cuenta Ahorro-Inversión-Financi'!R52</f>
        <v>-0.0209428359338012</v>
      </c>
      <c r="AF52" s="709" t="n">
        <f aca="false">'Cuenta Ahorro-Inversión-Financi'!I52-'Cuenta Ahorro-Inversión-Financi'!U52-'Cuenta Ahorro-Inversión-Financi'!H52</f>
        <v>-0.00993903095432011</v>
      </c>
      <c r="AG52" s="709" t="n">
        <f aca="false">'Cuenta Ahorro-Inversión-Financi'!I52-'Cuenta Ahorro-Inversión-Financi'!U52</f>
        <v>-0.00993357124530309</v>
      </c>
      <c r="AH52" s="709" t="n">
        <f aca="false">'Cuenta Ahorro-Inversión-Financi'!O52-'Cuenta Ahorro-Inversión-Financi'!U52</f>
        <v>-0.00492707399415027</v>
      </c>
      <c r="AI52" s="709" t="n">
        <f aca="false">'Cuenta Ahorro-Inversión-Financi'!F52-('Cuenta Ahorro-Inversión-Financi'!BF19+'Cuenta Ahorro-Inversión-Financi'!BR19)/'PIB corriente base 1993'!V18/1000</f>
        <v>-0.0263351569442938</v>
      </c>
      <c r="AJ52" s="456" t="n">
        <f aca="false">'Cuenta Ahorro-Inversión-Financi'!AH52-'Cuenta Ahorro-Inversión-Financi'!H52</f>
        <v>-0.00493253370316729</v>
      </c>
      <c r="AN52" s="710" t="n">
        <v>2003</v>
      </c>
      <c r="AO52" s="709" t="n">
        <f aca="false">'Cuenta Ahorro-Inversión-Financi'!I52</f>
        <v>0.0403337211014856</v>
      </c>
      <c r="AP52" s="709" t="n">
        <f aca="false">'Cuenta Ahorro-Inversión-Financi'!F52</f>
        <v>0.0204726739831029</v>
      </c>
      <c r="AQ52" s="709" t="n">
        <v>0</v>
      </c>
      <c r="AR52" s="709" t="n">
        <f aca="false">'Cuenta Ahorro-Inversión-Financi'!L52</f>
        <v>0.0118026727120887</v>
      </c>
      <c r="AS52" s="709" t="n">
        <f aca="false">'Cuenta Ahorro-Inversión-Financi'!T52+'Cuenta Ahorro-Inversión-Financi'!R52+(('Cuenta Ahorro-Inversión-Financi'!BC19)/1000/'PIB corriente base 1993'!V18)</f>
        <v>0.0495847342784908</v>
      </c>
      <c r="AT52" s="709" t="n">
        <f aca="false">'Cuenta Ahorro-Inversión-Financi'!T52+'Cuenta Ahorro-Inversión-Financi'!R52+(('Cuenta Ahorro-Inversión-Financi'!BC19-'Cuenta Ahorro-Inversión-Financi'!BP19-'Cuenta Ahorro-Inversión-Financi'!BQ19)/1000/'PIB corriente base 1993'!V18)</f>
        <v>0.0482306120192345</v>
      </c>
      <c r="AU52" s="709" t="n">
        <f aca="false">'Cuenta Ahorro-Inversión-Financi'!U52</f>
        <v>0.0502672923467887</v>
      </c>
      <c r="AV52" s="709" t="n">
        <f aca="false">('Cuenta Ahorro-Inversión-Financi'!CH19)/1000/'PIB corriente base 1993'!V18+'Cuenta Ahorro-Inversión-Financi'!Y52</f>
        <v>0.00679617546093593</v>
      </c>
      <c r="AW52" s="709" t="n">
        <f aca="false">'Cuenta Ahorro-Inversión-Financi'!AP52-'Cuenta Ahorro-Inversión-Financi'!AT52</f>
        <v>-0.0277579380361316</v>
      </c>
      <c r="AX52" s="709" t="n">
        <f aca="false">'Cuenta Ahorro-Inversión-Financi'!AO52-'Cuenta Ahorro-Inversión-Financi'!AU52</f>
        <v>-0.00993357124530309</v>
      </c>
      <c r="AY52" s="709" t="n">
        <f aca="false">'Cuenta Ahorro-Inversión-Financi'!AO52+'Cuenta Ahorro-Inversión-Financi'!AQ52+'Cuenta Ahorro-Inversión-Financi'!AR52-'Cuenta Ahorro-Inversión-Financi'!AU52-'Cuenta Ahorro-Inversión-Financi'!AV52</f>
        <v>-0.00492707399415027</v>
      </c>
      <c r="AZ52" s="709" t="n">
        <f aca="false">'Cuenta Ahorro-Inversión-Financi'!AY52</f>
        <v>-0.00492707399415027</v>
      </c>
      <c r="BA52" s="456" t="n">
        <f aca="false">AU52+AV52</f>
        <v>0.0570634678077246</v>
      </c>
      <c r="BB52" s="456" t="n">
        <v>-0.00993903095432012</v>
      </c>
      <c r="BC52" s="456" t="n">
        <v>-0.0099335712453031</v>
      </c>
      <c r="BI52" s="1" t="s">
        <v>983</v>
      </c>
      <c r="BX52" s="1" t="n">
        <f aca="false">'Cuenta Ahorro-Inversión-Financi'!BF15+'Cuenta Ahorro-Inversión-Financi'!BS15</f>
        <v>16749800.15392</v>
      </c>
      <c r="BY52" s="456" t="n">
        <f aca="false">'Cuenta Ahorro-Inversión-Financi'!BS15/'Cuenta Ahorro-Inversión-Financi'!BX52</f>
        <v>0.124035597136589</v>
      </c>
      <c r="CA52" s="563"/>
      <c r="CB52" s="563"/>
      <c r="CC52" s="563"/>
      <c r="CD52" s="563"/>
      <c r="CE52" s="563"/>
      <c r="CF52" s="563"/>
      <c r="CG52" s="563"/>
      <c r="CH52" s="563"/>
      <c r="CI52" s="563"/>
      <c r="CJ52" s="563"/>
      <c r="CK52" s="563"/>
      <c r="CL52" s="563"/>
      <c r="CM52" s="563"/>
      <c r="DC52" s="456"/>
    </row>
    <row r="53" customFormat="false" ht="15.75" hidden="false" customHeight="true" outlineLevel="0" collapsed="false">
      <c r="A53" s="702"/>
      <c r="B53" s="702"/>
      <c r="C53" s="702"/>
      <c r="D53" s="702"/>
      <c r="E53" s="704" t="n">
        <v>2004</v>
      </c>
      <c r="F53" s="712" t="n">
        <f aca="false">'Cuenta Ahorro-Inversión-Financi'!T20/1000/'PIB corriente base 2004'!X8</f>
        <v>0.0198583830686151</v>
      </c>
      <c r="G53" s="712" t="n">
        <f aca="false">('Cuenta Ahorro-Inversión-Financi'!G20+'Cuenta Ahorro-Inversión-Financi'!S20)/1000/'PIB corriente base 2004'!X8</f>
        <v>0.0216742076161843</v>
      </c>
      <c r="H53" s="712" t="n">
        <f aca="false">'Cuenta Ahorro-Inversión-Financi'!X20/1000/'PIB corriente base 2004'!X8</f>
        <v>2.30880969959205E-005</v>
      </c>
      <c r="I53" s="712" t="n">
        <f aca="false">'Cuenta Ahorro-Inversión-Financi'!J53</f>
        <v>0.0415558395127328</v>
      </c>
      <c r="J53" s="712" t="n">
        <f aca="false">'Cuenta Ahorro-Inversión-Financi'!F20/1000/'PIB corriente base 2004'!X8</f>
        <v>0.0415558395127328</v>
      </c>
      <c r="K53" s="712" t="n">
        <f aca="false">'Cuenta Ahorro-Inversión-Financi'!T20/1000/'PIB corriente base 2004'!X8</f>
        <v>0.0198583830686151</v>
      </c>
      <c r="L53" s="712" t="n">
        <f aca="false">'Cuenta Ahorro-Inversión-Financi'!AH20/1000/'PIB corriente base 2004'!X8</f>
        <v>0.0133242836449752</v>
      </c>
      <c r="M53" s="712" t="n">
        <f aca="false">'Cuenta Ahorro-Inversión-Financi'!AO20/1000/'PIB corriente base 2004'!X8</f>
        <v>0.00739046595378507</v>
      </c>
      <c r="N53" s="712" t="n">
        <f aca="false">'Cuenta Ahorro-Inversión-Financi'!AG20/1000/'PIB corriente base 2004'!X8</f>
        <v>0.0415598510203111</v>
      </c>
      <c r="O53" s="712" t="n">
        <f aca="false">'Cuenta Ahorro-Inversión-Financi'!M53+'Cuenta Ahorro-Inversión-Financi'!I53</f>
        <v>0.0489463054665178</v>
      </c>
      <c r="P53" s="702"/>
      <c r="Q53" s="713" t="n">
        <v>2004</v>
      </c>
      <c r="R53" s="712" t="n">
        <f aca="false">'Cuenta Ahorro-Inversión-Financi'!BF20/1000/'PIB corriente base 2004'!X8</f>
        <v>0.036705436096272</v>
      </c>
      <c r="S53" s="712"/>
      <c r="T53" s="712" t="n">
        <f aca="false">'Cuenta Ahorro-Inversión-Financi'!BX20/1000/'PIB corriente base 2004'!X8</f>
        <v>0.00749095381892099</v>
      </c>
      <c r="U53" s="712" t="n">
        <f aca="false">'Cuenta Ahorro-Inversión-Financi'!T53+'Cuenta Ahorro-Inversión-Financi'!R53+(('Cuenta Ahorro-Inversión-Financi'!AY20+'Cuenta Ahorro-Inversión-Financi'!BC20)/1000/'PIB corriente base 2004'!X8)</f>
        <v>0.0448165647494005</v>
      </c>
      <c r="V53" s="712" t="n">
        <f aca="false">'Cuenta Ahorro-Inversión-Financi'!BN20/1000/'PIB corriente base 2004'!X8</f>
        <v>0.00749095381892099</v>
      </c>
      <c r="W53" s="712" t="n">
        <f aca="false">'Cuenta Ahorro-Inversión-Financi'!AX20/1000/'PIB corriente base 2004'!X8</f>
        <v>0.0448165647494005</v>
      </c>
      <c r="X53" s="712" t="n">
        <f aca="false">W53</f>
        <v>0.0448165647494005</v>
      </c>
      <c r="Y53" s="712"/>
      <c r="Z53" s="712" t="n">
        <f aca="false">('Cuenta Ahorro-Inversión-Financi'!CG20)/1000/'PIB corriente base 2004'!X8</f>
        <v>0.0448532585468193</v>
      </c>
      <c r="AA53" s="712" t="n">
        <f aca="false">('Cuenta Ahorro-Inversión-Financi'!CG20-'Cuenta Ahorro-Inversión-Financi'!AY20)/1000/'PIB corriente base 2004'!X8</f>
        <v>0.0442505440198379</v>
      </c>
      <c r="AB53" s="702"/>
      <c r="AC53" s="714" t="n">
        <v>2004</v>
      </c>
      <c r="AD53" s="712" t="n">
        <f aca="false">'Cuenta Ahorro-Inversión-Financi'!J53-'Cuenta Ahorro-Inversión-Financi'!X53</f>
        <v>-0.00326072523666775</v>
      </c>
      <c r="AE53" s="712" t="n">
        <f aca="false">'Cuenta Ahorro-Inversión-Financi'!F53-'Cuenta Ahorro-Inversión-Financi'!R53</f>
        <v>-0.0168470530276568</v>
      </c>
      <c r="AF53" s="712" t="n">
        <f aca="false">'Cuenta Ahorro-Inversión-Financi'!I53-'Cuenta Ahorro-Inversión-Financi'!U53-'Cuenta Ahorro-Inversión-Financi'!H53</f>
        <v>-0.00328381333366368</v>
      </c>
      <c r="AG53" s="712" t="n">
        <f aca="false">'Cuenta Ahorro-Inversión-Financi'!I53-'Cuenta Ahorro-Inversión-Financi'!U53</f>
        <v>-0.00326072523666776</v>
      </c>
      <c r="AH53" s="712" t="n">
        <f aca="false">'Cuenta Ahorro-Inversión-Financi'!O53-'Cuenta Ahorro-Inversión-Financi'!U53</f>
        <v>0.00412974071711731</v>
      </c>
      <c r="AI53" s="712" t="n">
        <f aca="false">'Cuenta Ahorro-Inversión-Financi'!F53-('Cuenta Ahorro-Inversión-Financi'!BF20+'Cuenta Ahorro-Inversión-Financi'!BR20)/'PIB corriente base 2004'!X8/1000</f>
        <v>-0.0228595882527077</v>
      </c>
      <c r="AJ53" s="456" t="n">
        <f aca="false">'Cuenta Ahorro-Inversión-Financi'!AH53-'Cuenta Ahorro-Inversión-Financi'!H53</f>
        <v>0.00410665262012139</v>
      </c>
      <c r="AN53" s="710" t="n">
        <v>2004</v>
      </c>
      <c r="AO53" s="712" t="n">
        <f aca="false">'Cuenta Ahorro-Inversión-Financi'!I53</f>
        <v>0.0415558395127328</v>
      </c>
      <c r="AP53" s="712" t="n">
        <f aca="false">'Cuenta Ahorro-Inversión-Financi'!F53</f>
        <v>0.0198583830686151</v>
      </c>
      <c r="AQ53" s="712" t="n">
        <v>0</v>
      </c>
      <c r="AR53" s="712" t="n">
        <f aca="false">'Cuenta Ahorro-Inversión-Financi'!L53</f>
        <v>0.0133242836449752</v>
      </c>
      <c r="AS53" s="712" t="n">
        <f aca="false">'Cuenta Ahorro-Inversión-Financi'!T53+'Cuenta Ahorro-Inversión-Financi'!R53+(('Cuenta Ahorro-Inversión-Financi'!BC20)/1000/'PIB corriente base 2004'!X8)</f>
        <v>0.0442138502224192</v>
      </c>
      <c r="AT53" s="712" t="n">
        <f aca="false">'Cuenta Ahorro-Inversión-Financi'!T53+'Cuenta Ahorro-Inversión-Financi'!R53+(('Cuenta Ahorro-Inversión-Financi'!BC20-'Cuenta Ahorro-Inversión-Financi'!BP20-'Cuenta Ahorro-Inversión-Financi'!BQ20)/1000/'PIB corriente base 2004'!X8)</f>
        <v>0.0417437519844329</v>
      </c>
      <c r="AU53" s="712" t="n">
        <f aca="false">'Cuenta Ahorro-Inversión-Financi'!U53</f>
        <v>0.0448165647494005</v>
      </c>
      <c r="AV53" s="712" t="n">
        <f aca="false">('Cuenta Ahorro-Inversión-Financi'!CH20)/'PIB corriente base 2004'!X8/1000+'Cuenta Ahorro-Inversión-Financi'!Y53</f>
        <v>0.0062422259511128</v>
      </c>
      <c r="AW53" s="712" t="n">
        <f aca="false">'Cuenta Ahorro-Inversión-Financi'!AP53-'Cuenta Ahorro-Inversión-Financi'!AT53</f>
        <v>-0.0218853689158177</v>
      </c>
      <c r="AX53" s="712" t="n">
        <f aca="false">'Cuenta Ahorro-Inversión-Financi'!AO53-'Cuenta Ahorro-Inversión-Financi'!AU53</f>
        <v>-0.00326072523666776</v>
      </c>
      <c r="AY53" s="712" t="n">
        <f aca="false">'Cuenta Ahorro-Inversión-Financi'!AO53+'Cuenta Ahorro-Inversión-Financi'!AQ53+'Cuenta Ahorro-Inversión-Financi'!AR53-'Cuenta Ahorro-Inversión-Financi'!AU53-'Cuenta Ahorro-Inversión-Financi'!AV53</f>
        <v>0.00382133245719463</v>
      </c>
      <c r="AZ53" s="712" t="n">
        <f aca="false">'Cuenta Ahorro-Inversión-Financi'!AY53</f>
        <v>0.00382133245719463</v>
      </c>
      <c r="BA53" s="456" t="n">
        <f aca="false">AU53+AV53</f>
        <v>0.0510587907005133</v>
      </c>
      <c r="BB53" s="456" t="n">
        <v>-0.00328381465178366</v>
      </c>
      <c r="BC53" s="456" t="n">
        <v>-0.00326072654552019</v>
      </c>
      <c r="BI53" s="1" t="s">
        <v>984</v>
      </c>
      <c r="BX53" s="1" t="n">
        <f aca="false">'Cuenta Ahorro-Inversión-Financi'!BF16+'Cuenta Ahorro-Inversión-Financi'!BS16</f>
        <v>16822291.5973</v>
      </c>
      <c r="BY53" s="456" t="n">
        <f aca="false">'Cuenta Ahorro-Inversión-Financi'!BS16/'Cuenta Ahorro-Inversión-Financi'!BX53</f>
        <v>0.124019414154897</v>
      </c>
      <c r="CA53" s="563"/>
      <c r="CB53" s="563"/>
      <c r="CC53" s="563"/>
      <c r="CD53" s="563"/>
      <c r="CE53" s="563"/>
      <c r="CF53" s="563"/>
      <c r="CG53" s="563"/>
      <c r="CH53" s="563"/>
      <c r="CI53" s="563"/>
      <c r="CJ53" s="563"/>
      <c r="CK53" s="563"/>
      <c r="CL53" s="563"/>
      <c r="CM53" s="563"/>
    </row>
    <row r="54" customFormat="false" ht="15.75" hidden="false" customHeight="true" outlineLevel="0" collapsed="false">
      <c r="A54" s="702"/>
      <c r="B54" s="702"/>
      <c r="C54" s="702"/>
      <c r="D54" s="702"/>
      <c r="E54" s="704" t="n">
        <v>2005</v>
      </c>
      <c r="F54" s="705" t="n">
        <f aca="false">'Cuenta Ahorro-Inversión-Financi'!T21/1000/'PIB corriente base 2004'!X9</f>
        <v>0.0214249777603053</v>
      </c>
      <c r="G54" s="705" t="n">
        <f aca="false">('Cuenta Ahorro-Inversión-Financi'!G21+'Cuenta Ahorro-Inversión-Financi'!S21)/1000/'PIB corriente base 2004'!X9</f>
        <v>0.0219471405894574</v>
      </c>
      <c r="H54" s="705" t="n">
        <f aca="false">'Cuenta Ahorro-Inversión-Financi'!X21/1000/'PIB corriente base 2004'!X9</f>
        <v>6.64758507150565E-005</v>
      </c>
      <c r="I54" s="705" t="n">
        <f aca="false">'Cuenta Ahorro-Inversión-Financi'!J54</f>
        <v>0.0434387490018353</v>
      </c>
      <c r="J54" s="705" t="n">
        <f aca="false">'Cuenta Ahorro-Inversión-Financi'!F21/1000/'PIB corriente base 2004'!X9</f>
        <v>0.0434387490018353</v>
      </c>
      <c r="K54" s="705" t="n">
        <f aca="false">'Cuenta Ahorro-Inversión-Financi'!T21/1000/'PIB corriente base 2004'!X9</f>
        <v>0.0214249777603053</v>
      </c>
      <c r="L54" s="705" t="n">
        <f aca="false">'Cuenta Ahorro-Inversión-Financi'!AH21/1000/'PIB corriente base 2004'!X9</f>
        <v>0.0139618318212355</v>
      </c>
      <c r="M54" s="705" t="n">
        <f aca="false">'Cuenta Ahorro-Inversión-Financi'!AO21/1000/'PIB corriente base 2004'!X9</f>
        <v>0.00801305232074019</v>
      </c>
      <c r="N54" s="705" t="n">
        <f aca="false">'Cuenta Ahorro-Inversión-Financi'!AG21/1000/'PIB corriente base 2004'!X9</f>
        <v>0.0434428375853147</v>
      </c>
      <c r="O54" s="705" t="n">
        <f aca="false">'Cuenta Ahorro-Inversión-Financi'!M54+'Cuenta Ahorro-Inversión-Financi'!I54</f>
        <v>0.0514518013225755</v>
      </c>
      <c r="P54" s="702"/>
      <c r="Q54" s="713" t="n">
        <v>2005</v>
      </c>
      <c r="R54" s="721" t="n">
        <f aca="false">'Cuenta Ahorro-Inversión-Financi'!BF21/1000/'PIB corriente base 2004'!X9</f>
        <v>0.0345505912680116</v>
      </c>
      <c r="S54" s="721"/>
      <c r="T54" s="721" t="n">
        <f aca="false">'Cuenta Ahorro-Inversión-Financi'!BX21/1000/'PIB corriente base 2004'!X9</f>
        <v>0.00852590691466118</v>
      </c>
      <c r="U54" s="721" t="n">
        <f aca="false">'Cuenta Ahorro-Inversión-Financi'!T54+'Cuenta Ahorro-Inversión-Financi'!R54+(('Cuenta Ahorro-Inversión-Financi'!AY21+'Cuenta Ahorro-Inversión-Financi'!BC21)/1000/'PIB corriente base 2004'!X9)</f>
        <v>0.0438517744121476</v>
      </c>
      <c r="V54" s="721" t="n">
        <f aca="false">'Cuenta Ahorro-Inversión-Financi'!BN21/1000/'PIB corriente base 2004'!X9</f>
        <v>0.00852590691466118</v>
      </c>
      <c r="W54" s="707" t="n">
        <f aca="false">'Cuenta Ahorro-Inversión-Financi'!AX21/1000/'PIB corriente base 2004'!X9</f>
        <v>0.0438517744121476</v>
      </c>
      <c r="X54" s="707" t="n">
        <f aca="false">W54</f>
        <v>0.0438517744121476</v>
      </c>
      <c r="Y54" s="707"/>
      <c r="Z54" s="707" t="n">
        <f aca="false">('Cuenta Ahorro-Inversión-Financi'!CG21)/1000/'PIB corriente base 2004'!X9</f>
        <v>0.0438780728454207</v>
      </c>
      <c r="AA54" s="707" t="n">
        <f aca="false">('Cuenta Ahorro-Inversión-Financi'!CG21-'Cuenta Ahorro-Inversión-Financi'!AY21)/1000/'PIB corriente base 2004'!X9</f>
        <v>0.0431171161948979</v>
      </c>
      <c r="AB54" s="702"/>
      <c r="AC54" s="714" t="n">
        <v>2005</v>
      </c>
      <c r="AD54" s="709" t="n">
        <f aca="false">'Cuenta Ahorro-Inversión-Financi'!J54-'Cuenta Ahorro-Inversión-Financi'!X54</f>
        <v>-0.000413025410312309</v>
      </c>
      <c r="AE54" s="709" t="n">
        <f aca="false">'Cuenta Ahorro-Inversión-Financi'!F54-'Cuenta Ahorro-Inversión-Financi'!R54</f>
        <v>-0.0131256135077062</v>
      </c>
      <c r="AF54" s="709" t="n">
        <f aca="false">'Cuenta Ahorro-Inversión-Financi'!I54-'Cuenta Ahorro-Inversión-Financi'!U54-'Cuenta Ahorro-Inversión-Financi'!H54</f>
        <v>-0.000479501261027359</v>
      </c>
      <c r="AG54" s="709" t="n">
        <f aca="false">'Cuenta Ahorro-Inversión-Financi'!I54-'Cuenta Ahorro-Inversión-Financi'!U54</f>
        <v>-0.000413025410312302</v>
      </c>
      <c r="AH54" s="709" t="n">
        <f aca="false">'Cuenta Ahorro-Inversión-Financi'!O54-'Cuenta Ahorro-Inversión-Financi'!U54</f>
        <v>0.00760002691042789</v>
      </c>
      <c r="AI54" s="709" t="n">
        <f aca="false">'Cuenta Ahorro-Inversión-Financi'!F54-('Cuenta Ahorro-Inversión-Financi'!BF21+'Cuenta Ahorro-Inversión-Financi'!BR21)/'PIB corriente base 2004'!X9/1000</f>
        <v>-0.0202970267501648</v>
      </c>
      <c r="AJ54" s="456" t="n">
        <f aca="false">'Cuenta Ahorro-Inversión-Financi'!AH54-'Cuenta Ahorro-Inversión-Financi'!H54</f>
        <v>0.00753355105971283</v>
      </c>
      <c r="AN54" s="710" t="n">
        <v>2005</v>
      </c>
      <c r="AO54" s="709" t="n">
        <f aca="false">'Cuenta Ahorro-Inversión-Financi'!I54</f>
        <v>0.0434387490018353</v>
      </c>
      <c r="AP54" s="709" t="n">
        <f aca="false">'Cuenta Ahorro-Inversión-Financi'!F54</f>
        <v>0.0214249777603053</v>
      </c>
      <c r="AQ54" s="709" t="n">
        <v>0</v>
      </c>
      <c r="AR54" s="709" t="n">
        <f aca="false">'Cuenta Ahorro-Inversión-Financi'!L54</f>
        <v>0.0139618318212355</v>
      </c>
      <c r="AS54" s="709" t="n">
        <f aca="false">'Cuenta Ahorro-Inversión-Financi'!T54+'Cuenta Ahorro-Inversión-Financi'!R54+(('Cuenta Ahorro-Inversión-Financi'!BC21-'Cuenta Ahorro-Inversión-Financi'!BL21-'Cuenta Ahorro-Inversión-Financi'!BV21-'Cuenta Ahorro-Inversión-Financi'!BW21)/1000/'PIB corriente base 2004'!X9)</f>
        <v>0.0427445870782809</v>
      </c>
      <c r="AT54" s="709" t="n">
        <f aca="false">'Cuenta Ahorro-Inversión-Financi'!T54+'Cuenta Ahorro-Inversión-Financi'!R54+(('Cuenta Ahorro-Inversión-Financi'!BC21-'Cuenta Ahorro-Inversión-Financi'!BL21-'Cuenta Ahorro-Inversión-Financi'!BV21-'Cuenta Ahorro-Inversión-Financi'!BW21-'Cuenta Ahorro-Inversión-Financi'!BP21-'Cuenta Ahorro-Inversión-Financi'!BQ21)/1000/'PIB corriente base 2004'!X9)</f>
        <v>0.039329035034631</v>
      </c>
      <c r="AU54" s="709" t="n">
        <f aca="false">'Cuenta Ahorro-Inversión-Financi'!U54</f>
        <v>0.0438517744121476</v>
      </c>
      <c r="AV54" s="709" t="n">
        <f aca="false">('Cuenta Ahorro-Inversión-Financi'!CH21)/'PIB corriente base 2004'!X9/1000+'Cuenta Ahorro-Inversión-Financi'!Y54</f>
        <v>0.00597111538341118</v>
      </c>
      <c r="AW54" s="709" t="n">
        <f aca="false">'Cuenta Ahorro-Inversión-Financi'!AP54-'Cuenta Ahorro-Inversión-Financi'!AT54</f>
        <v>-0.0179040572743257</v>
      </c>
      <c r="AX54" s="709" t="n">
        <f aca="false">'Cuenta Ahorro-Inversión-Financi'!AO54-'Cuenta Ahorro-Inversión-Financi'!AU54</f>
        <v>-0.000413025410312302</v>
      </c>
      <c r="AY54" s="709" t="n">
        <f aca="false">'Cuenta Ahorro-Inversión-Financi'!AO54+'Cuenta Ahorro-Inversión-Financi'!AQ54+'Cuenta Ahorro-Inversión-Financi'!AR54-'Cuenta Ahorro-Inversión-Financi'!AU54-'Cuenta Ahorro-Inversión-Financi'!AV54</f>
        <v>0.00757769102751198</v>
      </c>
      <c r="AZ54" s="709" t="n">
        <f aca="false">'Cuenta Ahorro-Inversión-Financi'!AY54</f>
        <v>0.00757769102751198</v>
      </c>
      <c r="BA54" s="456" t="n">
        <f aca="false">AU54+AV54</f>
        <v>0.0498228897955588</v>
      </c>
      <c r="BB54" s="456" t="n">
        <v>-0.000477678553323493</v>
      </c>
      <c r="BC54" s="456" t="n">
        <v>-0.000411455394426098</v>
      </c>
      <c r="BI54" s="1" t="s">
        <v>985</v>
      </c>
      <c r="BX54" s="1" t="n">
        <f aca="false">'Cuenta Ahorro-Inversión-Financi'!BF17+'Cuenta Ahorro-Inversión-Financi'!BS17</f>
        <v>16143811.96312</v>
      </c>
      <c r="BY54" s="456" t="n">
        <f aca="false">'Cuenta Ahorro-Inversión-Financi'!BS17/'Cuenta Ahorro-Inversión-Financi'!BX54</f>
        <v>0.125834560759304</v>
      </c>
      <c r="CA54" s="578" t="s">
        <v>986</v>
      </c>
      <c r="DB54" s="456"/>
    </row>
    <row r="55" customFormat="false" ht="15.75" hidden="false" customHeight="true" outlineLevel="0" collapsed="false">
      <c r="A55" s="702"/>
      <c r="B55" s="702"/>
      <c r="C55" s="702"/>
      <c r="D55" s="702"/>
      <c r="E55" s="704" t="n">
        <v>2006</v>
      </c>
      <c r="F55" s="712" t="n">
        <f aca="false">'Cuenta Ahorro-Inversión-Financi'!T22/1000/'PIB corriente base 2004'!X10</f>
        <v>0.0252575877444441</v>
      </c>
      <c r="G55" s="712" t="n">
        <f aca="false">('Cuenta Ahorro-Inversión-Financi'!G22+'Cuenta Ahorro-Inversión-Financi'!S22)/1000/'PIB corriente base 2004'!X10</f>
        <v>0.0212196799431274</v>
      </c>
      <c r="H55" s="712" t="n">
        <f aca="false">'Cuenta Ahorro-Inversión-Financi'!X22/1000/'PIB corriente base 2004'!X10</f>
        <v>0.000401428799431498</v>
      </c>
      <c r="I55" s="712" t="n">
        <f aca="false">'Cuenta Ahorro-Inversión-Financi'!J55</f>
        <v>0.0468788196581217</v>
      </c>
      <c r="J55" s="712" t="n">
        <f aca="false">'Cuenta Ahorro-Inversión-Financi'!F22/1000/'PIB corriente base 2004'!X10</f>
        <v>0.0468788196581217</v>
      </c>
      <c r="K55" s="712" t="n">
        <f aca="false">'Cuenta Ahorro-Inversión-Financi'!T22/1000/'PIB corriente base 2004'!X10</f>
        <v>0.0252575877444441</v>
      </c>
      <c r="L55" s="712" t="n">
        <f aca="false">'Cuenta Ahorro-Inversión-Financi'!AI22/1000/'PIB corriente base 2004'!X10</f>
        <v>0.0141131235333867</v>
      </c>
      <c r="M55" s="712" t="n">
        <f aca="false">'Cuenta Ahorro-Inversión-Financi'!AO22/1000/'PIB corriente base 2004'!X10</f>
        <v>0.00784939929145749</v>
      </c>
      <c r="N55" s="717" t="n">
        <f aca="false">'Cuenta Ahorro-Inversión-Financi'!AG22/1000/'PIB corriente base 2004'!X10</f>
        <v>0.0468820365196783</v>
      </c>
      <c r="O55" s="717" t="n">
        <f aca="false">'Cuenta Ahorro-Inversión-Financi'!M55+'Cuenta Ahorro-Inversión-Financi'!I55</f>
        <v>0.0547282189495791</v>
      </c>
      <c r="P55" s="702"/>
      <c r="Q55" s="713" t="n">
        <v>2006</v>
      </c>
      <c r="R55" s="712" t="n">
        <f aca="false">'Cuenta Ahorro-Inversión-Financi'!BF22/1000/'PIB corriente base 2004'!X10</f>
        <v>0.0368418871162505</v>
      </c>
      <c r="S55" s="712"/>
      <c r="T55" s="712" t="n">
        <f aca="false">'Cuenta Ahorro-Inversión-Financi'!BX22/1000/'PIB corriente base 2004'!X10</f>
        <v>0.00787102925233681</v>
      </c>
      <c r="U55" s="712" t="n">
        <f aca="false">'Cuenta Ahorro-Inversión-Financi'!T55+'Cuenta Ahorro-Inversión-Financi'!R55+(('Cuenta Ahorro-Inversión-Financi'!AY22+'Cuenta Ahorro-Inversión-Financi'!BC22)/1000/'PIB corriente base 2004'!X10)</f>
        <v>0.0455503006322098</v>
      </c>
      <c r="V55" s="712" t="n">
        <f aca="false">'Cuenta Ahorro-Inversión-Financi'!BN22/1000/'PIB corriente base 2004'!X10</f>
        <v>0.00787102925233681</v>
      </c>
      <c r="W55" s="712" t="n">
        <f aca="false">'Cuenta Ahorro-Inversión-Financi'!AX22/1000/'PIB corriente base 2004'!X10</f>
        <v>0.0455503006322098</v>
      </c>
      <c r="X55" s="712" t="n">
        <f aca="false">W55</f>
        <v>0.0455503006322098</v>
      </c>
      <c r="Y55" s="712"/>
      <c r="Z55" s="712" t="n">
        <f aca="false">('Cuenta Ahorro-Inversión-Financi'!CG22)/1000/'PIB corriente base 2004'!X10</f>
        <v>0.0455748570389028</v>
      </c>
      <c r="AA55" s="712" t="n">
        <f aca="false">('Cuenta Ahorro-Inversión-Financi'!CG22-'Cuenta Ahorro-Inversión-Financi'!AY22)/1000/'PIB corriente base 2004'!X10</f>
        <v>0.0447413567681965</v>
      </c>
      <c r="AB55" s="702"/>
      <c r="AC55" s="714" t="n">
        <v>2006</v>
      </c>
      <c r="AD55" s="712" t="n">
        <f aca="false">'Cuenta Ahorro-Inversión-Financi'!J55-'Cuenta Ahorro-Inversión-Financi'!X55</f>
        <v>0.00132851902591188</v>
      </c>
      <c r="AE55" s="712" t="n">
        <f aca="false">'Cuenta Ahorro-Inversión-Financi'!F55-'Cuenta Ahorro-Inversión-Financi'!R55</f>
        <v>-0.0115842993718065</v>
      </c>
      <c r="AF55" s="712" t="n">
        <f aca="false">'Cuenta Ahorro-Inversión-Financi'!I55-'Cuenta Ahorro-Inversión-Financi'!U55-'Cuenta Ahorro-Inversión-Financi'!H55</f>
        <v>0.000927090226480379</v>
      </c>
      <c r="AG55" s="712" t="n">
        <f aca="false">'Cuenta Ahorro-Inversión-Financi'!I55-'Cuenta Ahorro-Inversión-Financi'!U55</f>
        <v>0.00132851902591188</v>
      </c>
      <c r="AH55" s="712" t="n">
        <f aca="false">'Cuenta Ahorro-Inversión-Financi'!O55-'Cuenta Ahorro-Inversión-Financi'!U55</f>
        <v>0.00917791831736937</v>
      </c>
      <c r="AI55" s="712" t="n">
        <f aca="false">'Cuenta Ahorro-Inversión-Financi'!F55-('Cuenta Ahorro-Inversión-Financi'!BF22+'Cuenta Ahorro-Inversión-Financi'!BR22)/'PIB corriente base 2004'!X10/1000</f>
        <v>-0.0180344299892373</v>
      </c>
      <c r="AJ55" s="456" t="n">
        <f aca="false">'Cuenta Ahorro-Inversión-Financi'!AH55-'Cuenta Ahorro-Inversión-Financi'!H55</f>
        <v>0.00877648951793787</v>
      </c>
      <c r="AN55" s="710" t="n">
        <v>2006</v>
      </c>
      <c r="AO55" s="712" t="n">
        <f aca="false">'Cuenta Ahorro-Inversión-Financi'!I55</f>
        <v>0.0468788196581217</v>
      </c>
      <c r="AP55" s="712" t="n">
        <f aca="false">'Cuenta Ahorro-Inversión-Financi'!F55</f>
        <v>0.0252575877444441</v>
      </c>
      <c r="AQ55" s="712" t="n">
        <v>0</v>
      </c>
      <c r="AR55" s="712" t="n">
        <f aca="false">'Cuenta Ahorro-Inversión-Financi'!L55</f>
        <v>0.0141131235333867</v>
      </c>
      <c r="AS55" s="712" t="n">
        <f aca="false">'Cuenta Ahorro-Inversión-Financi'!T55+'Cuenta Ahorro-Inversión-Financi'!R55+(('Cuenta Ahorro-Inversión-Financi'!BC22-'Cuenta Ahorro-Inversión-Financi'!BL22-'Cuenta Ahorro-Inversión-Financi'!BV22-'Cuenta Ahorro-Inversión-Financi'!BW22)/1000/'PIB corriente base 2004'!X10)</f>
        <v>0.0442804250844522</v>
      </c>
      <c r="AT55" s="712" t="n">
        <f aca="false">'Cuenta Ahorro-Inversión-Financi'!T55+'Cuenta Ahorro-Inversión-Financi'!R55+(('Cuenta Ahorro-Inversión-Financi'!BC22-'Cuenta Ahorro-Inversión-Financi'!BL22-'Cuenta Ahorro-Inversión-Financi'!BV22-'Cuenta Ahorro-Inversión-Financi'!BW22-'Cuenta Ahorro-Inversión-Financi'!BP22-'Cuenta Ahorro-Inversión-Financi'!BQ22)/1000/'PIB corriente base 2004'!X10)</f>
        <v>0.0417711812402308</v>
      </c>
      <c r="AU55" s="712" t="n">
        <f aca="false">'Cuenta Ahorro-Inversión-Financi'!U55</f>
        <v>0.0455503006322098</v>
      </c>
      <c r="AV55" s="712" t="n">
        <f aca="false">('Cuenta Ahorro-Inversión-Financi'!CH22)/'PIB corriente base 2004'!X10/1000+'Cuenta Ahorro-Inversión-Financi'!Y55</f>
        <v>0.00626372424192923</v>
      </c>
      <c r="AW55" s="712" t="n">
        <f aca="false">'Cuenta Ahorro-Inversión-Financi'!AP55-'Cuenta Ahorro-Inversión-Financi'!AT55</f>
        <v>-0.0165135934957867</v>
      </c>
      <c r="AX55" s="712" t="n">
        <f aca="false">'Cuenta Ahorro-Inversión-Financi'!AO55-'Cuenta Ahorro-Inversión-Financi'!AU55</f>
        <v>0.00132851902591188</v>
      </c>
      <c r="AY55" s="712" t="n">
        <f aca="false">'Cuenta Ahorro-Inversión-Financi'!AO55+'Cuenta Ahorro-Inversión-Financi'!AQ55+'Cuenta Ahorro-Inversión-Financi'!AR55-'Cuenta Ahorro-Inversión-Financi'!AU55-'Cuenta Ahorro-Inversión-Financi'!AV55</f>
        <v>0.00917791831736937</v>
      </c>
      <c r="AZ55" s="712" t="n">
        <f aca="false">'Cuenta Ahorro-Inversión-Financi'!AY55</f>
        <v>0.00917791831736937</v>
      </c>
      <c r="BA55" s="456" t="n">
        <f aca="false">AU55+AV55</f>
        <v>0.051814024874139</v>
      </c>
      <c r="BB55" s="456" t="n">
        <v>0.000923024086262866</v>
      </c>
      <c r="BC55" s="456" t="n">
        <v>0.00132269225254431</v>
      </c>
      <c r="BI55" s="1" t="s">
        <v>987</v>
      </c>
      <c r="BX55" s="1" t="n">
        <f aca="false">'Cuenta Ahorro-Inversión-Financi'!BF18+'Cuenta Ahorro-Inversión-Financi'!BS18</f>
        <v>15772141.49193</v>
      </c>
      <c r="BY55" s="456" t="n">
        <f aca="false">'Cuenta Ahorro-Inversión-Financi'!BS18/'Cuenta Ahorro-Inversión-Financi'!BX55</f>
        <v>0.121204966500467</v>
      </c>
      <c r="CA55" s="1" t="s">
        <v>988</v>
      </c>
    </row>
    <row r="56" customFormat="false" ht="15.75" hidden="false" customHeight="true" outlineLevel="0" collapsed="false">
      <c r="A56" s="702"/>
      <c r="B56" s="702"/>
      <c r="C56" s="702"/>
      <c r="D56" s="702"/>
      <c r="E56" s="704" t="n">
        <v>2007</v>
      </c>
      <c r="F56" s="705" t="n">
        <f aca="false">'Cuenta Ahorro-Inversión-Financi'!T23/1000/'PIB corriente base 2004'!X11</f>
        <v>0.0385047966381489</v>
      </c>
      <c r="G56" s="705" t="n">
        <f aca="false">('Cuenta Ahorro-Inversión-Financi'!G23+'Cuenta Ahorro-Inversión-Financi'!S23)/1000/'PIB corriente base 2004'!X11</f>
        <v>0.0209548679959935</v>
      </c>
      <c r="H56" s="705" t="n">
        <f aca="false">'Cuenta Ahorro-Inversión-Financi'!X23/1000/'PIB corriente base 2004'!X11</f>
        <v>0.000737928817183578</v>
      </c>
      <c r="I56" s="705" t="n">
        <f aca="false">'Cuenta Ahorro-Inversión-Financi'!J56</f>
        <v>0.0601980468713142</v>
      </c>
      <c r="J56" s="705" t="n">
        <f aca="false">'Cuenta Ahorro-Inversión-Financi'!F23/1000/'PIB corriente base 2004'!X11</f>
        <v>0.0601980468713142</v>
      </c>
      <c r="K56" s="705" t="n">
        <f aca="false">'Cuenta Ahorro-Inversión-Financi'!T23/1000/'PIB corriente base 2004'!X11</f>
        <v>0.0385047966381489</v>
      </c>
      <c r="L56" s="705" t="n">
        <f aca="false">'Cuenta Ahorro-Inversión-Financi'!AH23/1000/'PIB corriente base 2004'!X11</f>
        <v>0.0149068047295749</v>
      </c>
      <c r="M56" s="705" t="n">
        <f aca="false">'Cuenta Ahorro-Inversión-Financi'!AO23/1000/'PIB corriente base 2004'!X11</f>
        <v>0.00796355543535948</v>
      </c>
      <c r="N56" s="705" t="n">
        <f aca="false">'Cuenta Ahorro-Inversión-Financi'!AG23/1000/'PIB corriente base 2004'!X11</f>
        <v>0.0602490212576403</v>
      </c>
      <c r="O56" s="705" t="n">
        <f aca="false">'Cuenta Ahorro-Inversión-Financi'!M56+'Cuenta Ahorro-Inversión-Financi'!I56</f>
        <v>0.0681616023066737</v>
      </c>
      <c r="P56" s="702"/>
      <c r="Q56" s="713" t="n">
        <v>2007</v>
      </c>
      <c r="R56" s="721" t="n">
        <f aca="false">'Cuenta Ahorro-Inversión-Financi'!BF23/1000/'PIB corriente base 2004'!X11</f>
        <v>0.0489808558686249</v>
      </c>
      <c r="S56" s="721"/>
      <c r="T56" s="721" t="n">
        <f aca="false">'Cuenta Ahorro-Inversión-Financi'!BX23/1000/'PIB corriente base 2004'!X11</f>
        <v>0.00739879187530181</v>
      </c>
      <c r="U56" s="721" t="n">
        <f aca="false">'Cuenta Ahorro-Inversión-Financi'!T56+'Cuenta Ahorro-Inversión-Financi'!R56+(('Cuenta Ahorro-Inversión-Financi'!AY23+'Cuenta Ahorro-Inversión-Financi'!BC23)/1000/'PIB corriente base 2004'!X11)</f>
        <v>0.0573140814102419</v>
      </c>
      <c r="V56" s="721" t="n">
        <f aca="false">'Cuenta Ahorro-Inversión-Financi'!BN23/1000/'PIB corriente base 2004'!X11</f>
        <v>0.00739879187530181</v>
      </c>
      <c r="W56" s="707" t="n">
        <f aca="false">'Cuenta Ahorro-Inversión-Financi'!AX23/1000/'PIB corriente base 2004'!X11</f>
        <v>0.0573140814102419</v>
      </c>
      <c r="X56" s="707" t="n">
        <f aca="false">W56</f>
        <v>0.0573140814102419</v>
      </c>
      <c r="Y56" s="707"/>
      <c r="Z56" s="707" t="n">
        <f aca="false">('Cuenta Ahorro-Inversión-Financi'!CG23)/1000/'PIB corriente base 2004'!X11</f>
        <v>0.0573610190367882</v>
      </c>
      <c r="AA56" s="707" t="n">
        <f aca="false">('Cuenta Ahorro-Inversión-Financi'!CG23-'Cuenta Ahorro-Inversión-Financi'!AY23)/1000/'PIB corriente base 2004'!X11</f>
        <v>0.056426585370473</v>
      </c>
      <c r="AB56" s="702"/>
      <c r="AC56" s="714" t="n">
        <v>2007</v>
      </c>
      <c r="AD56" s="709" t="n">
        <f aca="false">'Cuenta Ahorro-Inversión-Financi'!J56-'Cuenta Ahorro-Inversión-Financi'!X56</f>
        <v>0.00288396546107233</v>
      </c>
      <c r="AE56" s="709" t="n">
        <f aca="false">'Cuenta Ahorro-Inversión-Financi'!F56-'Cuenta Ahorro-Inversión-Financi'!R56</f>
        <v>-0.0104760592304761</v>
      </c>
      <c r="AF56" s="709" t="n">
        <f aca="false">'Cuenta Ahorro-Inversión-Financi'!I56-'Cuenta Ahorro-Inversión-Financi'!U56-'Cuenta Ahorro-Inversión-Financi'!H56</f>
        <v>0.00214603664388874</v>
      </c>
      <c r="AG56" s="709" t="n">
        <f aca="false">'Cuenta Ahorro-Inversión-Financi'!I56-'Cuenta Ahorro-Inversión-Financi'!U56</f>
        <v>0.00288396546107231</v>
      </c>
      <c r="AH56" s="709" t="n">
        <f aca="false">'Cuenta Ahorro-Inversión-Financi'!O56-'Cuenta Ahorro-Inversión-Financi'!U56</f>
        <v>0.0108475208964318</v>
      </c>
      <c r="AI56" s="709" t="n">
        <f aca="false">'Cuenta Ahorro-Inversión-Financi'!F56-('Cuenta Ahorro-Inversión-Financi'!BF23+'Cuenta Ahorro-Inversión-Financi'!BR23)/'PIB corriente base 2004'!X11/1000</f>
        <v>-0.0160664030586085</v>
      </c>
      <c r="AJ56" s="456" t="n">
        <f aca="false">'Cuenta Ahorro-Inversión-Financi'!AH56-'Cuenta Ahorro-Inversión-Financi'!H56</f>
        <v>0.0101095920792482</v>
      </c>
      <c r="AN56" s="710" t="n">
        <v>2007</v>
      </c>
      <c r="AO56" s="709" t="n">
        <f aca="false">'Cuenta Ahorro-Inversión-Financi'!I56</f>
        <v>0.0601980468713142</v>
      </c>
      <c r="AP56" s="709" t="n">
        <f aca="false">'Cuenta Ahorro-Inversión-Financi'!F56</f>
        <v>0.0385047966381489</v>
      </c>
      <c r="AQ56" s="709" t="n">
        <v>0</v>
      </c>
      <c r="AR56" s="709" t="n">
        <f aca="false">'Cuenta Ahorro-Inversión-Financi'!L56</f>
        <v>0.0149068047295749</v>
      </c>
      <c r="AS56" s="709" t="n">
        <f aca="false">'Cuenta Ahorro-Inversión-Financi'!T56+'Cuenta Ahorro-Inversión-Financi'!R56+(('Cuenta Ahorro-Inversión-Financi'!BC23-'Cuenta Ahorro-Inversión-Financi'!BL23-'Cuenta Ahorro-Inversión-Financi'!BV23-'Cuenta Ahorro-Inversión-Financi'!BW23)/1000/'PIB corriente base 2004'!X11)</f>
        <v>0.0559163490621917</v>
      </c>
      <c r="AT56" s="709" t="n">
        <f aca="false">'Cuenta Ahorro-Inversión-Financi'!T56+'Cuenta Ahorro-Inversión-Financi'!R56+(('Cuenta Ahorro-Inversión-Financi'!BC23-'Cuenta Ahorro-Inversión-Financi'!BL23-'Cuenta Ahorro-Inversión-Financi'!BV23-'Cuenta Ahorro-Inversión-Financi'!BW23-'Cuenta Ahorro-Inversión-Financi'!BP23-'Cuenta Ahorro-Inversión-Financi'!BQ23)/1000/'PIB corriente base 2004'!X11)</f>
        <v>0.0543704479016842</v>
      </c>
      <c r="AU56" s="709" t="n">
        <f aca="false">'Cuenta Ahorro-Inversión-Financi'!U56</f>
        <v>0.0573140814102419</v>
      </c>
      <c r="AV56" s="709" t="n">
        <f aca="false">('Cuenta Ahorro-Inversión-Financi'!CH23)/'PIB corriente base 2004'!X11/1000+'Cuenta Ahorro-Inversión-Financi'!Y56</f>
        <v>0.00694374082135591</v>
      </c>
      <c r="AW56" s="709" t="n">
        <f aca="false">'Cuenta Ahorro-Inversión-Financi'!AP56-'Cuenta Ahorro-Inversión-Financi'!AT56</f>
        <v>-0.0158656512635353</v>
      </c>
      <c r="AX56" s="709" t="n">
        <f aca="false">'Cuenta Ahorro-Inversión-Financi'!AO56-'Cuenta Ahorro-Inversión-Financi'!AU56</f>
        <v>0.00288396546107231</v>
      </c>
      <c r="AY56" s="709" t="n">
        <f aca="false">'Cuenta Ahorro-Inversión-Financi'!AO56+'Cuenta Ahorro-Inversión-Financi'!AQ56+'Cuenta Ahorro-Inversión-Financi'!AR56-'Cuenta Ahorro-Inversión-Financi'!AU56-'Cuenta Ahorro-Inversión-Financi'!AV56</f>
        <v>0.0108470293692913</v>
      </c>
      <c r="AZ56" s="709" t="n">
        <f aca="false">'Cuenta Ahorro-Inversión-Financi'!AY56</f>
        <v>0.0108470293692913</v>
      </c>
      <c r="BA56" s="456" t="n">
        <f aca="false">AU56+AV56</f>
        <v>0.0642578222315978</v>
      </c>
      <c r="BB56" s="456" t="n">
        <v>0.00213635773880085</v>
      </c>
      <c r="BC56" s="456" t="n">
        <v>0.0028709584007996</v>
      </c>
      <c r="BI56" s="1" t="s">
        <v>989</v>
      </c>
      <c r="BX56" s="1" t="n">
        <f aca="false">'Cuenta Ahorro-Inversión-Financi'!BF19+'Cuenta Ahorro-Inversión-Financi'!BS19</f>
        <v>16553740.61872</v>
      </c>
      <c r="BY56" s="456" t="n">
        <f aca="false">'Cuenta Ahorro-Inversión-Financi'!BS19/'Cuenta Ahorro-Inversión-Financi'!BX56</f>
        <v>0.0595190390276989</v>
      </c>
    </row>
    <row r="57" customFormat="false" ht="15.75" hidden="false" customHeight="true" outlineLevel="0" collapsed="false">
      <c r="A57" s="702"/>
      <c r="B57" s="702"/>
      <c r="C57" s="702"/>
      <c r="D57" s="702"/>
      <c r="E57" s="704" t="n">
        <v>2008</v>
      </c>
      <c r="F57" s="712" t="n">
        <f aca="false">'Cuenta Ahorro-Inversión-Financi'!T24/1000/'PIB corriente base 2004'!X12</f>
        <v>0.0368508016736982</v>
      </c>
      <c r="G57" s="712" t="n">
        <f aca="false">('Cuenta Ahorro-Inversión-Financi'!G24+'Cuenta Ahorro-Inversión-Financi'!S24)/1000/'PIB corriente base 2004'!X12</f>
        <v>0.0204392279016501</v>
      </c>
      <c r="H57" s="712" t="n">
        <f aca="false">'Cuenta Ahorro-Inversión-Financi'!X24/1000/'PIB corriente base 2004'!X12</f>
        <v>0.000971980550364607</v>
      </c>
      <c r="I57" s="712" t="n">
        <f aca="false">'Cuenta Ahorro-Inversión-Financi'!J57</f>
        <v>0.0582636493870521</v>
      </c>
      <c r="J57" s="712" t="n">
        <f aca="false">'Cuenta Ahorro-Inversión-Financi'!F24/1000/'PIB corriente base 2004'!X12</f>
        <v>0.0582636493870521</v>
      </c>
      <c r="K57" s="712" t="n">
        <f aca="false">'Cuenta Ahorro-Inversión-Financi'!T24/1000/'PIB corriente base 2004'!X12</f>
        <v>0.0368508016736982</v>
      </c>
      <c r="L57" s="712" t="n">
        <f aca="false">'Cuenta Ahorro-Inversión-Financi'!AI24/1000/'PIB corriente base 2004'!X12</f>
        <v>0.0145730376476074</v>
      </c>
      <c r="M57" s="712" t="n">
        <f aca="false">'Cuenta Ahorro-Inversión-Financi'!AO24/1000/'PIB corriente base 2004'!X12</f>
        <v>0.00701832015439975</v>
      </c>
      <c r="N57" s="717" t="n">
        <f aca="false">'Cuenta Ahorro-Inversión-Financi'!AG24/1000/'PIB corriente base 2004'!X12</f>
        <v>0.0582661848512213</v>
      </c>
      <c r="O57" s="717" t="n">
        <f aca="false">'Cuenta Ahorro-Inversión-Financi'!M57+'Cuenta Ahorro-Inversión-Financi'!I57</f>
        <v>0.0652819695414518</v>
      </c>
      <c r="P57" s="702"/>
      <c r="Q57" s="713" t="n">
        <v>2008</v>
      </c>
      <c r="R57" s="712" t="n">
        <f aca="false">'Cuenta Ahorro-Inversión-Financi'!BF24/1000/'PIB corriente base 2004'!X12</f>
        <v>0.0483764714177785</v>
      </c>
      <c r="S57" s="712"/>
      <c r="T57" s="712" t="n">
        <f aca="false">'Cuenta Ahorro-Inversión-Financi'!BX24/1000/'PIB corriente base 2004'!X12</f>
        <v>0.00893501787658427</v>
      </c>
      <c r="U57" s="712" t="n">
        <f aca="false">'Cuenta Ahorro-Inversión-Financi'!T57+'Cuenta Ahorro-Inversión-Financi'!R57+(('Cuenta Ahorro-Inversión-Financi'!AY24+'Cuenta Ahorro-Inversión-Financi'!BC24)/1000/'PIB corriente base 2004'!X12)</f>
        <v>0.0584126184319631</v>
      </c>
      <c r="V57" s="712" t="n">
        <f aca="false">'Cuenta Ahorro-Inversión-Financi'!BN24/1000/'PIB corriente base 2004'!X12</f>
        <v>0.00893501787658427</v>
      </c>
      <c r="W57" s="712" t="n">
        <f aca="false">'Cuenta Ahorro-Inversión-Financi'!AX24/1000/'PIB corriente base 2004'!X12</f>
        <v>0.0584126184319631</v>
      </c>
      <c r="X57" s="712" t="n">
        <f aca="false">W57</f>
        <v>0.0584126184319631</v>
      </c>
      <c r="Y57" s="712" t="n">
        <f aca="false">'Cuenta Ahorro-Inversión-Financi'!CM24/1000/'PIB corriente base 2004'!X12</f>
        <v>0.00116689653702815</v>
      </c>
      <c r="Z57" s="712" t="n">
        <f aca="false">('Cuenta Ahorro-Inversión-Financi'!CG24)/1000/'PIB corriente base 2004'!X12+'Cuenta Ahorro-Inversión-Financi'!Y57</f>
        <v>0.0596246972943047</v>
      </c>
      <c r="AA57" s="712" t="n">
        <f aca="false">('Cuenta Ahorro-Inversión-Financi'!CG24-'Cuenta Ahorro-Inversión-Financi'!AY24)/1000/'PIB corriente base 2004'!X12</f>
        <v>0.0573566716196761</v>
      </c>
      <c r="AB57" s="702"/>
      <c r="AC57" s="714" t="n">
        <v>2008</v>
      </c>
      <c r="AD57" s="712" t="n">
        <f aca="false">'Cuenta Ahorro-Inversión-Financi'!J57-'Cuenta Ahorro-Inversión-Financi'!X57</f>
        <v>-0.000148969044911074</v>
      </c>
      <c r="AE57" s="712" t="n">
        <f aca="false">'Cuenta Ahorro-Inversión-Financi'!F57-'Cuenta Ahorro-Inversión-Financi'!R57</f>
        <v>-0.0115256697440803</v>
      </c>
      <c r="AF57" s="712" t="n">
        <f aca="false">'Cuenta Ahorro-Inversión-Financi'!I57-'Cuenta Ahorro-Inversión-Financi'!U57-'Cuenta Ahorro-Inversión-Financi'!H57</f>
        <v>-0.00112094959527569</v>
      </c>
      <c r="AG57" s="712" t="n">
        <f aca="false">'Cuenta Ahorro-Inversión-Financi'!I57-'Cuenta Ahorro-Inversión-Financi'!U57</f>
        <v>-0.000148969044911088</v>
      </c>
      <c r="AH57" s="712" t="n">
        <f aca="false">'Cuenta Ahorro-Inversión-Financi'!O57-'Cuenta Ahorro-Inversión-Financi'!U57</f>
        <v>0.00686935110948866</v>
      </c>
      <c r="AI57" s="712" t="n">
        <f aca="false">'Cuenta Ahorro-Inversión-Financi'!F57-('Cuenta Ahorro-Inversión-Financi'!BF24+'Cuenta Ahorro-Inversión-Financi'!BR24)/'PIB corriente base 2004'!X12/1000</f>
        <v>-0.0187024003340929</v>
      </c>
      <c r="AJ57" s="456" t="n">
        <f aca="false">'Cuenta Ahorro-Inversión-Financi'!AH57-'Cuenta Ahorro-Inversión-Financi'!H57</f>
        <v>0.00589737055912405</v>
      </c>
      <c r="AN57" s="710" t="n">
        <v>2008</v>
      </c>
      <c r="AO57" s="712" t="n">
        <f aca="false">'Cuenta Ahorro-Inversión-Financi'!I57</f>
        <v>0.0582636493870521</v>
      </c>
      <c r="AP57" s="712" t="n">
        <f aca="false">'Cuenta Ahorro-Inversión-Financi'!F57</f>
        <v>0.0368508016736982</v>
      </c>
      <c r="AQ57" s="712" t="n">
        <v>0</v>
      </c>
      <c r="AR57" s="712" t="n">
        <f aca="false">'Cuenta Ahorro-Inversión-Financi'!L57</f>
        <v>0.0145730376476074</v>
      </c>
      <c r="AS57" s="712" t="n">
        <f aca="false">'Cuenta Ahorro-Inversión-Financi'!T57+'Cuenta Ahorro-Inversión-Financi'!R57+(('Cuenta Ahorro-Inversión-Financi'!BC24-'Cuenta Ahorro-Inversión-Financi'!BL24-'Cuenta Ahorro-Inversión-Financi'!BV24-'Cuenta Ahorro-Inversión-Financi'!BW24)/1000/'PIB corriente base 2004'!X12)</f>
        <v>0.0568675728340972</v>
      </c>
      <c r="AT57" s="712" t="n">
        <f aca="false">'Cuenta Ahorro-Inversión-Financi'!T57+'Cuenta Ahorro-Inversión-Financi'!R57+(('Cuenta Ahorro-Inversión-Financi'!BC24-'Cuenta Ahorro-Inversión-Financi'!BL24-'Cuenta Ahorro-Inversión-Financi'!BV24-'Cuenta Ahorro-Inversión-Financi'!BW24-'Cuenta Ahorro-Inversión-Financi'!BP24-'Cuenta Ahorro-Inversión-Financi'!BQ24)/1000/'PIB corriente base 2004'!X12)</f>
        <v>0.0551521388373889</v>
      </c>
      <c r="AU57" s="712" t="n">
        <f aca="false">'Cuenta Ahorro-Inversión-Financi'!U57</f>
        <v>0.0584126184319631</v>
      </c>
      <c r="AV57" s="712" t="n">
        <f aca="false">('Cuenta Ahorro-Inversión-Financi'!CH24)/'PIB corriente base 2004'!X12/1000+'Cuenta Ahorro-Inversión-Financi'!Y57</f>
        <v>0.00872161403023583</v>
      </c>
      <c r="AW57" s="712" t="n">
        <f aca="false">'Cuenta Ahorro-Inversión-Financi'!AP57-'Cuenta Ahorro-Inversión-Financi'!AT57</f>
        <v>-0.0183013371636907</v>
      </c>
      <c r="AX57" s="712" t="n">
        <f aca="false">'Cuenta Ahorro-Inversión-Financi'!AO57-'Cuenta Ahorro-Inversión-Financi'!AU57</f>
        <v>-0.000148969044911088</v>
      </c>
      <c r="AY57" s="712" t="n">
        <f aca="false">'Cuenta Ahorro-Inversión-Financi'!AO57+'Cuenta Ahorro-Inversión-Financi'!AQ57+'Cuenta Ahorro-Inversión-Financi'!AR57-'Cuenta Ahorro-Inversión-Financi'!AU57-'Cuenta Ahorro-Inversión-Financi'!AV57</f>
        <v>0.0057024545724605</v>
      </c>
      <c r="AZ57" s="712" t="n">
        <f aca="false">'Cuenta Ahorro-Inversión-Financi'!AY57-'Cuenta Ahorro-Inversión-Financi'!H57</f>
        <v>0.00473047402209589</v>
      </c>
      <c r="BA57" s="456" t="n">
        <f aca="false">AU57+AV57</f>
        <v>0.067134232462199</v>
      </c>
      <c r="BB57" s="456" t="n">
        <v>-0.00111607433474384</v>
      </c>
      <c r="BC57" s="456" t="n">
        <v>-0.000148321145212302</v>
      </c>
      <c r="BX57" s="1" t="n">
        <f aca="false">'Cuenta Ahorro-Inversión-Financi'!BF20+'Cuenta Ahorro-Inversión-Financi'!BS20</f>
        <v>18523568.10335</v>
      </c>
      <c r="BY57" s="456" t="n">
        <f aca="false">'Cuenta Ahorro-Inversión-Financi'!BS20/'Cuenta Ahorro-Inversión-Financi'!BX57</f>
        <v>0.0387184218530928</v>
      </c>
    </row>
    <row r="58" customFormat="false" ht="15.75" hidden="false" customHeight="true" outlineLevel="0" collapsed="false">
      <c r="A58" s="702"/>
      <c r="B58" s="702"/>
      <c r="C58" s="702"/>
      <c r="D58" s="702"/>
      <c r="E58" s="704" t="n">
        <v>2009</v>
      </c>
      <c r="F58" s="705" t="n">
        <f aca="false">'Cuenta Ahorro-Inversión-Financi'!T25/1000/'PIB corriente base 2004'!X13</f>
        <v>0.0507701371819389</v>
      </c>
      <c r="G58" s="705" t="n">
        <f aca="false">('Cuenta Ahorro-Inversión-Financi'!G25+'Cuenta Ahorro-Inversión-Financi'!S25)/1000/'PIB corriente base 2004'!X13</f>
        <v>0.0203921181346288</v>
      </c>
      <c r="H58" s="705" t="n">
        <f aca="false">'Cuenta Ahorro-Inversión-Financi'!X25/1000/'PIB corriente base 2004'!X13</f>
        <v>0.00680095700317286</v>
      </c>
      <c r="I58" s="705" t="n">
        <f aca="false">'Cuenta Ahorro-Inversión-Financi'!J58</f>
        <v>0.0779638818556597</v>
      </c>
      <c r="J58" s="705" t="n">
        <f aca="false">'Cuenta Ahorro-Inversión-Financi'!F25/1000/'PIB corriente base 2004'!X13</f>
        <v>0.0779638818556597</v>
      </c>
      <c r="K58" s="705" t="n">
        <f aca="false">'Cuenta Ahorro-Inversión-Financi'!T25/1000/'PIB corriente base 2004'!X13</f>
        <v>0.0507701371819389</v>
      </c>
      <c r="L58" s="705" t="n">
        <f aca="false">'Cuenta Ahorro-Inversión-Financi'!AI25/1000/'PIB corriente base 2004'!X13</f>
        <v>0.0146173597980544</v>
      </c>
      <c r="M58" s="705" t="n">
        <f aca="false">'Cuenta Ahorro-Inversión-Financi'!AO25/1000/'PIB corriente base 2004'!X13</f>
        <v>0.00498469519573689</v>
      </c>
      <c r="N58" s="705" t="n">
        <f aca="false">'Cuenta Ahorro-Inversión-Financi'!AG25/1000/'PIB corriente base 2004'!X13</f>
        <v>0.07796470897676</v>
      </c>
      <c r="O58" s="705" t="n">
        <f aca="false">'Cuenta Ahorro-Inversión-Financi'!M58+'Cuenta Ahorro-Inversión-Financi'!I58</f>
        <v>0.0829485770513966</v>
      </c>
      <c r="P58" s="702"/>
      <c r="Q58" s="713" t="n">
        <v>2009</v>
      </c>
      <c r="R58" s="721" t="n">
        <f aca="false">'Cuenta Ahorro-Inversión-Financi'!BF25/1000/'PIB corriente base 2004'!X13</f>
        <v>0.0568162745570319</v>
      </c>
      <c r="S58" s="721"/>
      <c r="T58" s="721" t="n">
        <f aca="false">'Cuenta Ahorro-Inversión-Financi'!BX25/1000/'PIB corriente base 2004'!X13</f>
        <v>0.0123962475351313</v>
      </c>
      <c r="U58" s="721" t="n">
        <f aca="false">'Cuenta Ahorro-Inversión-Financi'!T58+'Cuenta Ahorro-Inversión-Financi'!R58+(('Cuenta Ahorro-Inversión-Financi'!AY25+'Cuenta Ahorro-Inversión-Financi'!BC25)/1000/'PIB corriente base 2004'!X13)</f>
        <v>0.0709937465458173</v>
      </c>
      <c r="V58" s="721" t="n">
        <f aca="false">'Cuenta Ahorro-Inversión-Financi'!BN25/1000/'PIB corriente base 2004'!X13</f>
        <v>0.0123962475351313</v>
      </c>
      <c r="W58" s="707" t="n">
        <f aca="false">'Cuenta Ahorro-Inversión-Financi'!AX25/1000/'PIB corriente base 2004'!X13</f>
        <v>0.0709937465458173</v>
      </c>
      <c r="X58" s="707" t="n">
        <f aca="false">W58</f>
        <v>0.0709937465458173</v>
      </c>
      <c r="Y58" s="707" t="n">
        <f aca="false">'Cuenta Ahorro-Inversión-Financi'!CM25/1000/'PIB corriente base 2004'!X13</f>
        <v>0.00167502693461996</v>
      </c>
      <c r="Z58" s="707" t="n">
        <f aca="false">('Cuenta Ahorro-Inversión-Financi'!CG25)/1000/'PIB corriente base 2004'!X13+'Cuenta Ahorro-Inversión-Financi'!Y58</f>
        <v>0.0727406098176419</v>
      </c>
      <c r="AA58" s="707" t="n">
        <f aca="false">('Cuenta Ahorro-Inversión-Financi'!CG25-'Cuenta Ahorro-Inversión-Financi'!AY25)/1000/'PIB corriente base 2004'!X13</f>
        <v>0.0692878360339629</v>
      </c>
      <c r="AB58" s="702"/>
      <c r="AC58" s="714" t="n">
        <v>2009</v>
      </c>
      <c r="AD58" s="709" t="n">
        <f aca="false">'Cuenta Ahorro-Inversión-Financi'!J58-'Cuenta Ahorro-Inversión-Financi'!X58</f>
        <v>0.00697013530984235</v>
      </c>
      <c r="AE58" s="709" t="n">
        <f aca="false">'Cuenta Ahorro-Inversión-Financi'!F58-'Cuenta Ahorro-Inversión-Financi'!R58</f>
        <v>-0.00604613737509297</v>
      </c>
      <c r="AF58" s="709" t="n">
        <f aca="false">'Cuenta Ahorro-Inversión-Financi'!I58-'Cuenta Ahorro-Inversión-Financi'!U58-'Cuenta Ahorro-Inversión-Financi'!H58</f>
        <v>0.000169178306669476</v>
      </c>
      <c r="AG58" s="709" t="n">
        <f aca="false">'Cuenta Ahorro-Inversión-Financi'!I58-'Cuenta Ahorro-Inversión-Financi'!U58</f>
        <v>0.00697013530984234</v>
      </c>
      <c r="AH58" s="709" t="n">
        <f aca="false">'Cuenta Ahorro-Inversión-Financi'!O58-'Cuenta Ahorro-Inversión-Financi'!U58</f>
        <v>0.0119548305055792</v>
      </c>
      <c r="AI58" s="709" t="n">
        <f aca="false">'Cuenta Ahorro-Inversión-Financi'!F58-('Cuenta Ahorro-Inversión-Financi'!BF25+'Cuenta Ahorro-Inversión-Financi'!BR25)/'PIB corriente base 2004'!X13/1000</f>
        <v>-0.0164010117864058</v>
      </c>
      <c r="AJ58" s="456" t="n">
        <f aca="false">'Cuenta Ahorro-Inversión-Financi'!AH58-'Cuenta Ahorro-Inversión-Financi'!H58</f>
        <v>0.00515387350240637</v>
      </c>
      <c r="AN58" s="710" t="n">
        <v>2009</v>
      </c>
      <c r="AO58" s="709" t="n">
        <f aca="false">'Cuenta Ahorro-Inversión-Financi'!I58</f>
        <v>0.0779638818556597</v>
      </c>
      <c r="AP58" s="709" t="n">
        <f aca="false">'Cuenta Ahorro-Inversión-Financi'!F58</f>
        <v>0.0507701371819389</v>
      </c>
      <c r="AQ58" s="709" t="n">
        <v>0</v>
      </c>
      <c r="AR58" s="709" t="n">
        <f aca="false">'Cuenta Ahorro-Inversión-Financi'!L58</f>
        <v>0.0146173597980544</v>
      </c>
      <c r="AS58" s="709" t="n">
        <f aca="false">'Cuenta Ahorro-Inversión-Financi'!T58+'Cuenta Ahorro-Inversión-Financi'!R58+(('Cuenta Ahorro-Inversión-Financi'!BC25-'Cuenta Ahorro-Inversión-Financi'!BL25-'Cuenta Ahorro-Inversión-Financi'!BV25-'Cuenta Ahorro-Inversión-Financi'!BW25)/1000/'PIB corriente base 2004'!X13)</f>
        <v>0.0687237844793052</v>
      </c>
      <c r="AT58" s="709" t="n">
        <f aca="false">'Cuenta Ahorro-Inversión-Financi'!T58+'Cuenta Ahorro-Inversión-Financi'!R58+(('Cuenta Ahorro-Inversión-Financi'!BC25-'Cuenta Ahorro-Inversión-Financi'!BL25-'Cuenta Ahorro-Inversión-Financi'!BV25-'Cuenta Ahorro-Inversión-Financi'!BW25-'Cuenta Ahorro-Inversión-Financi'!BP25-'Cuenta Ahorro-Inversión-Financi'!BQ25)/1000/'PIB corriente base 2004'!X13)</f>
        <v>0.0664412280851967</v>
      </c>
      <c r="AU58" s="709" t="n">
        <f aca="false">'Cuenta Ahorro-Inversión-Financi'!U58</f>
        <v>0.0709937465458173</v>
      </c>
      <c r="AV58" s="709" t="n">
        <f aca="false">('Cuenta Ahorro-Inversión-Financi'!CH25)/'PIB corriente base 2004'!X13/1000+'Cuenta Ahorro-Inversión-Financi'!Y58</f>
        <v>0.0113076915369375</v>
      </c>
      <c r="AW58" s="709" t="n">
        <f aca="false">'Cuenta Ahorro-Inversión-Financi'!AP58-'Cuenta Ahorro-Inversión-Financi'!AT58</f>
        <v>-0.0156710909032578</v>
      </c>
      <c r="AX58" s="709" t="n">
        <f aca="false">'Cuenta Ahorro-Inversión-Financi'!AO58-'Cuenta Ahorro-Inversión-Financi'!AU58</f>
        <v>0.00697013530984234</v>
      </c>
      <c r="AY58" s="709" t="n">
        <f aca="false">'Cuenta Ahorro-Inversión-Financi'!AO58+'Cuenta Ahorro-Inversión-Financi'!AQ58+'Cuenta Ahorro-Inversión-Financi'!AR58-'Cuenta Ahorro-Inversión-Financi'!AU58-'Cuenta Ahorro-Inversión-Financi'!AV58</f>
        <v>0.0102798035709593</v>
      </c>
      <c r="AZ58" s="709" t="n">
        <f aca="false">'Cuenta Ahorro-Inversión-Financi'!AY58-'Cuenta Ahorro-Inversión-Financi'!H58</f>
        <v>0.00347884656778641</v>
      </c>
      <c r="BA58" s="456" t="n">
        <f aca="false">AU58+AV58</f>
        <v>0.0823014380827548</v>
      </c>
      <c r="BB58" s="456" t="n">
        <v>0.00016841261592386</v>
      </c>
      <c r="BC58" s="456" t="n">
        <v>0.006938588900569</v>
      </c>
      <c r="BX58" s="1" t="n">
        <f aca="false">'Cuenta Ahorro-Inversión-Financi'!BF21+'Cuenta Ahorro-Inversión-Financi'!BS21</f>
        <v>20916082.58023</v>
      </c>
      <c r="BY58" s="456" t="n">
        <f aca="false">'Cuenta Ahorro-Inversión-Financi'!BS21/'Cuenta Ahorro-Inversión-Financi'!BX58</f>
        <v>0.0377242854168978</v>
      </c>
    </row>
    <row r="59" customFormat="false" ht="15.75" hidden="false" customHeight="true" outlineLevel="0" collapsed="false">
      <c r="A59" s="702"/>
      <c r="B59" s="702"/>
      <c r="C59" s="702"/>
      <c r="D59" s="702"/>
      <c r="E59" s="704" t="n">
        <v>2010</v>
      </c>
      <c r="F59" s="712" t="n">
        <f aca="false">'Cuenta Ahorro-Inversión-Financi'!T26/1000/'PIB corriente base 2004'!X14</f>
        <v>0.0504873115779599</v>
      </c>
      <c r="G59" s="712" t="n">
        <f aca="false">('Cuenta Ahorro-Inversión-Financi'!G26+'Cuenta Ahorro-Inversión-Financi'!S26)/1000/'PIB corriente base 2004'!X14</f>
        <v>0.0206407631065506</v>
      </c>
      <c r="H59" s="712" t="n">
        <f aca="false">'Cuenta Ahorro-Inversión-Financi'!X26/1000/'PIB corriente base 2004'!X14</f>
        <v>0.00524439899269864</v>
      </c>
      <c r="I59" s="712" t="n">
        <f aca="false">'Cuenta Ahorro-Inversión-Financi'!J59</f>
        <v>0.0763729917909168</v>
      </c>
      <c r="J59" s="712" t="n">
        <f aca="false">'Cuenta Ahorro-Inversión-Financi'!F26/1000/'PIB corriente base 2004'!X14</f>
        <v>0.0763729917909168</v>
      </c>
      <c r="K59" s="712" t="n">
        <f aca="false">'Cuenta Ahorro-Inversión-Financi'!T26/1000/'PIB corriente base 2004'!X14</f>
        <v>0.0504873115779599</v>
      </c>
      <c r="L59" s="712" t="n">
        <f aca="false">('Cuenta Ahorro-Inversión-Financi'!AI26+'Cuenta Ahorro-Inversión-Financi'!AK26)/1000/'PIB corriente base 2004'!X14</f>
        <v>0.0147920638625873</v>
      </c>
      <c r="M59" s="712" t="n">
        <f aca="false">'Cuenta Ahorro-Inversión-Financi'!AO26/1000/'PIB corriente base 2004'!X14</f>
        <v>0.00482847303931563</v>
      </c>
      <c r="N59" s="717" t="n">
        <f aca="false">'Cuenta Ahorro-Inversión-Financi'!AG26/1000/'PIB corriente base 2004'!X14</f>
        <v>0.0763730369385458</v>
      </c>
      <c r="O59" s="717" t="n">
        <f aca="false">'Cuenta Ahorro-Inversión-Financi'!M59+'Cuenta Ahorro-Inversión-Financi'!I59</f>
        <v>0.0812014648302324</v>
      </c>
      <c r="P59" s="702"/>
      <c r="Q59" s="713" t="n">
        <v>2010</v>
      </c>
      <c r="R59" s="712" t="n">
        <f aca="false">'Cuenta Ahorro-Inversión-Financi'!BF26/1000/'PIB corriente base 2004'!X14</f>
        <v>0.0531723252388029</v>
      </c>
      <c r="S59" s="712"/>
      <c r="T59" s="712" t="n">
        <f aca="false">'Cuenta Ahorro-Inversión-Financi'!BX26/1000/'PIB corriente base 2004'!X14</f>
        <v>0.0153052918080471</v>
      </c>
      <c r="U59" s="712" t="n">
        <f aca="false">'Cuenta Ahorro-Inversión-Financi'!T59+'Cuenta Ahorro-Inversión-Financi'!R59+(('Cuenta Ahorro-Inversión-Financi'!AY26+'Cuenta Ahorro-Inversión-Financi'!BC26)/1000/'PIB corriente base 2004'!X14)</f>
        <v>0.070410350926472</v>
      </c>
      <c r="V59" s="712" t="n">
        <f aca="false">'Cuenta Ahorro-Inversión-Financi'!BN26/1000/'PIB corriente base 2004'!X14</f>
        <v>0.0153052918080471</v>
      </c>
      <c r="W59" s="712" t="n">
        <f aca="false">'Cuenta Ahorro-Inversión-Financi'!AX26/1000/'PIB corriente base 2004'!X14</f>
        <v>0.0704103509264721</v>
      </c>
      <c r="X59" s="712" t="n">
        <f aca="false">W59</f>
        <v>0.0704103509264721</v>
      </c>
      <c r="Y59" s="712" t="n">
        <f aca="false">'Cuenta Ahorro-Inversión-Financi'!CM26/1000/'PIB corriente base 2004'!X14</f>
        <v>0.00129161278918117</v>
      </c>
      <c r="Z59" s="712" t="n">
        <f aca="false">('Cuenta Ahorro-Inversión-Financi'!CG26)/1000/'PIB corriente base 2004'!X14+'Cuenta Ahorro-Inversión-Financi'!Y59</f>
        <v>0.0718447099215995</v>
      </c>
      <c r="AA59" s="712" t="n">
        <f aca="false">('Cuenta Ahorro-Inversión-Financi'!CG26-'Cuenta Ahorro-Inversión-Financi'!AY26)/1000/'PIB corriente base 2004'!X14</f>
        <v>0.0686248686754115</v>
      </c>
      <c r="AB59" s="702"/>
      <c r="AC59" s="714" t="n">
        <v>2010</v>
      </c>
      <c r="AD59" s="712" t="n">
        <f aca="false">'Cuenta Ahorro-Inversión-Financi'!J59-'Cuenta Ahorro-Inversión-Financi'!X59</f>
        <v>0.00596264086444469</v>
      </c>
      <c r="AE59" s="712" t="n">
        <f aca="false">'Cuenta Ahorro-Inversión-Financi'!F59-'Cuenta Ahorro-Inversión-Financi'!R59</f>
        <v>-0.00268501366084307</v>
      </c>
      <c r="AF59" s="712" t="n">
        <f aca="false">'Cuenta Ahorro-Inversión-Financi'!I59-'Cuenta Ahorro-Inversión-Financi'!U59-'Cuenta Ahorro-Inversión-Financi'!H59</f>
        <v>0.000718241871746103</v>
      </c>
      <c r="AG59" s="712" t="n">
        <f aca="false">'Cuenta Ahorro-Inversión-Financi'!I59-'Cuenta Ahorro-Inversión-Financi'!U59</f>
        <v>0.00596264086444474</v>
      </c>
      <c r="AH59" s="712" t="n">
        <f aca="false">'Cuenta Ahorro-Inversión-Financi'!O59-'Cuenta Ahorro-Inversión-Financi'!U59</f>
        <v>0.0107911139037604</v>
      </c>
      <c r="AI59" s="712" t="n">
        <f aca="false">'Cuenta Ahorro-Inversión-Financi'!F59-('Cuenta Ahorro-Inversión-Financi'!BF26+'Cuenta Ahorro-Inversión-Financi'!BR26)/'PIB corriente base 2004'!X14/1000</f>
        <v>-0.0160861458341661</v>
      </c>
      <c r="AJ59" s="456" t="n">
        <f aca="false">'Cuenta Ahorro-Inversión-Financi'!AH59-'Cuenta Ahorro-Inversión-Financi'!H59</f>
        <v>0.00554671491106171</v>
      </c>
      <c r="AN59" s="710" t="n">
        <v>2010</v>
      </c>
      <c r="AO59" s="712" t="n">
        <f aca="false">'Cuenta Ahorro-Inversión-Financi'!I59</f>
        <v>0.0763729917909168</v>
      </c>
      <c r="AP59" s="712" t="n">
        <f aca="false">'Cuenta Ahorro-Inversión-Financi'!F59</f>
        <v>0.0504873115779599</v>
      </c>
      <c r="AQ59" s="712" t="n">
        <v>0</v>
      </c>
      <c r="AR59" s="712" t="n">
        <f aca="false">'Cuenta Ahorro-Inversión-Financi'!L59</f>
        <v>0.0147920638625873</v>
      </c>
      <c r="AS59" s="712" t="n">
        <f aca="false">'Cuenta Ahorro-Inversión-Financi'!T59+'Cuenta Ahorro-Inversión-Financi'!R59+(('Cuenta Ahorro-Inversión-Financi'!BC26-'Cuenta Ahorro-Inversión-Financi'!BL26-'Cuenta Ahorro-Inversión-Financi'!BV26-'Cuenta Ahorro-Inversión-Financi'!BW26)/1000/'PIB corriente base 2004'!X14)</f>
        <v>0.0680327246756838</v>
      </c>
      <c r="AT59" s="712" t="n">
        <f aca="false">'Cuenta Ahorro-Inversión-Financi'!T59+'Cuenta Ahorro-Inversión-Financi'!R59+(('Cuenta Ahorro-Inversión-Financi'!BC26-'Cuenta Ahorro-Inversión-Financi'!BL26-'Cuenta Ahorro-Inversión-Financi'!BV26-'Cuenta Ahorro-Inversión-Financi'!BW26-'Cuenta Ahorro-Inversión-Financi'!BP26-'Cuenta Ahorro-Inversión-Financi'!BQ26)/1000/'PIB corriente base 2004'!X14)</f>
        <v>0.066291307308321</v>
      </c>
      <c r="AU59" s="712" t="n">
        <f aca="false">'Cuenta Ahorro-Inversión-Financi'!U59</f>
        <v>0.070410350926472</v>
      </c>
      <c r="AV59" s="712" t="n">
        <f aca="false">('Cuenta Ahorro-Inversión-Financi'!CH26+'Cuenta Ahorro-Inversión-Financi'!BZ26)/'PIB corriente base 2004'!X14/1000+'Cuenta Ahorro-Inversión-Financi'!Y59</f>
        <v>0.0113979498183991</v>
      </c>
      <c r="AW59" s="712" t="n">
        <f aca="false">'Cuenta Ahorro-Inversión-Financi'!AP59-'Cuenta Ahorro-Inversión-Financi'!AT59</f>
        <v>-0.0158039957303611</v>
      </c>
      <c r="AX59" s="712" t="n">
        <f aca="false">'Cuenta Ahorro-Inversión-Financi'!AO59-'Cuenta Ahorro-Inversión-Financi'!AU59</f>
        <v>0.00596264086444474</v>
      </c>
      <c r="AY59" s="712" t="n">
        <f aca="false">'Cuenta Ahorro-Inversión-Financi'!AO59+'Cuenta Ahorro-Inversión-Financi'!AQ59+'Cuenta Ahorro-Inversión-Financi'!AR59-'Cuenta Ahorro-Inversión-Financi'!AU59-'Cuenta Ahorro-Inversión-Financi'!AV59</f>
        <v>0.00935675490863295</v>
      </c>
      <c r="AZ59" s="712" t="n">
        <f aca="false">'Cuenta Ahorro-Inversión-Financi'!AY59-'Cuenta Ahorro-Inversión-Financi'!H59</f>
        <v>0.0041123559159343</v>
      </c>
      <c r="BA59" s="456" t="n">
        <f aca="false">AU59+AV59</f>
        <v>0.0818083007448712</v>
      </c>
      <c r="BB59" s="456" t="n">
        <v>0.000714382580316697</v>
      </c>
      <c r="BC59" s="456" t="n">
        <v>0.0059306021185995</v>
      </c>
      <c r="BX59" s="1" t="n">
        <f aca="false">'Cuenta Ahorro-Inversión-Financi'!BF22+'Cuenta Ahorro-Inversión-Financi'!BS22</f>
        <v>27392491.76769</v>
      </c>
      <c r="BY59" s="456" t="n">
        <f aca="false">'Cuenta Ahorro-Inversión-Financi'!BS22/'Cuenta Ahorro-Inversión-Financi'!BX59</f>
        <v>0.0371352635991239</v>
      </c>
    </row>
    <row r="60" customFormat="false" ht="15.75" hidden="false" customHeight="true" outlineLevel="0" collapsed="false">
      <c r="A60" s="702"/>
      <c r="B60" s="702"/>
      <c r="C60" s="702"/>
      <c r="D60" s="702"/>
      <c r="E60" s="704" t="n">
        <v>2011</v>
      </c>
      <c r="F60" s="705" t="n">
        <f aca="false">'Cuenta Ahorro-Inversión-Financi'!T27/1000/'PIB corriente base 2004'!X15</f>
        <v>0.051623947009386</v>
      </c>
      <c r="G60" s="705" t="n">
        <f aca="false">('Cuenta Ahorro-Inversión-Financi'!G27+'Cuenta Ahorro-Inversión-Financi'!S27)/1000/'PIB corriente base 2004'!X15</f>
        <v>0.0210555255476486</v>
      </c>
      <c r="H60" s="705" t="n">
        <f aca="false">'Cuenta Ahorro-Inversión-Financi'!X27/1000/'PIB corriente base 2004'!X15</f>
        <v>0.00506588207799855</v>
      </c>
      <c r="I60" s="705" t="n">
        <f aca="false">'Cuenta Ahorro-Inversión-Financi'!J60</f>
        <v>0.0777453546350332</v>
      </c>
      <c r="J60" s="705" t="n">
        <f aca="false">'Cuenta Ahorro-Inversión-Financi'!F27/1000/'PIB corriente base 2004'!X15</f>
        <v>0.0777453546350332</v>
      </c>
      <c r="K60" s="705" t="n">
        <f aca="false">'Cuenta Ahorro-Inversión-Financi'!T27/1000/'PIB corriente base 2004'!X15</f>
        <v>0.051623947009386</v>
      </c>
      <c r="L60" s="705" t="n">
        <f aca="false">'Cuenta Ahorro-Inversión-Financi'!AI27/1000/'PIB corriente base 2004'!X15</f>
        <v>0.0148856065446608</v>
      </c>
      <c r="M60" s="705" t="n">
        <f aca="false">'Cuenta Ahorro-Inversión-Financi'!AO27/1000/'PIB corriente base 2004'!X15</f>
        <v>0.00601299450657208</v>
      </c>
      <c r="N60" s="705" t="n">
        <f aca="false">'Cuenta Ahorro-Inversión-Financi'!AG27/1000/'PIB corriente base 2004'!X15</f>
        <v>0.0777457899698183</v>
      </c>
      <c r="O60" s="705" t="n">
        <f aca="false">'Cuenta Ahorro-Inversión-Financi'!M60+'Cuenta Ahorro-Inversión-Financi'!I60</f>
        <v>0.0837583491416052</v>
      </c>
      <c r="P60" s="702"/>
      <c r="Q60" s="713" t="n">
        <v>2011</v>
      </c>
      <c r="R60" s="721" t="n">
        <f aca="false">'Cuenta Ahorro-Inversión-Financi'!BF27/1000/'PIB corriente base 2004'!X15</f>
        <v>0.0559923504050296</v>
      </c>
      <c r="S60" s="721"/>
      <c r="T60" s="721" t="n">
        <f aca="false">'Cuenta Ahorro-Inversión-Financi'!BX27/1000/'PIB corriente base 2004'!X15</f>
        <v>0.0129869169225331</v>
      </c>
      <c r="U60" s="721" t="n">
        <f aca="false">'Cuenta Ahorro-Inversión-Financi'!T60+'Cuenta Ahorro-Inversión-Financi'!R60+(('Cuenta Ahorro-Inversión-Financi'!AY27+'Cuenta Ahorro-Inversión-Financi'!BC27)/1000/'PIB corriente base 2004'!X15)</f>
        <v>0.0711714016656091</v>
      </c>
      <c r="V60" s="721" t="n">
        <f aca="false">'Cuenta Ahorro-Inversión-Financi'!BN27/1000/'PIB corriente base 2004'!X15</f>
        <v>0.0129869169225331</v>
      </c>
      <c r="W60" s="707" t="n">
        <f aca="false">'Cuenta Ahorro-Inversión-Financi'!AX27/1000/'PIB corriente base 2004'!X15</f>
        <v>0.0711714016656091</v>
      </c>
      <c r="X60" s="707" t="n">
        <f aca="false">W60</f>
        <v>0.0711714016656091</v>
      </c>
      <c r="Y60" s="707" t="n">
        <f aca="false">'Cuenta Ahorro-Inversión-Financi'!CM27/1000/'PIB corriente base 2004'!X15</f>
        <v>0.00103133324512357</v>
      </c>
      <c r="Z60" s="707" t="n">
        <f aca="false">('Cuenta Ahorro-Inversión-Financi'!CG27)/1000/'PIB corriente base 2004'!X15+'Cuenta Ahorro-Inversión-Financi'!Y60</f>
        <v>0.0737775476263434</v>
      </c>
      <c r="AA60" s="707" t="n">
        <f aca="false">('Cuenta Ahorro-Inversión-Financi'!CG27-'Cuenta Ahorro-Inversión-Financi'!AY27)/1000/'PIB corriente base 2004'!X15</f>
        <v>0.0705574903290108</v>
      </c>
      <c r="AB60" s="702"/>
      <c r="AC60" s="714" t="n">
        <v>2011</v>
      </c>
      <c r="AD60" s="709" t="n">
        <f aca="false">'Cuenta Ahorro-Inversión-Financi'!J60-'Cuenta Ahorro-Inversión-Financi'!X60</f>
        <v>0.00657395296942401</v>
      </c>
      <c r="AE60" s="709" t="n">
        <f aca="false">'Cuenta Ahorro-Inversión-Financi'!F60-'Cuenta Ahorro-Inversión-Financi'!R60</f>
        <v>-0.00436840339564363</v>
      </c>
      <c r="AF60" s="709" t="n">
        <f aca="false">'Cuenta Ahorro-Inversión-Financi'!I60-'Cuenta Ahorro-Inversión-Financi'!U60-'Cuenta Ahorro-Inversión-Financi'!H60</f>
        <v>0.00150807089142546</v>
      </c>
      <c r="AG60" s="709" t="n">
        <f aca="false">'Cuenta Ahorro-Inversión-Financi'!I60-'Cuenta Ahorro-Inversión-Financi'!U60</f>
        <v>0.00657395296942401</v>
      </c>
      <c r="AH60" s="709" t="n">
        <f aca="false">'Cuenta Ahorro-Inversión-Financi'!O60-'Cuenta Ahorro-Inversión-Financi'!U60</f>
        <v>0.0125869474759961</v>
      </c>
      <c r="AI60" s="709" t="n">
        <f aca="false">'Cuenta Ahorro-Inversión-Financi'!F60-('Cuenta Ahorro-Inversión-Financi'!BF27+'Cuenta Ahorro-Inversión-Financi'!BR27)/'PIB corriente base 2004'!X15/1000</f>
        <v>-0.0153483958005436</v>
      </c>
      <c r="AJ60" s="456" t="n">
        <f aca="false">'Cuenta Ahorro-Inversión-Financi'!AH60-'Cuenta Ahorro-Inversión-Financi'!H60</f>
        <v>0.00752106539799753</v>
      </c>
      <c r="AN60" s="710" t="n">
        <v>2011</v>
      </c>
      <c r="AO60" s="709" t="n">
        <f aca="false">'Cuenta Ahorro-Inversión-Financi'!I60</f>
        <v>0.0777453546350332</v>
      </c>
      <c r="AP60" s="709" t="n">
        <f aca="false">'Cuenta Ahorro-Inversión-Financi'!F60</f>
        <v>0.051623947009386</v>
      </c>
      <c r="AQ60" s="709" t="n">
        <v>0</v>
      </c>
      <c r="AR60" s="709" t="n">
        <f aca="false">'Cuenta Ahorro-Inversión-Financi'!L60</f>
        <v>0.0148856065446608</v>
      </c>
      <c r="AS60" s="709" t="n">
        <f aca="false">'Cuenta Ahorro-Inversión-Financi'!T60+'Cuenta Ahorro-Inversión-Financi'!R60+(('Cuenta Ahorro-Inversión-Financi'!BC27-'Cuenta Ahorro-Inversión-Financi'!BL27-'Cuenta Ahorro-Inversión-Financi'!BV27-'Cuenta Ahorro-Inversión-Financi'!BW27)/1000/'PIB corriente base 2004'!X15)</f>
        <v>0.0685120828029566</v>
      </c>
      <c r="AT60" s="709" t="n">
        <f aca="false">'Cuenta Ahorro-Inversión-Financi'!T60+'Cuenta Ahorro-Inversión-Financi'!R60+(('Cuenta Ahorro-Inversión-Financi'!BC27-'Cuenta Ahorro-Inversión-Financi'!BL27-'Cuenta Ahorro-Inversión-Financi'!BV27-'Cuenta Ahorro-Inversión-Financi'!BW27-'Cuenta Ahorro-Inversión-Financi'!BP27-'Cuenta Ahorro-Inversión-Financi'!BQ27)/1000/'PIB corriente base 2004'!X15)</f>
        <v>0.0678471828728429</v>
      </c>
      <c r="AU60" s="709" t="n">
        <f aca="false">'Cuenta Ahorro-Inversión-Financi'!U60</f>
        <v>0.0711714016656091</v>
      </c>
      <c r="AV60" s="709" t="n">
        <f aca="false">('Cuenta Ahorro-Inversión-Financi'!CH27+'Cuenta Ahorro-Inversión-Financi'!BZ27)/'PIB corriente base 2004'!X15/1000+'Cuenta Ahorro-Inversión-Financi'!Y60</f>
        <v>0.0131305983772762</v>
      </c>
      <c r="AW60" s="709" t="n">
        <f aca="false">'Cuenta Ahorro-Inversión-Financi'!AP60-'Cuenta Ahorro-Inversión-Financi'!AT60</f>
        <v>-0.016223235863457</v>
      </c>
      <c r="AX60" s="709" t="n">
        <f aca="false">'Cuenta Ahorro-Inversión-Financi'!AO60-'Cuenta Ahorro-Inversión-Financi'!AU60</f>
        <v>0.00657395296942401</v>
      </c>
      <c r="AY60" s="709" t="n">
        <f aca="false">'Cuenta Ahorro-Inversión-Financi'!AO60+'Cuenta Ahorro-Inversión-Financi'!AQ60+'Cuenta Ahorro-Inversión-Financi'!AR60-'Cuenta Ahorro-Inversión-Financi'!AU60-'Cuenta Ahorro-Inversión-Financi'!AV60</f>
        <v>0.00832896113680864</v>
      </c>
      <c r="AZ60" s="709" t="n">
        <f aca="false">'Cuenta Ahorro-Inversión-Financi'!AY60-'Cuenta Ahorro-Inversión-Financi'!H60</f>
        <v>0.00326307905881009</v>
      </c>
      <c r="BA60" s="456" t="n">
        <f aca="false">AU60+AV60</f>
        <v>0.0843020000428853</v>
      </c>
      <c r="BB60" s="456" t="n">
        <v>0.00149948086973943</v>
      </c>
      <c r="BC60" s="456" t="n">
        <v>0.0065365075158373</v>
      </c>
      <c r="BX60" s="1" t="n">
        <f aca="false">'Cuenta Ahorro-Inversión-Financi'!BF23+'Cuenta Ahorro-Inversión-Financi'!BS23</f>
        <v>45556998.66738</v>
      </c>
      <c r="BY60" s="456" t="n">
        <f aca="false">'Cuenta Ahorro-Inversión-Financi'!BS23/'Cuenta Ahorro-Inversión-Financi'!BX60</f>
        <v>0.0356068681344343</v>
      </c>
    </row>
    <row r="61" customFormat="false" ht="14.45" hidden="false" customHeight="true" outlineLevel="0" collapsed="false">
      <c r="A61" s="702"/>
      <c r="B61" s="702"/>
      <c r="C61" s="702"/>
      <c r="D61" s="702"/>
      <c r="E61" s="704" t="n">
        <v>2012</v>
      </c>
      <c r="F61" s="712" t="n">
        <f aca="false">'Cuenta Ahorro-Inversión-Financi'!T28/1000/'PIB corriente base 2004'!X16</f>
        <v>0.055778278265298</v>
      </c>
      <c r="G61" s="712" t="n">
        <f aca="false">('Cuenta Ahorro-Inversión-Financi'!G28+'Cuenta Ahorro-Inversión-Financi'!S28)/1000/'PIB corriente base 2004'!X16</f>
        <v>0.0224400989125377</v>
      </c>
      <c r="H61" s="712" t="n">
        <f aca="false">'Cuenta Ahorro-Inversión-Financi'!X28/1000/'PIB corriente base 2004'!X16</f>
        <v>0.00657689666047515</v>
      </c>
      <c r="I61" s="712" t="n">
        <f aca="false">'Cuenta Ahorro-Inversión-Financi'!J61</f>
        <v>0.0847952738383109</v>
      </c>
      <c r="J61" s="712" t="n">
        <f aca="false">'Cuenta Ahorro-Inversión-Financi'!F28/1000/'PIB corriente base 2004'!X16</f>
        <v>0.0847952738383109</v>
      </c>
      <c r="K61" s="712" t="n">
        <f aca="false">'Cuenta Ahorro-Inversión-Financi'!T28/1000/'PIB corriente base 2004'!X16</f>
        <v>0.055778278265298</v>
      </c>
      <c r="L61" s="712" t="n">
        <f aca="false">'Cuenta Ahorro-Inversión-Financi'!AI28/1000/'PIB corriente base 2004'!X16</f>
        <v>0.0155583049965991</v>
      </c>
      <c r="M61" s="712" t="n">
        <f aca="false">'Cuenta Ahorro-Inversión-Financi'!AO28/1000/'PIB corriente base 2004'!X16</f>
        <v>0.00341523495437666</v>
      </c>
      <c r="N61" s="717" t="n">
        <f aca="false">'Cuenta Ahorro-Inversión-Financi'!AG28/1000/'PIB corriente base 2004'!X16</f>
        <v>0.0847957449746222</v>
      </c>
      <c r="O61" s="717" t="n">
        <f aca="false">'Cuenta Ahorro-Inversión-Financi'!M61+'Cuenta Ahorro-Inversión-Financi'!I61</f>
        <v>0.0882105087926875</v>
      </c>
      <c r="P61" s="702"/>
      <c r="Q61" s="713" t="n">
        <v>2012</v>
      </c>
      <c r="R61" s="712" t="n">
        <f aca="false">'Cuenta Ahorro-Inversión-Financi'!BF28/1000/'PIB corriente base 2004'!X16</f>
        <v>0.0639576874295608</v>
      </c>
      <c r="S61" s="712"/>
      <c r="T61" s="712" t="n">
        <f aca="false">'Cuenta Ahorro-Inversión-Financi'!BX28/1000/'PIB corriente base 2004'!X16</f>
        <v>0.0122469232596296</v>
      </c>
      <c r="U61" s="712" t="n">
        <f aca="false">'Cuenta Ahorro-Inversión-Financi'!T61+'Cuenta Ahorro-Inversión-Financi'!R61+(('Cuenta Ahorro-Inversión-Financi'!AY28+'Cuenta Ahorro-Inversión-Financi'!BC28)/1000/'PIB corriente base 2004'!X16)</f>
        <v>0.0785714228908752</v>
      </c>
      <c r="V61" s="712" t="n">
        <f aca="false">'Cuenta Ahorro-Inversión-Financi'!BN28/1000/'PIB corriente base 2004'!X16</f>
        <v>0.0122469232596296</v>
      </c>
      <c r="W61" s="712" t="n">
        <f aca="false">'Cuenta Ahorro-Inversión-Financi'!AX28/1000/'PIB corriente base 2004'!X16</f>
        <v>0.0785714228908752</v>
      </c>
      <c r="X61" s="712" t="n">
        <f aca="false">W61</f>
        <v>0.0785714228908752</v>
      </c>
      <c r="Y61" s="712" t="n">
        <f aca="false">'Cuenta Ahorro-Inversión-Financi'!CM28/1000/'PIB corriente base 2004'!X16</f>
        <v>0.00123537014000835</v>
      </c>
      <c r="Z61" s="712" t="n">
        <f aca="false">('Cuenta Ahorro-Inversión-Financi'!CG28)/1000/'PIB corriente base 2004'!X16+'Cuenta Ahorro-Inversión-Financi'!Y61</f>
        <v>0.0801052163522867</v>
      </c>
      <c r="AA61" s="712" t="n">
        <f aca="false">('Cuenta Ahorro-Inversión-Financi'!CG28-'Cuenta Ahorro-Inversión-Financi'!AY28)/1000/'PIB corriente base 2004'!X16</f>
        <v>0.0765049823293961</v>
      </c>
      <c r="AB61" s="702"/>
      <c r="AC61" s="714" t="n">
        <v>2012</v>
      </c>
      <c r="AD61" s="712" t="n">
        <f aca="false">'Cuenta Ahorro-Inversión-Financi'!J61-'Cuenta Ahorro-Inversión-Financi'!X61</f>
        <v>0.00622385094743566</v>
      </c>
      <c r="AE61" s="712" t="n">
        <f aca="false">'Cuenta Ahorro-Inversión-Financi'!F61-'Cuenta Ahorro-Inversión-Financi'!R61</f>
        <v>-0.0081794091642628</v>
      </c>
      <c r="AF61" s="712" t="n">
        <f aca="false">'Cuenta Ahorro-Inversión-Financi'!I61-'Cuenta Ahorro-Inversión-Financi'!U61-'Cuenta Ahorro-Inversión-Financi'!H61</f>
        <v>-0.000353045713039486</v>
      </c>
      <c r="AG61" s="712" t="n">
        <f aca="false">'Cuenta Ahorro-Inversión-Financi'!I61-'Cuenta Ahorro-Inversión-Financi'!U61</f>
        <v>0.00622385094743566</v>
      </c>
      <c r="AH61" s="712" t="n">
        <f aca="false">'Cuenta Ahorro-Inversión-Financi'!O61-'Cuenta Ahorro-Inversión-Financi'!U61</f>
        <v>0.00963908590181232</v>
      </c>
      <c r="AI61" s="712" t="n">
        <f aca="false">'Cuenta Ahorro-Inversión-Financi'!F61-('Cuenta Ahorro-Inversión-Financi'!BF28+'Cuenta Ahorro-Inversión-Financi'!BR28)/'PIB corriente base 2004'!X16/1000</f>
        <v>-0.018134562253195</v>
      </c>
      <c r="AJ61" s="456" t="n">
        <f aca="false">'Cuenta Ahorro-Inversión-Financi'!AH61-'Cuenta Ahorro-Inversión-Financi'!H61</f>
        <v>0.00306218924133718</v>
      </c>
      <c r="AN61" s="710" t="n">
        <v>2012</v>
      </c>
      <c r="AO61" s="712" t="n">
        <f aca="false">'Cuenta Ahorro-Inversión-Financi'!I61</f>
        <v>0.0847952738383109</v>
      </c>
      <c r="AP61" s="712" t="n">
        <f aca="false">'Cuenta Ahorro-Inversión-Financi'!F61</f>
        <v>0.055778278265298</v>
      </c>
      <c r="AQ61" s="712" t="n">
        <v>0</v>
      </c>
      <c r="AR61" s="712" t="n">
        <f aca="false">'Cuenta Ahorro-Inversión-Financi'!L61</f>
        <v>0.0155583049965991</v>
      </c>
      <c r="AS61" s="712" t="n">
        <f aca="false">'Cuenta Ahorro-Inversión-Financi'!T61+'Cuenta Ahorro-Inversión-Financi'!R61+(('Cuenta Ahorro-Inversión-Financi'!BC28-'Cuenta Ahorro-Inversión-Financi'!BL28-'Cuenta Ahorro-Inversión-Financi'!BV28-'Cuenta Ahorro-Inversión-Financi'!BW28)/1000/'PIB corriente base 2004'!X16)</f>
        <v>0.0756743176901236</v>
      </c>
      <c r="AT61" s="712" t="n">
        <f aca="false">'Cuenta Ahorro-Inversión-Financi'!T61+'Cuenta Ahorro-Inversión-Financi'!R61+(('Cuenta Ahorro-Inversión-Financi'!BC28-'Cuenta Ahorro-Inversión-Financi'!BL28-'Cuenta Ahorro-Inversión-Financi'!BV28-'Cuenta Ahorro-Inversión-Financi'!BW28-'Cuenta Ahorro-Inversión-Financi'!BP28-'Cuenta Ahorro-Inversión-Financi'!BQ28)/1000/'PIB corriente base 2004'!X16)</f>
        <v>0.0753118641967782</v>
      </c>
      <c r="AU61" s="712" t="n">
        <f aca="false">'Cuenta Ahorro-Inversión-Financi'!U61</f>
        <v>0.0785714228908752</v>
      </c>
      <c r="AV61" s="712" t="n">
        <f aca="false">('Cuenta Ahorro-Inversión-Financi'!CH28+'Cuenta Ahorro-Inversión-Financi'!BZ28)/'PIB corriente base 2004'!X16/1000+'Cuenta Ahorro-Inversión-Financi'!Y61</f>
        <v>0.0141536417732696</v>
      </c>
      <c r="AW61" s="712" t="n">
        <f aca="false">'Cuenta Ahorro-Inversión-Financi'!AP61-'Cuenta Ahorro-Inversión-Financi'!AT61</f>
        <v>-0.0195335859314802</v>
      </c>
      <c r="AX61" s="712" t="n">
        <f aca="false">'Cuenta Ahorro-Inversión-Financi'!AO61-'Cuenta Ahorro-Inversión-Financi'!AU61</f>
        <v>0.00622385094743566</v>
      </c>
      <c r="AY61" s="712" t="n">
        <f aca="false">'Cuenta Ahorro-Inversión-Financi'!AO61+'Cuenta Ahorro-Inversión-Financi'!AQ61+'Cuenta Ahorro-Inversión-Financi'!AR61-'Cuenta Ahorro-Inversión-Financi'!AU61-'Cuenta Ahorro-Inversión-Financi'!AV61</f>
        <v>0.00762851417076517</v>
      </c>
      <c r="AZ61" s="712" t="n">
        <f aca="false">'Cuenta Ahorro-Inversión-Financi'!AY61-'Cuenta Ahorro-Inversión-Financi'!H61</f>
        <v>0.00105161751029002</v>
      </c>
      <c r="BA61" s="456" t="n">
        <f aca="false">AU61+AV61</f>
        <v>0.0927250646641448</v>
      </c>
      <c r="BB61" s="456" t="n">
        <v>-0.000351145478501055</v>
      </c>
      <c r="BC61" s="456" t="n">
        <v>0.0061903516693078</v>
      </c>
      <c r="BX61" s="1" t="n">
        <f aca="false">'Cuenta Ahorro-Inversión-Financi'!BF24+'Cuenta Ahorro-Inversión-Financi'!BS24</f>
        <v>57637229.34681</v>
      </c>
      <c r="BY61" s="456" t="n">
        <f aca="false">'Cuenta Ahorro-Inversión-Financi'!BS24/'Cuenta Ahorro-Inversión-Financi'!BX61</f>
        <v>0.0350712226808639</v>
      </c>
    </row>
    <row r="62" customFormat="false" ht="14.45" hidden="false" customHeight="true" outlineLevel="0" collapsed="false">
      <c r="A62" s="702"/>
      <c r="B62" s="702"/>
      <c r="C62" s="702"/>
      <c r="D62" s="702"/>
      <c r="E62" s="704" t="s">
        <v>899</v>
      </c>
      <c r="F62" s="705" t="n">
        <f aca="false">'Cuenta Ahorro-Inversión-Financi'!T29/1000/'PIB corriente base 2004'!X17</f>
        <v>0.0576719027752101</v>
      </c>
      <c r="G62" s="705" t="n">
        <f aca="false">('Cuenta Ahorro-Inversión-Financi'!G29+'Cuenta Ahorro-Inversión-Financi'!S29)/1000/'PIB corriente base 2004'!X17</f>
        <v>0.0223318530313047</v>
      </c>
      <c r="H62" s="705" t="n">
        <f aca="false">'Cuenta Ahorro-Inversión-Financi'!X29/1000/'PIB corriente base 2004'!X17</f>
        <v>0.00683124675183988</v>
      </c>
      <c r="I62" s="705" t="n">
        <f aca="false">'Cuenta Ahorro-Inversión-Financi'!J62</f>
        <v>0.0868350025583547</v>
      </c>
      <c r="J62" s="705" t="n">
        <f aca="false">'Cuenta Ahorro-Inversión-Financi'!F29/1000/'PIB corriente base 2004'!X17</f>
        <v>0.0868350025583547</v>
      </c>
      <c r="K62" s="705" t="n">
        <f aca="false">'Cuenta Ahorro-Inversión-Financi'!T29/1000/'PIB corriente base 2004'!X17</f>
        <v>0.0576719027752101</v>
      </c>
      <c r="L62" s="705" t="n">
        <f aca="false">SUM('Cuenta Ahorro-Inversión-Financi'!AI29:AM29)/1000/'PIB corriente base 2004'!X17</f>
        <v>0.0171367306825722</v>
      </c>
      <c r="M62" s="705" t="n">
        <f aca="false">'Cuenta Ahorro-Inversión-Financi'!AO29/1000/'PIB corriente base 2004'!X17</f>
        <v>0.00370355972287239</v>
      </c>
      <c r="N62" s="705" t="n">
        <f aca="false">'Cuenta Ahorro-Inversión-Financi'!AG29/1000/'PIB corriente base 2004'!X17</f>
        <v>0.0868350423362367</v>
      </c>
      <c r="O62" s="705" t="n">
        <f aca="false">'Cuenta Ahorro-Inversión-Financi'!M62+'Cuenta Ahorro-Inversión-Financi'!I62</f>
        <v>0.090538562281227</v>
      </c>
      <c r="P62" s="702"/>
      <c r="Q62" s="713" t="n">
        <v>2013</v>
      </c>
      <c r="R62" s="721" t="n">
        <f aca="false">'Cuenta Ahorro-Inversión-Financi'!BF29/1000/'PIB corriente base 2004'!X17</f>
        <v>0.0665922944987349</v>
      </c>
      <c r="S62" s="721"/>
      <c r="T62" s="721" t="n">
        <f aca="false">'Cuenta Ahorro-Inversión-Financi'!BX29/1000/'PIB corriente base 2004'!X17</f>
        <v>0.0131002920580577</v>
      </c>
      <c r="U62" s="721" t="n">
        <f aca="false">'Cuenta Ahorro-Inversión-Financi'!T62+'Cuenta Ahorro-Inversión-Financi'!R62+(('Cuenta Ahorro-Inversión-Financi'!AY29+'Cuenta Ahorro-Inversión-Financi'!BC29)/1000/'PIB corriente base 2004'!X17)</f>
        <v>0.0818006561264896</v>
      </c>
      <c r="V62" s="721" t="n">
        <f aca="false">'Cuenta Ahorro-Inversión-Financi'!BN29/1000/'PIB corriente base 2004'!X17</f>
        <v>0.0131002920580577</v>
      </c>
      <c r="W62" s="707" t="n">
        <f aca="false">'Cuenta Ahorro-Inversión-Financi'!AX29/1000/'PIB corriente base 2004'!X17</f>
        <v>0.0818006561264897</v>
      </c>
      <c r="X62" s="707" t="n">
        <f aca="false">W62</f>
        <v>0.0818006561264897</v>
      </c>
      <c r="Y62" s="707" t="n">
        <f aca="false">'Cuenta Ahorro-Inversión-Financi'!CM29/1000/'PIB corriente base 2004'!X17</f>
        <v>0.00166967888999977</v>
      </c>
      <c r="Z62" s="707" t="n">
        <f aca="false">('Cuenta Ahorro-Inversión-Financi'!CG29)/1000/'PIB corriente base 2004'!X17+'Cuenta Ahorro-Inversión-Financi'!Y62</f>
        <v>0.0846589840875483</v>
      </c>
      <c r="AA62" s="707" t="n">
        <f aca="false">('Cuenta Ahorro-Inversión-Financi'!CG29-'Cuenta Ahorro-Inversión-Financi'!AY29)/1000/'PIB corriente base 2004'!X17</f>
        <v>0.0808859149821987</v>
      </c>
      <c r="AB62" s="702"/>
      <c r="AC62" s="714" t="n">
        <v>2013</v>
      </c>
      <c r="AD62" s="709" t="n">
        <f aca="false">'Cuenta Ahorro-Inversión-Financi'!J62-'Cuenta Ahorro-Inversión-Financi'!X62</f>
        <v>0.005034346431865</v>
      </c>
      <c r="AE62" s="709" t="n">
        <f aca="false">'Cuenta Ahorro-Inversión-Financi'!F62-'Cuenta Ahorro-Inversión-Financi'!R62</f>
        <v>-0.00892039172352486</v>
      </c>
      <c r="AF62" s="709" t="n">
        <f aca="false">'Cuenta Ahorro-Inversión-Financi'!I62-'Cuenta Ahorro-Inversión-Financi'!U62-'Cuenta Ahorro-Inversión-Financi'!H62</f>
        <v>-0.00179690031997486</v>
      </c>
      <c r="AG62" s="709" t="n">
        <f aca="false">'Cuenta Ahorro-Inversión-Financi'!I62-'Cuenta Ahorro-Inversión-Financi'!U62</f>
        <v>0.00503434643186503</v>
      </c>
      <c r="AH62" s="709" t="n">
        <f aca="false">'Cuenta Ahorro-Inversión-Financi'!O62-'Cuenta Ahorro-Inversión-Financi'!U62</f>
        <v>0.00873790615473741</v>
      </c>
      <c r="AI62" s="709" t="n">
        <f aca="false">'Cuenta Ahorro-Inversión-Financi'!F62-('Cuenta Ahorro-Inversión-Financi'!BF29+'Cuenta Ahorro-Inversión-Financi'!BR29)/'PIB corriente base 2004'!X17/1000</f>
        <v>-0.0196350638176708</v>
      </c>
      <c r="AJ62" s="456" t="n">
        <f aca="false">'Cuenta Ahorro-Inversión-Financi'!AH62-'Cuenta Ahorro-Inversión-Financi'!H62</f>
        <v>0.00190665940289753</v>
      </c>
      <c r="AN62" s="710" t="n">
        <v>2013</v>
      </c>
      <c r="AO62" s="709" t="n">
        <f aca="false">'Cuenta Ahorro-Inversión-Financi'!I62</f>
        <v>0.0868350025583547</v>
      </c>
      <c r="AP62" s="709" t="n">
        <f aca="false">'Cuenta Ahorro-Inversión-Financi'!F62</f>
        <v>0.0576719027752101</v>
      </c>
      <c r="AQ62" s="709" t="n">
        <v>0</v>
      </c>
      <c r="AR62" s="709" t="n">
        <f aca="false">'Cuenta Ahorro-Inversión-Financi'!L62</f>
        <v>0.0171367306825722</v>
      </c>
      <c r="AS62" s="709" t="n">
        <f aca="false">'Cuenta Ahorro-Inversión-Financi'!T62+'Cuenta Ahorro-Inversión-Financi'!R62+(('Cuenta Ahorro-Inversión-Financi'!BC29-'Cuenta Ahorro-Inversión-Financi'!BL29-'Cuenta Ahorro-Inversión-Financi'!BV29-'Cuenta Ahorro-Inversión-Financi'!BW29)/1000/'PIB corriente base 2004'!X17)</f>
        <v>0.0791463813957239</v>
      </c>
      <c r="AT62" s="709" t="n">
        <f aca="false">'Cuenta Ahorro-Inversión-Financi'!T62+'Cuenta Ahorro-Inversión-Financi'!R62+(('Cuenta Ahorro-Inversión-Financi'!BC29-'Cuenta Ahorro-Inversión-Financi'!BL29-'Cuenta Ahorro-Inversión-Financi'!BV29-'Cuenta Ahorro-Inversión-Financi'!BW29-'Cuenta Ahorro-Inversión-Financi'!BP29-'Cuenta Ahorro-Inversión-Financi'!BQ29)/1000/'PIB corriente base 2004'!X17)</f>
        <v>0.0787710312694201</v>
      </c>
      <c r="AU62" s="709" t="n">
        <f aca="false">'Cuenta Ahorro-Inversión-Financi'!U62</f>
        <v>0.0818006561264896</v>
      </c>
      <c r="AV62" s="709" t="n">
        <f aca="false">('Cuenta Ahorro-Inversión-Financi'!CH29+'Cuenta Ahorro-Inversión-Financi'!BZ29)/'PIB corriente base 2004'!X17/1000+'Cuenta Ahorro-Inversión-Financi'!Y62</f>
        <v>0.0162914989207585</v>
      </c>
      <c r="AW62" s="709" t="n">
        <f aca="false">'Cuenta Ahorro-Inversión-Financi'!AP62-'Cuenta Ahorro-Inversión-Financi'!AT62</f>
        <v>-0.02109912849421</v>
      </c>
      <c r="AX62" s="709" t="n">
        <f aca="false">'Cuenta Ahorro-Inversión-Financi'!AO62-'Cuenta Ahorro-Inversión-Financi'!AU62</f>
        <v>0.00503434643186503</v>
      </c>
      <c r="AY62" s="709" t="n">
        <f aca="false">'Cuenta Ahorro-Inversión-Financi'!AO62+'Cuenta Ahorro-Inversión-Financi'!AQ62+'Cuenta Ahorro-Inversión-Financi'!AR62-'Cuenta Ahorro-Inversión-Financi'!AU62-'Cuenta Ahorro-Inversión-Financi'!AV62</f>
        <v>0.0058795781936787</v>
      </c>
      <c r="AZ62" s="709" t="n">
        <f aca="false">'Cuenta Ahorro-Inversión-Financi'!AY62-'Cuenta Ahorro-Inversión-Financi'!H62</f>
        <v>-0.000951668558161176</v>
      </c>
      <c r="BA62" s="456" t="n">
        <f aca="false">AU62+AV62</f>
        <v>0.0980921550472481</v>
      </c>
      <c r="BB62" s="456" t="n">
        <v>-0.00178998773781633</v>
      </c>
      <c r="BC62" s="456" t="n">
        <v>0.00501497956274159</v>
      </c>
      <c r="BX62" s="1" t="n">
        <f aca="false">'Cuenta Ahorro-Inversión-Financi'!BF25+'Cuenta Ahorro-Inversión-Financi'!BS25</f>
        <v>73450181.24101</v>
      </c>
      <c r="BY62" s="456" t="n">
        <f aca="false">'Cuenta Ahorro-Inversión-Financi'!BS25/'Cuenta Ahorro-Inversión-Financi'!BX62</f>
        <v>0.0346832264668074</v>
      </c>
    </row>
    <row r="63" customFormat="false" ht="14.45" hidden="false" customHeight="true" outlineLevel="0" collapsed="false">
      <c r="A63" s="702"/>
      <c r="B63" s="702"/>
      <c r="C63" s="702"/>
      <c r="D63" s="702"/>
      <c r="E63" s="704" t="s">
        <v>901</v>
      </c>
      <c r="F63" s="712" t="n">
        <f aca="false">'Cuenta Ahorro-Inversión-Financi'!T30/1000/'PIB corriente base 2004'!X18</f>
        <v>0.0542098068652894</v>
      </c>
      <c r="G63" s="712" t="n">
        <f aca="false">('Cuenta Ahorro-Inversión-Financi'!G30+'Cuenta Ahorro-Inversión-Financi'!S30)/1000/'PIB corriente base 2004'!X18</f>
        <v>0.0225793750807335</v>
      </c>
      <c r="H63" s="712" t="n">
        <f aca="false">'Cuenta Ahorro-Inversión-Financi'!X30/1000/'PIB corriente base 2004'!X18</f>
        <v>0.00838241527111434</v>
      </c>
      <c r="I63" s="712" t="n">
        <f aca="false">'Cuenta Ahorro-Inversión-Financi'!J63</f>
        <v>0.0851715972171373</v>
      </c>
      <c r="J63" s="712" t="n">
        <f aca="false">'Cuenta Ahorro-Inversión-Financi'!F30/1000/'PIB corriente base 2004'!X18</f>
        <v>0.0851715972171373</v>
      </c>
      <c r="K63" s="712" t="n">
        <f aca="false">'Cuenta Ahorro-Inversión-Financi'!T30/1000/'PIB corriente base 2004'!X18</f>
        <v>0.0542098068652894</v>
      </c>
      <c r="L63" s="712" t="n">
        <f aca="false">SUM('Cuenta Ahorro-Inversión-Financi'!AI30:AM30)/1000/'PIB corriente base 2004'!X18</f>
        <v>0.0175040087963095</v>
      </c>
      <c r="M63" s="712" t="n">
        <f aca="false">'Cuenta Ahorro-Inversión-Financi'!AO30/1000/'PIB corriente base 2004'!X18</f>
        <v>0.00420112112720762</v>
      </c>
      <c r="N63" s="717" t="n">
        <f aca="false">'Cuenta Ahorro-Inversión-Financi'!AG30/1000/'PIB corriente base 2004'!X18</f>
        <v>0.0851719902748311</v>
      </c>
      <c r="O63" s="717" t="n">
        <f aca="false">'Cuenta Ahorro-Inversión-Financi'!M63+'Cuenta Ahorro-Inversión-Financi'!I63</f>
        <v>0.0893727183443449</v>
      </c>
      <c r="P63" s="702"/>
      <c r="Q63" s="713" t="n">
        <v>2014</v>
      </c>
      <c r="R63" s="712" t="n">
        <f aca="false">'Cuenta Ahorro-Inversión-Financi'!BF30/1000/'PIB corriente base 2004'!X18</f>
        <v>0.0645559228265026</v>
      </c>
      <c r="S63" s="712"/>
      <c r="T63" s="712" t="n">
        <f aca="false">'Cuenta Ahorro-Inversión-Financi'!BX30/1000/'PIB corriente base 2004'!X18</f>
        <v>0.0130023586657087</v>
      </c>
      <c r="U63" s="712" t="n">
        <f aca="false">'Cuenta Ahorro-Inversión-Financi'!T63+'Cuenta Ahorro-Inversión-Financi'!R63+(('Cuenta Ahorro-Inversión-Financi'!AY30+'Cuenta Ahorro-Inversión-Financi'!BC30)/1000/'PIB corriente base 2004'!X18)</f>
        <v>0.0796396153072454</v>
      </c>
      <c r="V63" s="712" t="n">
        <f aca="false">'Cuenta Ahorro-Inversión-Financi'!BN30/1000/'PIB corriente base 2004'!X18</f>
        <v>0.013735278412184</v>
      </c>
      <c r="W63" s="712" t="n">
        <f aca="false">'Cuenta Ahorro-Inversión-Financi'!AX30/1000/'PIB corriente base 2004'!X18</f>
        <v>0.0796396153072454</v>
      </c>
      <c r="X63" s="712" t="n">
        <f aca="false">W63</f>
        <v>0.0796396153072454</v>
      </c>
      <c r="Y63" s="712" t="n">
        <f aca="false">'Cuenta Ahorro-Inversión-Financi'!CM30/1000/'PIB corriente base 2004'!X18</f>
        <v>0.00180520724704594</v>
      </c>
      <c r="Z63" s="712" t="n">
        <f aca="false">('Cuenta Ahorro-Inversión-Financi'!CG30)/1000/'PIB corriente base 2004'!X18+'Cuenta Ahorro-Inversión-Financi'!Y63</f>
        <v>0.0822831668291991</v>
      </c>
      <c r="AA63" s="712" t="n">
        <f aca="false">('Cuenta Ahorro-Inversión-Financi'!CG30-'Cuenta Ahorro-Inversión-Financi'!AY30)/1000/'PIB corriente base 2004'!X18</f>
        <v>0.0783996393205831</v>
      </c>
      <c r="AB63" s="702"/>
      <c r="AC63" s="714" t="n">
        <v>2014</v>
      </c>
      <c r="AD63" s="712" t="n">
        <f aca="false">'Cuenta Ahorro-Inversión-Financi'!J63-'Cuenta Ahorro-Inversión-Financi'!X63</f>
        <v>0.00553198190989185</v>
      </c>
      <c r="AE63" s="712" t="n">
        <f aca="false">'Cuenta Ahorro-Inversión-Financi'!F63-'Cuenta Ahorro-Inversión-Financi'!R63</f>
        <v>-0.0103461159612132</v>
      </c>
      <c r="AF63" s="712" t="n">
        <f aca="false">'Cuenta Ahorro-Inversión-Financi'!I63-'Cuenta Ahorro-Inversión-Financi'!U63-'Cuenta Ahorro-Inversión-Financi'!H63</f>
        <v>-0.00285043336122248</v>
      </c>
      <c r="AG63" s="712" t="n">
        <f aca="false">'Cuenta Ahorro-Inversión-Financi'!I63-'Cuenta Ahorro-Inversión-Financi'!U63</f>
        <v>0.00553198190989186</v>
      </c>
      <c r="AH63" s="712" t="n">
        <f aca="false">'Cuenta Ahorro-Inversión-Financi'!O63-'Cuenta Ahorro-Inversión-Financi'!U63</f>
        <v>0.00973310303709948</v>
      </c>
      <c r="AI63" s="712" t="n">
        <f aca="false">'Cuenta Ahorro-Inversión-Financi'!F63-('Cuenta Ahorro-Inversión-Financi'!BF30+'Cuenta Ahorro-Inversión-Financi'!BR30)/'PIB corriente base 2004'!X18/1000</f>
        <v>-0.021754181101231</v>
      </c>
      <c r="AJ63" s="456" t="n">
        <f aca="false">'Cuenta Ahorro-Inversión-Financi'!AH63-'Cuenta Ahorro-Inversión-Financi'!H63</f>
        <v>0.00135068776598514</v>
      </c>
      <c r="AN63" s="710" t="n">
        <v>2014</v>
      </c>
      <c r="AO63" s="712" t="n">
        <f aca="false">'Cuenta Ahorro-Inversión-Financi'!I63</f>
        <v>0.0851715972171373</v>
      </c>
      <c r="AP63" s="712" t="n">
        <f aca="false">'Cuenta Ahorro-Inversión-Financi'!F63</f>
        <v>0.0542098068652894</v>
      </c>
      <c r="AQ63" s="712" t="n">
        <v>0</v>
      </c>
      <c r="AR63" s="712" t="n">
        <f aca="false">'Cuenta Ahorro-Inversión-Financi'!L63</f>
        <v>0.0175040087963095</v>
      </c>
      <c r="AS63" s="712" t="n">
        <f aca="false">'Cuenta Ahorro-Inversión-Financi'!T63+'Cuenta Ahorro-Inversión-Financi'!R63+(('Cuenta Ahorro-Inversión-Financi'!BC30-'Cuenta Ahorro-Inversión-Financi'!BL30-'Cuenta Ahorro-Inversión-Financi'!BV30-'Cuenta Ahorro-Inversión-Financi'!BW30)/1000/'PIB corriente base 2004'!X18)</f>
        <v>0.0763034143747544</v>
      </c>
      <c r="AT63" s="712" t="n">
        <f aca="false">'Cuenta Ahorro-Inversión-Financi'!T63+'Cuenta Ahorro-Inversión-Financi'!R63+(('Cuenta Ahorro-Inversión-Financi'!BC30-'Cuenta Ahorro-Inversión-Financi'!BL30-'Cuenta Ahorro-Inversión-Financi'!BV30-'Cuenta Ahorro-Inversión-Financi'!BW30-'Cuenta Ahorro-Inversión-Financi'!BP30-'Cuenta Ahorro-Inversión-Financi'!BQ30)/1000/'PIB corriente base 2004'!X18)</f>
        <v>0.0759516663570708</v>
      </c>
      <c r="AU63" s="712" t="n">
        <f aca="false">'Cuenta Ahorro-Inversión-Financi'!U63</f>
        <v>0.0796396153072454</v>
      </c>
      <c r="AV63" s="712" t="n">
        <f aca="false">('Cuenta Ahorro-Inversión-Financi'!CH30+'Cuenta Ahorro-Inversión-Financi'!BZ30)/'PIB corriente base 2004'!X18/1000+'Cuenta Ahorro-Inversión-Financi'!Y63</f>
        <v>0.0159464391910555</v>
      </c>
      <c r="AW63" s="712" t="n">
        <f aca="false">'Cuenta Ahorro-Inversión-Financi'!AP63-'Cuenta Ahorro-Inversión-Financi'!AT63</f>
        <v>-0.0217418594917814</v>
      </c>
      <c r="AX63" s="712" t="n">
        <f aca="false">'Cuenta Ahorro-Inversión-Financi'!AO63-'Cuenta Ahorro-Inversión-Financi'!AU63</f>
        <v>0.00553198190989186</v>
      </c>
      <c r="AY63" s="712" t="n">
        <f aca="false">'Cuenta Ahorro-Inversión-Financi'!AO63+'Cuenta Ahorro-Inversión-Financi'!AQ63+'Cuenta Ahorro-Inversión-Financi'!AR63-'Cuenta Ahorro-Inversión-Financi'!AU63-'Cuenta Ahorro-Inversión-Financi'!AV63</f>
        <v>0.00708955151514588</v>
      </c>
      <c r="AZ63" s="712" t="n">
        <f aca="false">'Cuenta Ahorro-Inversión-Financi'!AY63-'Cuenta Ahorro-Inversión-Financi'!H63</f>
        <v>-0.00129286375596846</v>
      </c>
      <c r="BA63" s="456" t="n">
        <f aca="false">AU63+AV63</f>
        <v>0.095586054498301</v>
      </c>
      <c r="BB63" s="456" t="n">
        <v>-0.00356029321928419</v>
      </c>
      <c r="BC63" s="456" t="n">
        <v>0.0047681788441756</v>
      </c>
      <c r="BX63" s="1" t="n">
        <f aca="false">'Cuenta Ahorro-Inversión-Financi'!BF26+'Cuenta Ahorro-Inversión-Financi'!BS26</f>
        <v>91521747.44181</v>
      </c>
      <c r="BY63" s="456" t="n">
        <f aca="false">'Cuenta Ahorro-Inversión-Financi'!BS26/'Cuenta Ahorro-Inversión-Financi'!BX63</f>
        <v>0.0345730058680512</v>
      </c>
    </row>
    <row r="64" customFormat="false" ht="14.45" hidden="false" customHeight="true" outlineLevel="0" collapsed="false">
      <c r="A64" s="702"/>
      <c r="B64" s="702"/>
      <c r="C64" s="702"/>
      <c r="D64" s="702"/>
      <c r="E64" s="724" t="s">
        <v>902</v>
      </c>
      <c r="F64" s="705" t="n">
        <f aca="false">'Cuenta Ahorro-Inversión-Financi'!T31/1000/'PIB corriente base 2004'!X19</f>
        <v>0.0564297158299164</v>
      </c>
      <c r="G64" s="705" t="n">
        <f aca="false">('Cuenta Ahorro-Inversión-Financi'!G31+'Cuenta Ahorro-Inversión-Financi'!S31)/1000/'PIB corriente base 2004'!X19</f>
        <v>0.0236426052651485</v>
      </c>
      <c r="H64" s="705" t="n">
        <f aca="false">'Cuenta Ahorro-Inversión-Financi'!X31/1000/'PIB corriente base 2004'!X19</f>
        <v>0.00893120932488722</v>
      </c>
      <c r="I64" s="705" t="n">
        <f aca="false">'Cuenta Ahorro-Inversión-Financi'!J64</f>
        <v>0.0890035304199522</v>
      </c>
      <c r="J64" s="705" t="n">
        <f aca="false">'Cuenta Ahorro-Inversión-Financi'!F31/1000/'PIB corriente base 2004'!X19</f>
        <v>0.0890035304199522</v>
      </c>
      <c r="K64" s="705" t="n">
        <f aca="false">'Cuenta Ahorro-Inversión-Financi'!T31/1000/'PIB corriente base 2004'!X19</f>
        <v>0.0564297158299164</v>
      </c>
      <c r="L64" s="705" t="n">
        <f aca="false">SUM('Cuenta Ahorro-Inversión-Financi'!AI31:AM31)/1000/'PIB corriente base 2004'!X19</f>
        <v>0.0178031916850921</v>
      </c>
      <c r="M64" s="705" t="n">
        <f aca="false">'Cuenta Ahorro-Inversión-Financi'!AO31/1000/'PIB corriente base 2004'!X19</f>
        <v>0.00362904076122233</v>
      </c>
      <c r="N64" s="705" t="n">
        <f aca="false">'Cuenta Ahorro-Inversión-Financi'!AG31/1000/'PIB corriente base 2004'!X19</f>
        <v>0.0890035625299765</v>
      </c>
      <c r="O64" s="705" t="n">
        <f aca="false">'Cuenta Ahorro-Inversión-Financi'!M64+'Cuenta Ahorro-Inversión-Financi'!I64</f>
        <v>0.0926325711811745</v>
      </c>
      <c r="P64" s="702"/>
      <c r="Q64" s="713" t="n">
        <v>2015</v>
      </c>
      <c r="R64" s="721" t="n">
        <f aca="false">'Cuenta Ahorro-Inversión-Financi'!BF31/1000/'PIB corriente base 2004'!X19</f>
        <v>0.0727904762035428</v>
      </c>
      <c r="S64" s="721"/>
      <c r="T64" s="721" t="n">
        <f aca="false">'Cuenta Ahorro-Inversión-Financi'!BX31/1000/'PIB corriente base 2004'!X19</f>
        <v>0.0142397374282983</v>
      </c>
      <c r="U64" s="721" t="n">
        <f aca="false">'Cuenta Ahorro-Inversión-Financi'!T64+'Cuenta Ahorro-Inversión-Financi'!R64+(('Cuenta Ahorro-Inversión-Financi'!AY31+'Cuenta Ahorro-Inversión-Financi'!BC31)/1000/'PIB corriente base 2004'!X19)</f>
        <v>0.0891294674359281</v>
      </c>
      <c r="V64" s="721" t="n">
        <f aca="false">'Cuenta Ahorro-Inversión-Financi'!BN31/1000/'PIB corriente base 2004'!X19</f>
        <v>0.0155820139455487</v>
      </c>
      <c r="W64" s="707" t="n">
        <f aca="false">'Cuenta Ahorro-Inversión-Financi'!AX31/1000/'PIB corriente base 2004'!X19</f>
        <v>0.0891294674359281</v>
      </c>
      <c r="X64" s="707" t="n">
        <f aca="false">W64</f>
        <v>0.0891294674359281</v>
      </c>
      <c r="Y64" s="707" t="n">
        <f aca="false">'Cuenta Ahorro-Inversión-Financi'!CM31/1000/'PIB corriente base 2004'!X19</f>
        <v>0.00171424659032606</v>
      </c>
      <c r="Z64" s="707" t="n">
        <f aca="false">('Cuenta Ahorro-Inversión-Financi'!CG31)/1000/'PIB corriente base 2004'!X19+'Cuenta Ahorro-Inversión-Financi'!Y64</f>
        <v>0.0912086949180605</v>
      </c>
      <c r="AA64" s="707" t="n">
        <f aca="false">('Cuenta Ahorro-Inversión-Financi'!CG31-'Cuenta Ahorro-Inversión-Financi'!AY31)/1000/'PIB corriente base 2004'!X19</f>
        <v>0.0873976374123707</v>
      </c>
      <c r="AB64" s="709"/>
      <c r="AC64" s="714" t="n">
        <v>2015</v>
      </c>
      <c r="AD64" s="709" t="n">
        <f aca="false">'Cuenta Ahorro-Inversión-Financi'!J64-'Cuenta Ahorro-Inversión-Financi'!X64</f>
        <v>-0.000125937015975991</v>
      </c>
      <c r="AE64" s="709" t="n">
        <f aca="false">'Cuenta Ahorro-Inversión-Financi'!F64-'Cuenta Ahorro-Inversión-Financi'!R64</f>
        <v>-0.0163607603736264</v>
      </c>
      <c r="AF64" s="709" t="n">
        <f aca="false">'Cuenta Ahorro-Inversión-Financi'!I64-'Cuenta Ahorro-Inversión-Financi'!U64-'Cuenta Ahorro-Inversión-Financi'!H64</f>
        <v>-0.0090571463408632</v>
      </c>
      <c r="AG64" s="709" t="n">
        <f aca="false">'Cuenta Ahorro-Inversión-Financi'!I64-'Cuenta Ahorro-Inversión-Financi'!U64</f>
        <v>-0.000125937015975977</v>
      </c>
      <c r="AH64" s="709" t="n">
        <f aca="false">'Cuenta Ahorro-Inversión-Financi'!O64-'Cuenta Ahorro-Inversión-Financi'!U64</f>
        <v>0.00350310374524636</v>
      </c>
      <c r="AI64" s="709" t="n">
        <f aca="false">'Cuenta Ahorro-Inversión-Financi'!F64-('Cuenta Ahorro-Inversión-Financi'!BF31+'Cuenta Ahorro-Inversión-Financi'!BR31-'Cuenta Ahorro-Inversión-Financi'!BV31)/'PIB corriente base 2004'!X19/1000</f>
        <v>-0.0281992343233266</v>
      </c>
      <c r="AJ64" s="456" t="n">
        <f aca="false">'Cuenta Ahorro-Inversión-Financi'!AH64-'Cuenta Ahorro-Inversión-Financi'!H64</f>
        <v>-0.00542810557964086</v>
      </c>
      <c r="AN64" s="710" t="n">
        <v>2015</v>
      </c>
      <c r="AO64" s="709" t="n">
        <f aca="false">'Cuenta Ahorro-Inversión-Financi'!I64</f>
        <v>0.0890035304199522</v>
      </c>
      <c r="AP64" s="709" t="n">
        <f aca="false">'Cuenta Ahorro-Inversión-Financi'!F64</f>
        <v>0.0564297158299164</v>
      </c>
      <c r="AQ64" s="709" t="n">
        <v>0</v>
      </c>
      <c r="AR64" s="709" t="n">
        <f aca="false">'Cuenta Ahorro-Inversión-Financi'!L64</f>
        <v>0.0178031916850921</v>
      </c>
      <c r="AS64" s="709" t="n">
        <f aca="false">'Cuenta Ahorro-Inversión-Financi'!T64+'Cuenta Ahorro-Inversión-Financi'!R64+(('Cuenta Ahorro-Inversión-Financi'!BC31-'Cuenta Ahorro-Inversión-Financi'!BL31-'Cuenta Ahorro-Inversión-Financi'!BV31-'Cuenta Ahorro-Inversión-Financi'!BW31)/1000/'PIB corriente base 2004'!X19)</f>
        <v>0.0851093604565191</v>
      </c>
      <c r="AT64" s="709" t="n">
        <f aca="false">'Cuenta Ahorro-Inversión-Financi'!T64+'Cuenta Ahorro-Inversión-Financi'!R64+(('Cuenta Ahorro-Inversión-Financi'!BC31-'Cuenta Ahorro-Inversión-Financi'!BL31-'Cuenta Ahorro-Inversión-Financi'!BV31-'Cuenta Ahorro-Inversión-Financi'!BW31-'Cuenta Ahorro-Inversión-Financi'!BP31-'Cuenta Ahorro-Inversión-Financi'!BQ31)/1000/'PIB corriente base 2004'!X19)</f>
        <v>0.0847387751477364</v>
      </c>
      <c r="AU64" s="709" t="n">
        <f aca="false">'Cuenta Ahorro-Inversión-Financi'!U64</f>
        <v>0.0891294674359281</v>
      </c>
      <c r="AV64" s="709" t="n">
        <f aca="false">('Cuenta Ahorro-Inversión-Financi'!CH31+'Cuenta Ahorro-Inversión-Financi'!BZ31)/'PIB corriente base 2004'!X19/1000+'Cuenta Ahorro-Inversión-Financi'!Y64</f>
        <v>0.0162533784060021</v>
      </c>
      <c r="AW64" s="709" t="n">
        <f aca="false">'Cuenta Ahorro-Inversión-Financi'!AP64-'Cuenta Ahorro-Inversión-Financi'!AT64</f>
        <v>-0.02830905931782</v>
      </c>
      <c r="AX64" s="709" t="n">
        <f aca="false">'Cuenta Ahorro-Inversión-Financi'!AO64-'Cuenta Ahorro-Inversión-Financi'!AU64</f>
        <v>-0.000125937015975977</v>
      </c>
      <c r="AY64" s="709" t="n">
        <f aca="false">'Cuenta Ahorro-Inversión-Financi'!AO64+'Cuenta Ahorro-Inversión-Financi'!AQ64+'Cuenta Ahorro-Inversión-Financi'!AR64-'Cuenta Ahorro-Inversión-Financi'!AU64-'Cuenta Ahorro-Inversión-Financi'!AV64</f>
        <v>0.00142387626311401</v>
      </c>
      <c r="AZ64" s="709" t="n">
        <f aca="false">'Cuenta Ahorro-Inversión-Financi'!AY64-'Cuenta Ahorro-Inversión-Financi'!H64</f>
        <v>-0.00750733306177321</v>
      </c>
      <c r="BA64" s="456" t="n">
        <f aca="false">AU64+AV64</f>
        <v>0.10538284584193</v>
      </c>
      <c r="BB64" s="456" t="n">
        <v>-0.00921259860891338</v>
      </c>
      <c r="BC64" s="456" t="n">
        <v>-0.000128066327956403</v>
      </c>
      <c r="BX64" s="1" t="n">
        <f aca="false">'Cuenta Ahorro-Inversión-Financi'!BF27+'Cuenta Ahorro-Inversión-Financi'!BS27</f>
        <v>126381818.04959</v>
      </c>
      <c r="BY64" s="456" t="n">
        <f aca="false">'Cuenta Ahorro-Inversión-Financi'!BS27/'Cuenta Ahorro-Inversión-Financi'!BX64</f>
        <v>0.0346025794341244</v>
      </c>
    </row>
    <row r="65" customFormat="false" ht="14.45" hidden="false" customHeight="true" outlineLevel="0" collapsed="false">
      <c r="A65" s="702"/>
      <c r="B65" s="702"/>
      <c r="C65" s="702"/>
      <c r="D65" s="702"/>
      <c r="E65" s="724" t="s">
        <v>903</v>
      </c>
      <c r="F65" s="712" t="n">
        <f aca="false">'Cuenta Ahorro-Inversión-Financi'!T32/1000/'PIB corriente base 2004'!X20</f>
        <v>0.0546875274954749</v>
      </c>
      <c r="G65" s="712" t="n">
        <f aca="false">('Cuenta Ahorro-Inversión-Financi'!G32+'Cuenta Ahorro-Inversión-Financi'!S32)/1000/'PIB corriente base 2004'!X20</f>
        <v>0.0338118602116522</v>
      </c>
      <c r="H65" s="712" t="n">
        <f aca="false">'Cuenta Ahorro-Inversión-Financi'!X32/1000/'PIB corriente base 2004'!X20</f>
        <v>0.00880758496959625</v>
      </c>
      <c r="I65" s="712" t="n">
        <f aca="false">'Cuenta Ahorro-Inversión-Financi'!J65</f>
        <v>0.0973069726767233</v>
      </c>
      <c r="J65" s="712" t="n">
        <f aca="false">'Cuenta Ahorro-Inversión-Financi'!F32/1000/'PIB corriente base 2004'!X20</f>
        <v>0.0973069726767233</v>
      </c>
      <c r="K65" s="712" t="n">
        <f aca="false">'Cuenta Ahorro-Inversión-Financi'!T32/1000/'PIB corriente base 2004'!X20</f>
        <v>0.0546875274954749</v>
      </c>
      <c r="L65" s="712" t="n">
        <f aca="false">SUM('Cuenta Ahorro-Inversión-Financi'!AI32:AM32)/1000/'PIB corriente base 2004'!X20</f>
        <v>0.0170502765613292</v>
      </c>
      <c r="M65" s="712" t="n">
        <f aca="false">'Cuenta Ahorro-Inversión-Financi'!AO32/1000/'PIB corriente base 2004'!X20</f>
        <v>0.00357999676517328</v>
      </c>
      <c r="N65" s="712" t="n">
        <f aca="false">'Cuenta Ahorro-Inversión-Financi'!AG32/1000/'PIB corriente base 2004'!X20</f>
        <v>0.0973075317601221</v>
      </c>
      <c r="O65" s="712" t="n">
        <f aca="false">'Cuenta Ahorro-Inversión-Financi'!M65+'Cuenta Ahorro-Inversión-Financi'!I65</f>
        <v>0.100886969441897</v>
      </c>
      <c r="P65" s="702"/>
      <c r="Q65" s="713" t="n">
        <v>2016</v>
      </c>
      <c r="R65" s="725" t="n">
        <f aca="false">'Cuenta Ahorro-Inversión-Financi'!BF32/1000/'PIB corriente base 2004'!X20</f>
        <v>0.0734052495921815</v>
      </c>
      <c r="S65" s="725" t="n">
        <f aca="false">('Cuenta Ahorro-Inversión-Financi'!BF32-V75/1000)/1000/'PIB corriente base 2004'!X20</f>
        <v>0.0730410743804782</v>
      </c>
      <c r="T65" s="725" t="n">
        <f aca="false">'Cuenta Ahorro-Inversión-Financi'!BX32/1000/'PIB corriente base 2004'!X20</f>
        <v>0.0189823374662956</v>
      </c>
      <c r="U65" s="725" t="n">
        <f aca="false">'Cuenta Ahorro-Inversión-Financi'!T65+'Cuenta Ahorro-Inversión-Financi'!R65+(('Cuenta Ahorro-Inversión-Financi'!AY32+'Cuenta Ahorro-Inversión-Financi'!BC32)/1000/'PIB corriente base 2004'!X20)</f>
        <v>0.0941583125499129</v>
      </c>
      <c r="V65" s="725" t="n">
        <f aca="false">'Cuenta Ahorro-Inversión-Financi'!BN32/1000/'PIB corriente base 2004'!X20</f>
        <v>0.0204169278190341</v>
      </c>
      <c r="W65" s="712" t="n">
        <f aca="false">'Cuenta Ahorro-Inversión-Financi'!AX32/1000/'PIB corriente base 2004'!X20</f>
        <v>0.0941583125499129</v>
      </c>
      <c r="X65" s="712" t="n">
        <f aca="false">('Cuenta Ahorro-Inversión-Financi'!AX32-V75/1000)/1000/'PIB corriente base 2004'!X20</f>
        <v>0.0937941373382097</v>
      </c>
      <c r="Y65" s="712" t="n">
        <f aca="false">'Cuenta Ahorro-Inversión-Financi'!CM32/1000/'PIB corriente base 2004'!X20</f>
        <v>0.00197107261819154</v>
      </c>
      <c r="Z65" s="712" t="n">
        <f aca="false">('Cuenta Ahorro-Inversión-Financi'!CG32)/1000/'PIB corriente base 2004'!X20+'Cuenta Ahorro-Inversión-Financi'!Y65</f>
        <v>0.0964037851152477</v>
      </c>
      <c r="AA65" s="712" t="n">
        <f aca="false">('Cuenta Ahorro-Inversión-Financi'!CG32-'Cuenta Ahorro-Inversión-Financi'!AY32)/1000/'PIB corriente base 2004'!X20</f>
        <v>0.0926638504222064</v>
      </c>
      <c r="AB65" s="702"/>
      <c r="AC65" s="714" t="n">
        <v>2016</v>
      </c>
      <c r="AD65" s="712" t="n">
        <f aca="false">'Cuenta Ahorro-Inversión-Financi'!J65-'Cuenta Ahorro-Inversión-Financi'!X65</f>
        <v>0.00351283533851367</v>
      </c>
      <c r="AE65" s="712" t="n">
        <f aca="false">'Cuenta Ahorro-Inversión-Financi'!F65-'Cuenta Ahorro-Inversión-Financi'!S65</f>
        <v>-0.0183535468850034</v>
      </c>
      <c r="AF65" s="712" t="n">
        <f aca="false">'Cuenta Ahorro-Inversión-Financi'!I65-'Cuenta Ahorro-Inversión-Financi'!X65-'Cuenta Ahorro-Inversión-Financi'!H65</f>
        <v>-0.00529474963108259</v>
      </c>
      <c r="AG65" s="712" t="n">
        <f aca="false">'Cuenta Ahorro-Inversión-Financi'!I65-'Cuenta Ahorro-Inversión-Financi'!X65</f>
        <v>0.00351283533851367</v>
      </c>
      <c r="AH65" s="712" t="n">
        <f aca="false">'Cuenta Ahorro-Inversión-Financi'!O65-'Cuenta Ahorro-Inversión-Financi'!X65</f>
        <v>0.00709283210368694</v>
      </c>
      <c r="AI65" s="712" t="n">
        <f aca="false">'Cuenta Ahorro-Inversión-Financi'!F65-('Cuenta Ahorro-Inversión-Financi'!BF32+'Cuenta Ahorro-Inversión-Financi'!BR32-'Cuenta Ahorro-Inversión-Financi'!BV32-7076808)/'PIB corriente base 2004'!X20/1000</f>
        <v>-0.0334394743667076</v>
      </c>
      <c r="AJ65" s="456" t="n">
        <f aca="false">'Cuenta Ahorro-Inversión-Financi'!AH65-'Cuenta Ahorro-Inversión-Financi'!H65</f>
        <v>-0.00171475286590931</v>
      </c>
      <c r="AN65" s="710" t="n">
        <v>2016</v>
      </c>
      <c r="AO65" s="712" t="n">
        <f aca="false">'Cuenta Ahorro-Inversión-Financi'!I65</f>
        <v>0.0973069726767233</v>
      </c>
      <c r="AP65" s="712" t="n">
        <f aca="false">'Cuenta Ahorro-Inversión-Financi'!F65</f>
        <v>0.0546875274954749</v>
      </c>
      <c r="AQ65" s="712" t="n">
        <f aca="false">'Cuenta Ahorro-Inversión-Financi'!I32/'PIB corriente base 2004'!X20/1000</f>
        <v>0.0125824966432202</v>
      </c>
      <c r="AR65" s="712" t="n">
        <f aca="false">'Cuenta Ahorro-Inversión-Financi'!L65</f>
        <v>0.0170502765613292</v>
      </c>
      <c r="AS65" s="712" t="n">
        <f aca="false">'Cuenta Ahorro-Inversión-Financi'!T65+'Cuenta Ahorro-Inversión-Financi'!R65+(('Cuenta Ahorro-Inversión-Financi'!BC32-'Cuenta Ahorro-Inversión-Financi'!BL32-'Cuenta Ahorro-Inversión-Financi'!BV32-'Cuenta Ahorro-Inversión-Financi'!BW32)/1000/'PIB corriente base 2004'!X20)-DJ31</f>
        <v>0.0900059626482562</v>
      </c>
      <c r="AT65" s="712" t="n">
        <f aca="false">'Cuenta Ahorro-Inversión-Financi'!T65+'Cuenta Ahorro-Inversión-Financi'!R65+(('Cuenta Ahorro-Inversión-Financi'!BC32-'Cuenta Ahorro-Inversión-Financi'!BL32-'Cuenta Ahorro-Inversión-Financi'!BV32-'Cuenta Ahorro-Inversión-Financi'!BW32-'Cuenta Ahorro-Inversión-Financi'!BP32-'Cuenta Ahorro-Inversión-Financi'!BQ32)/1000/'PIB corriente base 2004'!X20)-DJ31</f>
        <v>0.0873212412258694</v>
      </c>
      <c r="AU65" s="712" t="n">
        <f aca="false">'Cuenta Ahorro-Inversión-Financi'!X65</f>
        <v>0.0937941373382097</v>
      </c>
      <c r="AV65" s="712" t="n">
        <f aca="false">('Cuenta Ahorro-Inversión-Financi'!CH32+'Cuenta Ahorro-Inversión-Financi'!BZ32)/'PIB corriente base 2004'!X20/1000+'Cuenta Ahorro-Inversión-Financi'!Y65</f>
        <v>0.0157135432398074</v>
      </c>
      <c r="AW65" s="712" t="n">
        <f aca="false">'Cuenta Ahorro-Inversión-Financi'!AP65-'Cuenta Ahorro-Inversión-Financi'!AT65</f>
        <v>-0.0326337137303945</v>
      </c>
      <c r="AX65" s="712" t="n">
        <f aca="false">'Cuenta Ahorro-Inversión-Financi'!AO65-'Cuenta Ahorro-Inversión-Financi'!AU65</f>
        <v>0.00351283533851367</v>
      </c>
      <c r="AY65" s="712" t="n">
        <f aca="false">'Cuenta Ahorro-Inversión-Financi'!AO65-'Cuenta Ahorro-Inversión-Financi'!AQ65+'Cuenta Ahorro-Inversión-Financi'!AR65-'Cuenta Ahorro-Inversión-Financi'!AU65-'Cuenta Ahorro-Inversión-Financi'!AV65</f>
        <v>-0.00773292798318479</v>
      </c>
      <c r="AZ65" s="712" t="n">
        <f aca="false">'Cuenta Ahorro-Inversión-Financi'!AY65-'Cuenta Ahorro-Inversión-Financi'!H65</f>
        <v>-0.016540512952781</v>
      </c>
      <c r="BA65" s="456" t="n">
        <f aca="false">AU65+AV65</f>
        <v>0.109507680578017</v>
      </c>
      <c r="BO65" s="1" t="n">
        <f aca="false">'Cuenta Ahorro-Inversión-Financi'!BF28+'Cuenta Ahorro-Inversión-Financi'!BS28</f>
        <v>174760361.64049</v>
      </c>
      <c r="BP65" s="456" t="n">
        <f aca="false">'Cuenta Ahorro-Inversión-Financi'!BS28/'Cuenta Ahorro-Inversión-Financi'!BO65</f>
        <v>0.0345930405125079</v>
      </c>
    </row>
    <row r="66" customFormat="false" ht="14.45" hidden="false" customHeight="true" outlineLevel="0" collapsed="false">
      <c r="A66" s="702"/>
      <c r="B66" s="702"/>
      <c r="C66" s="702"/>
      <c r="D66" s="702"/>
      <c r="E66" s="724" t="s">
        <v>907</v>
      </c>
      <c r="F66" s="705" t="n">
        <f aca="false">'Cuenta Ahorro-Inversión-Financi'!T33/1000/'PIB corriente base 2004'!X21</f>
        <v>0.055590096056665</v>
      </c>
      <c r="G66" s="705" t="n">
        <f aca="false">('Cuenta Ahorro-Inversión-Financi'!G33+'Cuenta Ahorro-Inversión-Financi'!S33)/1000/'PIB corriente base 2004'!X21</f>
        <v>0.0255748356540204</v>
      </c>
      <c r="H66" s="705" t="n">
        <f aca="false">'Cuenta Ahorro-Inversión-Financi'!X33/1000/'PIB corriente base 2004'!X21</f>
        <v>0.0103596875406384</v>
      </c>
      <c r="I66" s="705" t="n">
        <f aca="false">'Cuenta Ahorro-Inversión-Financi'!J66</f>
        <v>0.0915246192513237</v>
      </c>
      <c r="J66" s="705" t="n">
        <f aca="false">'Cuenta Ahorro-Inversión-Financi'!F33/1000/'PIB corriente base 2004'!X21</f>
        <v>0.0915246192513237</v>
      </c>
      <c r="K66" s="705" t="n">
        <f aca="false">'Cuenta Ahorro-Inversión-Financi'!T33/1000/'PIB corriente base 2004'!X21</f>
        <v>0.055590096056665</v>
      </c>
      <c r="L66" s="705" t="n">
        <f aca="false">SUM('Cuenta Ahorro-Inversión-Financi'!AI33:AM33)/1000/'PIB corriente base 2004'!X21</f>
        <v>0.0170222865326478</v>
      </c>
      <c r="M66" s="705" t="n">
        <f aca="false">'Cuenta Ahorro-Inversión-Financi'!AO33/1000/'PIB corriente base 2004'!X21</f>
        <v>0.00428888246217367</v>
      </c>
      <c r="N66" s="705" t="n">
        <f aca="false">'Cuenta Ahorro-Inversión-Financi'!AG33/1000/'PIB corriente base 2004'!X21</f>
        <v>0.0915247549270439</v>
      </c>
      <c r="O66" s="705" t="n">
        <f aca="false">'Cuenta Ahorro-Inversión-Financi'!M66+'Cuenta Ahorro-Inversión-Financi'!I66</f>
        <v>0.0958135017134974</v>
      </c>
      <c r="P66" s="702"/>
      <c r="Q66" s="713" t="n">
        <v>2017</v>
      </c>
      <c r="R66" s="721" t="n">
        <f aca="false">'Cuenta Ahorro-Inversión-Financi'!BF33/1000/'PIB corriente base 2004'!X21</f>
        <v>0.0802812285820589</v>
      </c>
      <c r="S66" s="721" t="n">
        <f aca="false">('Cuenta Ahorro-Inversión-Financi'!BF33-V76/1000)/1000/'PIB corriente base 2004'!X21</f>
        <v>0.0763864240518465</v>
      </c>
      <c r="T66" s="721" t="n">
        <f aca="false">'Cuenta Ahorro-Inversión-Financi'!BX33/1000/'PIB corriente base 2004'!X21</f>
        <v>0.0178844223922627</v>
      </c>
      <c r="U66" s="721" t="n">
        <f aca="false">'Cuenta Ahorro-Inversión-Financi'!T66+'Cuenta Ahorro-Inversión-Financi'!R66+(('Cuenta Ahorro-Inversión-Financi'!AY33+'Cuenta Ahorro-Inversión-Financi'!BC33)/1000/'PIB corriente base 2004'!X21)</f>
        <v>0.0998927019121354</v>
      </c>
      <c r="V66" s="721" t="n">
        <f aca="false">'Cuenta Ahorro-Inversión-Financi'!BN33/1000/'PIB corriente base 2004'!X21</f>
        <v>0.0189897770389836</v>
      </c>
      <c r="W66" s="707" t="n">
        <f aca="false">'Cuenta Ahorro-Inversión-Financi'!AX33/1000/'PIB corriente base 2004'!X21</f>
        <v>0.0998927019121354</v>
      </c>
      <c r="X66" s="707" t="n">
        <f aca="false">('Cuenta Ahorro-Inversión-Financi'!AX33-V76/1000)/1000/'PIB corriente base 2004'!X21</f>
        <v>0.0959978973819231</v>
      </c>
      <c r="Y66" s="707" t="n">
        <f aca="false">'Cuenta Ahorro-Inversión-Financi'!CM33/1000/'PIB corriente base 2004'!X21</f>
        <v>0.00169318277702991</v>
      </c>
      <c r="Z66" s="707" t="n">
        <f aca="false">('Cuenta Ahorro-Inversión-Financi'!CG33)/1000/'PIB corriente base 2004'!X21+'Cuenta Ahorro-Inversión-Financi'!Y66</f>
        <v>0.10163915276192</v>
      </c>
      <c r="AA66" s="707" t="n">
        <f aca="false">('Cuenta Ahorro-Inversión-Financi'!CG33-'Cuenta Ahorro-Inversión-Financi'!AY33)/1000/'PIB corriente base 2004'!X21</f>
        <v>0.0982246704562847</v>
      </c>
      <c r="AB66" s="702"/>
      <c r="AC66" s="714" t="n">
        <v>2017</v>
      </c>
      <c r="AD66" s="709" t="n">
        <f aca="false">'Cuenta Ahorro-Inversión-Financi'!J66-'Cuenta Ahorro-Inversión-Financi'!X66</f>
        <v>-0.00447327813059935</v>
      </c>
      <c r="AE66" s="709" t="n">
        <f aca="false">'Cuenta Ahorro-Inversión-Financi'!F66-'Cuenta Ahorro-Inversión-Financi'!S66</f>
        <v>-0.0207963279951815</v>
      </c>
      <c r="AF66" s="709" t="n">
        <f aca="false">'Cuenta Ahorro-Inversión-Financi'!I66-'Cuenta Ahorro-Inversión-Financi'!X66-'Cuenta Ahorro-Inversión-Financi'!H66</f>
        <v>-0.0148329656712377</v>
      </c>
      <c r="AG66" s="709" t="n">
        <f aca="false">'Cuenta Ahorro-Inversión-Financi'!I66-'Cuenta Ahorro-Inversión-Financi'!X66</f>
        <v>-0.00447327813059935</v>
      </c>
      <c r="AH66" s="709" t="n">
        <f aca="false">'Cuenta Ahorro-Inversión-Financi'!O66-'Cuenta Ahorro-Inversión-Financi'!X66</f>
        <v>-0.00018439566842568</v>
      </c>
      <c r="AI66" s="709" t="n">
        <f aca="false">'Cuenta Ahorro-Inversión-Financi'!F66-('Cuenta Ahorro-Inversión-Financi'!BF33+'Cuenta Ahorro-Inversión-Financi'!BR33-'Cuenta Ahorro-Inversión-Financi'!BV33-65807027)/'PIB corriente base 2004'!X21/1000</f>
        <v>-0.032995458584196</v>
      </c>
      <c r="AJ66" s="456" t="n">
        <f aca="false">'Cuenta Ahorro-Inversión-Financi'!AH66-'Cuenta Ahorro-Inversión-Financi'!H66</f>
        <v>-0.010544083209064</v>
      </c>
      <c r="AN66" s="710" t="n">
        <v>2017</v>
      </c>
      <c r="AO66" s="709" t="n">
        <f aca="false">'Cuenta Ahorro-Inversión-Financi'!I66</f>
        <v>0.0915246192513237</v>
      </c>
      <c r="AP66" s="709" t="n">
        <f aca="false">'Cuenta Ahorro-Inversión-Financi'!F66</f>
        <v>0.055590096056665</v>
      </c>
      <c r="AQ66" s="709" t="n">
        <f aca="false">'Cuenta Ahorro-Inversión-Financi'!I33/'PIB corriente base 2004'!X21/1000</f>
        <v>0.00420963634008006</v>
      </c>
      <c r="AR66" s="709" t="n">
        <f aca="false">'Cuenta Ahorro-Inversión-Financi'!L66</f>
        <v>0.0170222865326478</v>
      </c>
      <c r="AS66" s="709" t="n">
        <f aca="false">'Cuenta Ahorro-Inversión-Financi'!T66+'Cuenta Ahorro-Inversión-Financi'!R66+(('Cuenta Ahorro-Inversión-Financi'!BC33-'Cuenta Ahorro-Inversión-Financi'!BL33-'Cuenta Ahorro-Inversión-Financi'!BV33-'Cuenta Ahorro-Inversión-Financi'!BW33)/1000/'PIB corriente base 2004'!X21)-DJ32</f>
        <v>0.0923815175122481</v>
      </c>
      <c r="AT66" s="709" t="n">
        <f aca="false">'Cuenta Ahorro-Inversión-Financi'!T66+'Cuenta Ahorro-Inversión-Financi'!R66+(('Cuenta Ahorro-Inversión-Financi'!BC33-'Cuenta Ahorro-Inversión-Financi'!BL33-'Cuenta Ahorro-Inversión-Financi'!BV33-'Cuenta Ahorro-Inversión-Financi'!BW33-'Cuenta Ahorro-Inversión-Financi'!BP33-'Cuenta Ahorro-Inversión-Financi'!BQ33)/1000/'PIB corriente base 2004'!X21)-DJ32</f>
        <v>0.0879200579085419</v>
      </c>
      <c r="AU66" s="709" t="n">
        <f aca="false">'Cuenta Ahorro-Inversión-Financi'!X66</f>
        <v>0.0959978973819231</v>
      </c>
      <c r="AV66" s="709" t="n">
        <f aca="false">('Cuenta Ahorro-Inversión-Financi'!CH33+'Cuenta Ahorro-Inversión-Financi'!BZ33)/'PIB corriente base 2004'!X21/1000+'Cuenta Ahorro-Inversión-Financi'!Y66</f>
        <v>0.0144798549202584</v>
      </c>
      <c r="AW66" s="709" t="n">
        <f aca="false">'Cuenta Ahorro-Inversión-Financi'!AP66-'Cuenta Ahorro-Inversión-Financi'!AT66</f>
        <v>-0.0323299618518769</v>
      </c>
      <c r="AX66" s="709" t="n">
        <f aca="false">'Cuenta Ahorro-Inversión-Financi'!AO66-'Cuenta Ahorro-Inversión-Financi'!AU66</f>
        <v>-0.00447327813059935</v>
      </c>
      <c r="AY66" s="709" t="n">
        <f aca="false">'Cuenta Ahorro-Inversión-Financi'!AO66-'Cuenta Ahorro-Inversión-Financi'!AQ66+'Cuenta Ahorro-Inversión-Financi'!AR66-'Cuenta Ahorro-Inversión-Financi'!AU66-'Cuenta Ahorro-Inversión-Financi'!AV66</f>
        <v>-0.00614048285829008</v>
      </c>
      <c r="AZ66" s="709" t="n">
        <f aca="false">'Cuenta Ahorro-Inversión-Financi'!AY66-'Cuenta Ahorro-Inversión-Financi'!H66</f>
        <v>-0.0165001703989284</v>
      </c>
      <c r="BA66" s="456" t="n">
        <f aca="false">AU66+AV66</f>
        <v>0.110477752302181</v>
      </c>
      <c r="BO66" s="1" t="n">
        <f aca="false">'Cuenta Ahorro-Inversión-Financi'!BF29+'Cuenta Ahorro-Inversión-Financi'!BS29</f>
        <v>230959336.49549</v>
      </c>
      <c r="BP66" s="456" t="n">
        <f aca="false">'Cuenta Ahorro-Inversión-Financi'!BS29/'Cuenta Ahorro-Inversión-Financi'!BO66</f>
        <v>0.0345852724382328</v>
      </c>
    </row>
    <row r="67" customFormat="false" ht="14.45" hidden="false" customHeight="true" outlineLevel="0" collapsed="false">
      <c r="A67" s="702"/>
      <c r="B67" s="702"/>
      <c r="C67" s="702"/>
      <c r="D67" s="702"/>
      <c r="E67" s="724" t="s">
        <v>909</v>
      </c>
      <c r="F67" s="712" t="n">
        <f aca="false">'Cuenta Ahorro-Inversión-Financi'!T34/1000/'PIB corriente base 2004'!X22</f>
        <v>0.0507048464919942</v>
      </c>
      <c r="G67" s="712" t="n">
        <f aca="false">('Cuenta Ahorro-Inversión-Financi'!G34+'Cuenta Ahorro-Inversión-Financi'!S34)/1000/'PIB corriente base 2004'!X22</f>
        <v>0.0267202526606726</v>
      </c>
      <c r="H67" s="712" t="n">
        <f aca="false">'Cuenta Ahorro-Inversión-Financi'!X34/1000/'PIB corriente base 2004'!X22</f>
        <v>0.0125788869347148</v>
      </c>
      <c r="I67" s="712" t="n">
        <f aca="false">'Cuenta Ahorro-Inversión-Financi'!J67</f>
        <v>0.0900039860873816</v>
      </c>
      <c r="J67" s="712" t="n">
        <f aca="false">'Cuenta Ahorro-Inversión-Financi'!F34/1000/'PIB corriente base 2004'!X22</f>
        <v>0.0900039860873816</v>
      </c>
      <c r="K67" s="712" t="n">
        <f aca="false">'Cuenta Ahorro-Inversión-Financi'!T34/1000/'PIB corriente base 2004'!X22</f>
        <v>0.0507048464919942</v>
      </c>
      <c r="L67" s="712" t="n">
        <f aca="false">SUM('Cuenta Ahorro-Inversión-Financi'!AI34:AM34)/1000/'PIB corriente base 2004'!X22</f>
        <v>0.0187919591587087</v>
      </c>
      <c r="M67" s="712" t="n">
        <f aca="false">'Cuenta Ahorro-Inversión-Financi'!AO34/1000/'PIB corriente base 2004'!X22</f>
        <v>0.00914197198297227</v>
      </c>
      <c r="N67" s="712" t="n">
        <f aca="false">'Cuenta Ahorro-Inversión-Financi'!AG34/1000/'PIB corriente base 2004'!X22</f>
        <v>0.0900058618440899</v>
      </c>
      <c r="O67" s="712" t="n">
        <f aca="false">'Cuenta Ahorro-Inversión-Financi'!M67+'Cuenta Ahorro-Inversión-Financi'!I67</f>
        <v>0.0991459580703538</v>
      </c>
      <c r="P67" s="702"/>
      <c r="Q67" s="713" t="n">
        <v>2018</v>
      </c>
      <c r="R67" s="725" t="n">
        <f aca="false">'Cuenta Ahorro-Inversión-Financi'!BF34/1000/'PIB corriente base 2004'!X22</f>
        <v>0.0770684076779868</v>
      </c>
      <c r="S67" s="725" t="n">
        <f aca="false">('Cuenta Ahorro-Inversión-Financi'!BF34-V77/1000)/1000/'PIB corriente base 2004'!X22</f>
        <v>0.0719771065625742</v>
      </c>
      <c r="T67" s="725" t="n">
        <f aca="false">'Cuenta Ahorro-Inversión-Financi'!BX34/1000/'PIB corriente base 2004'!X22</f>
        <v>0.0176895961599097</v>
      </c>
      <c r="U67" s="725" t="n">
        <f aca="false">'Cuenta Ahorro-Inversión-Financi'!T67+'Cuenta Ahorro-Inversión-Financi'!R67+(('Cuenta Ahorro-Inversión-Financi'!AY34+'Cuenta Ahorro-Inversión-Financi'!BC34)/1000/'PIB corriente base 2004'!X22)</f>
        <v>0.0962402585284138</v>
      </c>
      <c r="V67" s="725" t="n">
        <f aca="false">'Cuenta Ahorro-Inversión-Financi'!BN34/1000/'PIB corriente base 2004'!X22</f>
        <v>0.0180122461239541</v>
      </c>
      <c r="W67" s="712" t="n">
        <f aca="false">'Cuenta Ahorro-Inversión-Financi'!AX34/1000/'PIB corriente base 2004'!X22</f>
        <v>0.0962402585284138</v>
      </c>
      <c r="X67" s="712" t="n">
        <f aca="false">('Cuenta Ahorro-Inversión-Financi'!AX34-V77/1000)/1000/'PIB corriente base 2004'!X22</f>
        <v>0.0911489574130013</v>
      </c>
      <c r="Y67" s="712" t="n">
        <f aca="false">'Cuenta Ahorro-Inversión-Financi'!CM34/1000/'PIB corriente base 2004'!X22</f>
        <v>0.00155582043184477</v>
      </c>
      <c r="Z67" s="712" t="n">
        <f aca="false">('Cuenta Ahorro-Inversión-Financi'!CG34)/1000/'PIB corriente base 2004'!X22+'Cuenta Ahorro-Inversión-Financi'!Y67</f>
        <v>0.0977965095628983</v>
      </c>
      <c r="AA67" s="712" t="n">
        <f aca="false">('Cuenta Ahorro-Inversión-Financi'!CG34-'Cuenta Ahorro-Inversión-Financi'!AY34)/1000/'PIB corriente base 2004'!X22</f>
        <v>0.0947629576439233</v>
      </c>
      <c r="AB67" s="702"/>
      <c r="AC67" s="726" t="n">
        <v>2018</v>
      </c>
      <c r="AD67" s="727" t="n">
        <f aca="false">'Cuenta Ahorro-Inversión-Financi'!J67-'Cuenta Ahorro-Inversión-Financi'!X67</f>
        <v>-0.00114497132561972</v>
      </c>
      <c r="AE67" s="727" t="n">
        <f aca="false">'Cuenta Ahorro-Inversión-Financi'!F67-'Cuenta Ahorro-Inversión-Financi'!S67</f>
        <v>-0.02127226007058</v>
      </c>
      <c r="AF67" s="727" t="n">
        <f aca="false">'Cuenta Ahorro-Inversión-Financi'!I67-'Cuenta Ahorro-Inversión-Financi'!X67-'Cuenta Ahorro-Inversión-Financi'!H67</f>
        <v>-0.0137238582603345</v>
      </c>
      <c r="AG67" s="727" t="n">
        <f aca="false">'Cuenta Ahorro-Inversión-Financi'!I67-'Cuenta Ahorro-Inversión-Financi'!X67</f>
        <v>-0.00114497132561972</v>
      </c>
      <c r="AH67" s="727" t="n">
        <f aca="false">'Cuenta Ahorro-Inversión-Financi'!O67-'Cuenta Ahorro-Inversión-Financi'!X67</f>
        <v>0.00799700065735254</v>
      </c>
      <c r="AI67" s="727" t="n">
        <f aca="false">'Cuenta Ahorro-Inversión-Financi'!F67-('Cuenta Ahorro-Inversión-Financi'!BF34+'Cuenta Ahorro-Inversión-Financi'!BR34-'Cuenta Ahorro-Inversión-Financi'!BV34)/'PIB corriente base 2004'!X22/1000</f>
        <v>-0.0414651509707601</v>
      </c>
      <c r="AJ67" s="456" t="n">
        <f aca="false">'Cuenta Ahorro-Inversión-Financi'!AH67-'Cuenta Ahorro-Inversión-Financi'!H67</f>
        <v>-0.00458188627736222</v>
      </c>
      <c r="AN67" s="728" t="n">
        <v>2018</v>
      </c>
      <c r="AO67" s="727" t="n">
        <f aca="false">'Cuenta Ahorro-Inversión-Financi'!I67</f>
        <v>0.0900039860873816</v>
      </c>
      <c r="AP67" s="727" t="n">
        <f aca="false">'Cuenta Ahorro-Inversión-Financi'!F67</f>
        <v>0.0507048464919942</v>
      </c>
      <c r="AQ67" s="727" t="n">
        <f aca="false">'Cuenta Ahorro-Inversión-Financi'!I34/'PIB corriente base 2004'!X22/1000</f>
        <v>0</v>
      </c>
      <c r="AR67" s="727" t="n">
        <f aca="false">'Cuenta Ahorro-Inversión-Financi'!L67</f>
        <v>0.0187919591587087</v>
      </c>
      <c r="AS67" s="712" t="n">
        <f aca="false">'Cuenta Ahorro-Inversión-Financi'!T67+'Cuenta Ahorro-Inversión-Financi'!R67+(('Cuenta Ahorro-Inversión-Financi'!BC34-'Cuenta Ahorro-Inversión-Financi'!BL34-'Cuenta Ahorro-Inversión-Financi'!BV34-'Cuenta Ahorro-Inversión-Financi'!BW34)/1000/'PIB corriente base 2004'!X22)-V77/1000/1000/'PIB corriente base 2004'!X22</f>
        <v>0.0887828934015174</v>
      </c>
      <c r="AT67" s="727" t="n">
        <f aca="false">'Cuenta Ahorro-Inversión-Financi'!T67+'Cuenta Ahorro-Inversión-Financi'!R67+(('Cuenta Ahorro-Inversión-Financi'!BC34-'Cuenta Ahorro-Inversión-Financi'!BL34-'Cuenta Ahorro-Inversión-Financi'!BV34-'Cuenta Ahorro-Inversión-Financi'!BW34-'Cuenta Ahorro-Inversión-Financi'!BP34-'Cuenta Ahorro-Inversión-Financi'!BQ34)/1000/'PIB corriente base 2004'!X22)-V77/1000/1000/'PIB corriente base 2004'!X22</f>
        <v>0.0841942556481053</v>
      </c>
      <c r="AU67" s="727" t="n">
        <f aca="false">'Cuenta Ahorro-Inversión-Financi'!X67</f>
        <v>0.0911489574130013</v>
      </c>
      <c r="AV67" s="727" t="n">
        <f aca="false">('Cuenta Ahorro-Inversión-Financi'!CH34+'Cuenta Ahorro-Inversión-Financi'!BZ34)/'PIB corriente base 2004'!X22/1000+'Cuenta Ahorro-Inversión-Financi'!Y67</f>
        <v>0.0112062382102208</v>
      </c>
      <c r="AW67" s="727" t="n">
        <f aca="false">'Cuenta Ahorro-Inversión-Financi'!AP67-'Cuenta Ahorro-Inversión-Financi'!AT67</f>
        <v>-0.0334894091561111</v>
      </c>
      <c r="AX67" s="727" t="n">
        <f aca="false">'Cuenta Ahorro-Inversión-Financi'!AO67-'Cuenta Ahorro-Inversión-Financi'!AU67</f>
        <v>-0.00114497132561972</v>
      </c>
      <c r="AY67" s="727" t="n">
        <f aca="false">'Cuenta Ahorro-Inversión-Financi'!AO67-'Cuenta Ahorro-Inversión-Financi'!AQ67+'Cuenta Ahorro-Inversión-Financi'!AR67-'Cuenta Ahorro-Inversión-Financi'!AU67-'Cuenta Ahorro-Inversión-Financi'!AV67</f>
        <v>0.00644074962286809</v>
      </c>
      <c r="AZ67" s="727" t="n">
        <f aca="false">'Cuenta Ahorro-Inversión-Financi'!AY67-'Cuenta Ahorro-Inversión-Financi'!H67</f>
        <v>-0.00613813731184667</v>
      </c>
      <c r="BA67" s="456" t="n">
        <f aca="false">AU67+AV67</f>
        <v>0.102355195623222</v>
      </c>
      <c r="BK67" s="1" t="n">
        <f aca="false">'Cuenta Ahorro-Inversión-Financi'!BF30+'Cuenta Ahorro-Inversión-Financi'!BS30</f>
        <v>306263660.59827</v>
      </c>
      <c r="BL67" s="456" t="n">
        <f aca="false">'Cuenta Ahorro-Inversión-Financi'!BS30/'Cuenta Ahorro-Inversión-Financi'!BK67</f>
        <v>0.0347952175677423</v>
      </c>
    </row>
    <row r="68" customFormat="false" ht="14.45" hidden="false" customHeight="true" outlineLevel="0" collapsed="false">
      <c r="E68" s="724" t="s">
        <v>911</v>
      </c>
      <c r="F68" s="705" t="n">
        <f aca="false">'Cuenta Ahorro-Inversión-Financi'!T35/1000/'PIB corriente base 2004'!X23</f>
        <v>0.045482634112618</v>
      </c>
      <c r="G68" s="705" t="n">
        <f aca="false">('Cuenta Ahorro-Inversión-Financi'!G35+'Cuenta Ahorro-Inversión-Financi'!S35)/1000/'PIB corriente base 2004'!X23</f>
        <v>0.025992153910621</v>
      </c>
      <c r="H68" s="705" t="n">
        <f aca="false">'Cuenta Ahorro-Inversión-Financi'!X35/1000/'PIB corriente base 2004'!X23</f>
        <v>0.0141101595741833</v>
      </c>
      <c r="I68" s="705" t="n">
        <f aca="false">'Cuenta Ahorro-Inversión-Financi'!J68</f>
        <v>0.0855849475974223</v>
      </c>
      <c r="J68" s="705" t="n">
        <f aca="false">'Cuenta Ahorro-Inversión-Financi'!F35/1000/'PIB corriente base 2004'!X23</f>
        <v>0.0855849475974223</v>
      </c>
      <c r="K68" s="705" t="n">
        <f aca="false">'Cuenta Ahorro-Inversión-Financi'!T35/1000/'PIB corriente base 2004'!X23</f>
        <v>0.045482634112618</v>
      </c>
      <c r="L68" s="705" t="n">
        <f aca="false">SUM('Cuenta Ahorro-Inversión-Financi'!AI35:AM35)/1000/'PIB corriente base 2004'!X23</f>
        <v>0.0182571550058679</v>
      </c>
      <c r="M68" s="705" t="n">
        <f aca="false">'Cuenta Ahorro-Inversión-Financi'!AO35/1000/'PIB corriente base 2004'!X23</f>
        <v>0.00862498498242696</v>
      </c>
      <c r="N68" s="705" t="n">
        <f aca="false">'Cuenta Ahorro-Inversión-Financi'!AG35/1000/'PIB corriente base 2004'!X23</f>
        <v>0.0869431230844891</v>
      </c>
      <c r="O68" s="705" t="n">
        <f aca="false">'Cuenta Ahorro-Inversión-Financi'!M68+'Cuenta Ahorro-Inversión-Financi'!I68</f>
        <v>0.0942099325798493</v>
      </c>
      <c r="Q68" s="713" t="n">
        <v>2019</v>
      </c>
      <c r="R68" s="721" t="n">
        <f aca="false">'Cuenta Ahorro-Inversión-Financi'!BF35/1000/'PIB corriente base 2004'!X23</f>
        <v>0.0747245065034631</v>
      </c>
      <c r="S68" s="721" t="n">
        <f aca="false">('Cuenta Ahorro-Inversión-Financi'!BF35-V78/1000)/1000/'PIB corriente base 2004'!X23</f>
        <v>0.0705199284475343</v>
      </c>
      <c r="T68" s="721" t="n">
        <f aca="false">'Cuenta Ahorro-Inversión-Financi'!BX35/1000/'PIB corriente base 2004'!X23</f>
        <v>0.0174955875724337</v>
      </c>
      <c r="U68" s="721" t="n">
        <f aca="false">'Cuenta Ahorro-Inversión-Financi'!T68+'Cuenta Ahorro-Inversión-Financi'!R68+(('Cuenta Ahorro-Inversión-Financi'!AY35+'Cuenta Ahorro-Inversión-Financi'!BC35)/1000/'PIB corriente base 2004'!X23)</f>
        <v>0.0934779010078343</v>
      </c>
      <c r="V68" s="721" t="n">
        <f aca="false">'Cuenta Ahorro-Inversión-Financi'!BN35/1000/'PIB corriente base 2004'!X23</f>
        <v>0.0177181260819578</v>
      </c>
      <c r="W68" s="707" t="n">
        <f aca="false">'Cuenta Ahorro-Inversión-Financi'!AX35/1000/'PIB corriente base 2004'!X23</f>
        <v>0.0934779010078343</v>
      </c>
      <c r="X68" s="707" t="n">
        <f aca="false">('Cuenta Ahorro-Inversión-Financi'!AX35)/1000/'PIB corriente base 2004'!X23-0.005</f>
        <v>0.0884779010078343</v>
      </c>
      <c r="Y68" s="707" t="n">
        <f aca="false">'Cuenta Ahorro-Inversión-Financi'!CM35/1000/'PIB corriente base 2004'!X23</f>
        <v>0.00160666051995564</v>
      </c>
      <c r="Z68" s="707" t="n">
        <f aca="false">('Cuenta Ahorro-Inversión-Financi'!CG35)/1000/'PIB corriente base 2004'!X23+'Cuenta Ahorro-Inversión-Financi'!Y68</f>
        <v>0.0951152103741352</v>
      </c>
      <c r="AA68" s="707" t="n">
        <f aca="false">('Cuenta Ahorro-Inversión-Financi'!CG35-'Cuenta Ahorro-Inversión-Financi'!AY35)/1000/'PIB corriente base 2004'!X23</f>
        <v>0.0922557061511804</v>
      </c>
      <c r="AB68" s="456"/>
      <c r="AC68" s="726" t="n">
        <v>2019</v>
      </c>
      <c r="AD68" s="727" t="n">
        <f aca="false">'Cuenta Ahorro-Inversión-Financi'!J68-'Cuenta Ahorro-Inversión-Financi'!X68</f>
        <v>-0.00289295341041193</v>
      </c>
      <c r="AE68" s="727" t="n">
        <f aca="false">'Cuenta Ahorro-Inversión-Financi'!F68-'Cuenta Ahorro-Inversión-Financi'!S68</f>
        <v>-0.0250372943349164</v>
      </c>
      <c r="AF68" s="727" t="n">
        <f aca="false">'Cuenta Ahorro-Inversión-Financi'!I68-'Cuenta Ahorro-Inversión-Financi'!X68-'Cuenta Ahorro-Inversión-Financi'!H68</f>
        <v>-0.0170031129845953</v>
      </c>
      <c r="AG68" s="727" t="n">
        <f aca="false">'Cuenta Ahorro-Inversión-Financi'!I68-'Cuenta Ahorro-Inversión-Financi'!X68</f>
        <v>-0.00289295341041193</v>
      </c>
      <c r="AH68" s="727" t="n">
        <f aca="false">'Cuenta Ahorro-Inversión-Financi'!O68-'Cuenta Ahorro-Inversión-Financi'!X68</f>
        <v>0.00573203157201503</v>
      </c>
      <c r="AI68" s="727" t="n">
        <f aca="false">'Cuenta Ahorro-Inversión-Financi'!F68-('Cuenta Ahorro-Inversión-Financi'!BF35+'Cuenta Ahorro-Inversión-Financi'!BR35-'Cuenta Ahorro-Inversión-Financi'!BV35)/'PIB corriente base 2004'!X23/1000</f>
        <v>-0.044248471371084</v>
      </c>
      <c r="AJ68" s="456" t="n">
        <f aca="false">'Cuenta Ahorro-Inversión-Financi'!AH68-'Cuenta Ahorro-Inversión-Financi'!H68</f>
        <v>-0.0083781280021683</v>
      </c>
      <c r="AN68" s="728" t="n">
        <v>2019</v>
      </c>
      <c r="AO68" s="727" t="n">
        <f aca="false">'Cuenta Ahorro-Inversión-Financi'!I68</f>
        <v>0.0855849475974223</v>
      </c>
      <c r="AP68" s="727" t="n">
        <f aca="false">'Cuenta Ahorro-Inversión-Financi'!F68</f>
        <v>0.045482634112618</v>
      </c>
      <c r="AQ68" s="727" t="n">
        <f aca="false">'Cuenta Ahorro-Inversión-Financi'!I35/'PIB corriente base 2004'!X23/1000</f>
        <v>0</v>
      </c>
      <c r="AR68" s="727" t="n">
        <f aca="false">'Cuenta Ahorro-Inversión-Financi'!L68</f>
        <v>0.0182571550058679</v>
      </c>
      <c r="AS68" s="712" t="n">
        <f aca="false">'Cuenta Ahorro-Inversión-Financi'!T68+'Cuenta Ahorro-Inversión-Financi'!R68+(('Cuenta Ahorro-Inversión-Financi'!BC35-'Cuenta Ahorro-Inversión-Financi'!BL35-'Cuenta Ahorro-Inversión-Financi'!BV35-'Cuenta Ahorro-Inversión-Financi'!BW35)/1000/'PIB corriente base 2004'!X23)-0.005</f>
        <v>0.0864712108401503</v>
      </c>
      <c r="AT68" s="727" t="n">
        <f aca="false">'Cuenta Ahorro-Inversión-Financi'!T68+'Cuenta Ahorro-Inversión-Financi'!R68+(('Cuenta Ahorro-Inversión-Financi'!BC35-'Cuenta Ahorro-Inversión-Financi'!BL35-'Cuenta Ahorro-Inversión-Financi'!BV35-'Cuenta Ahorro-Inversión-Financi'!BW35-'Cuenta Ahorro-Inversión-Financi'!BP35-'Cuenta Ahorro-Inversión-Financi'!BQ35)/1000/'PIB corriente base 2004'!X23)-0.005</f>
        <v>0.0822040894949732</v>
      </c>
      <c r="AU68" s="727" t="n">
        <f aca="false">'Cuenta Ahorro-Inversión-Financi'!X68</f>
        <v>0.0884779010078343</v>
      </c>
      <c r="AV68" s="727" t="n">
        <f aca="false">('Cuenta Ahorro-Inversión-Financi'!CH35+'Cuenta Ahorro-Inversión-Financi'!BZ35)/'PIB corriente base 2004'!X23/1000+'Cuenta Ahorro-Inversión-Financi'!Y68</f>
        <v>0.0112694793897419</v>
      </c>
      <c r="AW68" s="727" t="n">
        <f aca="false">'Cuenta Ahorro-Inversión-Financi'!AP68-'Cuenta Ahorro-Inversión-Financi'!AT68</f>
        <v>-0.0367214553823552</v>
      </c>
      <c r="AX68" s="727" t="n">
        <f aca="false">'Cuenta Ahorro-Inversión-Financi'!AO68-'Cuenta Ahorro-Inversión-Financi'!AU68</f>
        <v>-0.00289295341041193</v>
      </c>
      <c r="AY68" s="727" t="n">
        <f aca="false">'Cuenta Ahorro-Inversión-Financi'!AO68-'Cuenta Ahorro-Inversión-Financi'!AQ68+'Cuenta Ahorro-Inversión-Financi'!AR68-'Cuenta Ahorro-Inversión-Financi'!AU68-'Cuenta Ahorro-Inversión-Financi'!AV68</f>
        <v>0.00409472220571407</v>
      </c>
      <c r="AZ68" s="727" t="n">
        <f aca="false">'Cuenta Ahorro-Inversión-Financi'!AY68-'Cuenta Ahorro-Inversión-Financi'!H68</f>
        <v>-0.0100154373684693</v>
      </c>
      <c r="BA68" s="456" t="n">
        <f aca="false">AU68+AV68</f>
        <v>0.0997473803975761</v>
      </c>
    </row>
    <row r="69" customFormat="false" ht="14.45" hidden="false" customHeight="true" outlineLevel="0" collapsed="false">
      <c r="O69" s="456"/>
      <c r="S69" s="1" t="n">
        <v>1993</v>
      </c>
      <c r="T69" s="729" t="n">
        <v>3015865.81949566</v>
      </c>
      <c r="U69" s="456" t="n">
        <f aca="false">T69/'PIB corriente base 1993'!V8/1000</f>
        <v>0.0127518067972787</v>
      </c>
      <c r="V69" s="723"/>
      <c r="AT69" s="730" t="n">
        <f aca="false">'Cuenta Ahorro-Inversión-Financi'!R62+((-'Cuenta Ahorro-Inversión-Financi'!BL29)/1000/'PIB corriente base 2004'!X17)</f>
        <v>0.066041409983319</v>
      </c>
      <c r="AU69" s="730" t="n">
        <f aca="false">'Cuenta Ahorro-Inversión-Financi'!T62+(('Cuenta Ahorro-Inversión-Financi'!BC29-'Cuenta Ahorro-Inversión-Financi'!BV29-'Cuenta Ahorro-Inversión-Financi'!BW29-'Cuenta Ahorro-Inversión-Financi'!BP29-'Cuenta Ahorro-Inversión-Financi'!BQ29)/1000/'PIB corriente base 2004'!X17)</f>
        <v>0.0127296212861011</v>
      </c>
      <c r="AV69" s="456" t="n">
        <f aca="false">('Cuenta Ahorro-Inversión-Financi'!BS29)/1000/'PIB corriente base 2004'!X17</f>
        <v>0.00238561996391175</v>
      </c>
      <c r="AX69" s="456" t="n">
        <f aca="false">'Cuenta Ahorro-Inversión-Financi'!AZ63-'Cuenta Ahorro-Inversión-Financi'!AW63</f>
        <v>0.0204489957358129</v>
      </c>
    </row>
    <row r="70" customFormat="false" ht="14.45" hidden="false" customHeight="true" outlineLevel="0" collapsed="false">
      <c r="S70" s="1" t="n">
        <f aca="false">S69+1</f>
        <v>1994</v>
      </c>
      <c r="T70" s="722" t="n">
        <v>3226509.52498154</v>
      </c>
      <c r="U70" s="456" t="n">
        <f aca="false">T70/'PIB corriente base 1993'!V9/1000</f>
        <v>0.0125330563795884</v>
      </c>
      <c r="AT70" s="730" t="n">
        <f aca="false">'Cuenta Ahorro-Inversión-Financi'!R63+((-'Cuenta Ahorro-Inversión-Financi'!BL30)/1000/'PIB corriente base 2004'!X18)</f>
        <v>0.0640309619020569</v>
      </c>
      <c r="AU70" s="730" t="n">
        <f aca="false">'Cuenta Ahorro-Inversión-Financi'!T63+(('Cuenta Ahorro-Inversión-Financi'!BC30-'Cuenta Ahorro-Inversión-Financi'!BV30-'Cuenta Ahorro-Inversión-Financi'!BW30-'Cuenta Ahorro-Inversión-Financi'!BP30-'Cuenta Ahorro-Inversión-Financi'!BQ30)/1000/'PIB corriente base 2004'!X18)</f>
        <v>0.0119207044550139</v>
      </c>
      <c r="AV70" s="456" t="n">
        <f aca="false">('Cuenta Ahorro-Inversión-Financi'!BS30)/1000/'PIB corriente base 2004'!X18</f>
        <v>0.0023272132721661</v>
      </c>
      <c r="AX70" s="456" t="n">
        <f aca="false">'Cuenta Ahorro-Inversión-Financi'!AZ64-'Cuenta Ahorro-Inversión-Financi'!AW64</f>
        <v>0.0208017262560468</v>
      </c>
    </row>
    <row r="71" customFormat="false" ht="14.45" hidden="false" customHeight="true" outlineLevel="0" collapsed="false">
      <c r="R71" s="646" t="n">
        <f aca="false">41598953.80094/1000/'PIB corriente base 2004'!X21</f>
        <v>0.00390792092402232</v>
      </c>
      <c r="S71" s="1" t="n">
        <f aca="false">S70+1</f>
        <v>1995</v>
      </c>
      <c r="T71" s="729" t="n">
        <v>2990988.48141767</v>
      </c>
      <c r="U71" s="456" t="n">
        <f aca="false">T71/'PIB corriente base 1993'!V10/1000</f>
        <v>0.011591546064283</v>
      </c>
      <c r="AT71" s="730" t="n">
        <f aca="false">'Cuenta Ahorro-Inversión-Financi'!R64+((-'Cuenta Ahorro-Inversión-Financi'!BL31)/1000/'PIB corriente base 2004'!X19)</f>
        <v>0.072209456656748</v>
      </c>
      <c r="AU71" s="730" t="n">
        <f aca="false">'Cuenta Ahorro-Inversión-Financi'!T64+(('Cuenta Ahorro-Inversión-Financi'!BC31-'Cuenta Ahorro-Inversión-Financi'!BV31-'Cuenta Ahorro-Inversión-Financi'!BW31-'Cuenta Ahorro-Inversión-Financi'!BP31-'Cuenta Ahorro-Inversión-Financi'!BQ31)/1000/'PIB corriente base 2004'!X19)</f>
        <v>0.0125293184909884</v>
      </c>
      <c r="AV71" s="456" t="n">
        <f aca="false">('Cuenta Ahorro-Inversión-Financi'!BS31)/1000/'PIB corriente base 2004'!X19</f>
        <v>0.00260688705263258</v>
      </c>
      <c r="AX71" s="456" t="n">
        <f aca="false">'Cuenta Ahorro-Inversión-Financi'!AZ65-'Cuenta Ahorro-Inversión-Financi'!AW65</f>
        <v>0.0160932007776135</v>
      </c>
    </row>
    <row r="72" customFormat="false" ht="14.45" hidden="false" customHeight="true" outlineLevel="0" collapsed="false">
      <c r="S72" s="1" t="n">
        <f aca="false">S71+1</f>
        <v>1996</v>
      </c>
      <c r="T72" s="722" t="n">
        <v>3231346.71425055</v>
      </c>
      <c r="U72" s="456" t="n">
        <f aca="false">T72/'PIB corriente base 1993'!V11/1000</f>
        <v>0.0118734138888743</v>
      </c>
      <c r="W72" s="1" t="n">
        <f aca="false">12/15</f>
        <v>0.8</v>
      </c>
      <c r="AT72" s="730" t="n">
        <f aca="false">'Cuenta Ahorro-Inversión-Financi'!R65+((-'Cuenta Ahorro-Inversión-Financi'!BL32)/1000/'PIB corriente base 2004'!X20)</f>
        <v>0.0728205273298163</v>
      </c>
      <c r="AU72" s="730" t="n">
        <f aca="false">'Cuenta Ahorro-Inversión-Financi'!T65+(('Cuenta Ahorro-Inversión-Financi'!BC32-'Cuenta Ahorro-Inversión-Financi'!BV32-'Cuenta Ahorro-Inversión-Financi'!BW32-'Cuenta Ahorro-Inversión-Financi'!BP32-'Cuenta Ahorro-Inversión-Financi'!BQ32)/1000/'PIB corriente base 2004'!X20)</f>
        <v>0.0148648891077564</v>
      </c>
      <c r="AV72" s="456" t="n">
        <f aca="false">('Cuenta Ahorro-Inversión-Financi'!BS32)/1000/'PIB corriente base 2004'!X20</f>
        <v>0.00263630884740172</v>
      </c>
      <c r="AX72" s="456" t="n">
        <f aca="false">'Cuenta Ahorro-Inversión-Financi'!AZ66-'Cuenta Ahorro-Inversión-Financi'!AW66</f>
        <v>0.0158297914529485</v>
      </c>
    </row>
    <row r="73" customFormat="false" ht="14.45" hidden="false" customHeight="true" outlineLevel="0" collapsed="false">
      <c r="S73" s="1" t="n">
        <f aca="false">S72+1</f>
        <v>1997</v>
      </c>
      <c r="T73" s="729" t="n">
        <v>3598188.08761998</v>
      </c>
      <c r="U73" s="456" t="n">
        <f aca="false">T73/'PIB corriente base 1993'!V12/1000</f>
        <v>0.0122864231415156</v>
      </c>
      <c r="AT73" s="730" t="n">
        <f aca="false">'Cuenta Ahorro-Inversión-Financi'!R66+((-'Cuenta Ahorro-Inversión-Financi'!BL33)/1000/'PIB corriente base 2004'!X21)</f>
        <v>0.0796805362633602</v>
      </c>
      <c r="AU73" s="730" t="n">
        <f aca="false">'Cuenta Ahorro-Inversión-Financi'!T66+(('Cuenta Ahorro-Inversión-Financi'!BC33-'Cuenta Ahorro-Inversión-Financi'!BV33-'Cuenta Ahorro-Inversión-Financi'!BW33-'Cuenta Ahorro-Inversión-Financi'!BP33-'Cuenta Ahorro-Inversión-Financi'!BQ33)/1000/'PIB corriente base 2004'!X21)</f>
        <v>0.0123233595510443</v>
      </c>
      <c r="AV73" s="456" t="n">
        <f aca="false">('Cuenta Ahorro-Inversión-Financi'!BS33)/1000/'PIB corriente base 2004'!X21</f>
        <v>0.00297079733174157</v>
      </c>
      <c r="AX73" s="456"/>
    </row>
    <row r="74" customFormat="false" ht="14.45" hidden="false" customHeight="true" outlineLevel="0" collapsed="false">
      <c r="S74" s="1" t="n">
        <f aca="false">S73+1</f>
        <v>1998</v>
      </c>
      <c r="T74" s="722" t="n">
        <v>3797640.46271228</v>
      </c>
      <c r="U74" s="456" t="n">
        <f aca="false">T74/'PIB corriente base 1993'!V13/1000</f>
        <v>0.0127033327129764</v>
      </c>
      <c r="V74" s="141" t="s">
        <v>990</v>
      </c>
      <c r="W74" s="74"/>
      <c r="X74" s="74"/>
      <c r="Y74" s="74"/>
      <c r="Z74" s="74"/>
      <c r="AA74" s="143"/>
      <c r="AT74" s="730"/>
      <c r="AU74" s="730"/>
    </row>
    <row r="75" customFormat="false" ht="14.45" hidden="false" customHeight="true" outlineLevel="0" collapsed="false">
      <c r="S75" s="1" t="n">
        <f aca="false">S74+1</f>
        <v>1999</v>
      </c>
      <c r="T75" s="729" t="n">
        <v>3702544.47452621</v>
      </c>
      <c r="U75" s="456" t="n">
        <f aca="false">T75/'PIB corriente base 1993'!V14/1000</f>
        <v>0.0130590610333592</v>
      </c>
      <c r="V75" s="731" t="n">
        <v>2996491748.43</v>
      </c>
      <c r="W75" s="732" t="n">
        <f aca="false">X75-V75</f>
        <v>0</v>
      </c>
      <c r="X75" s="733" t="n">
        <v>2996491748.43</v>
      </c>
      <c r="Y75" s="162" t="s">
        <v>991</v>
      </c>
      <c r="Z75" s="162"/>
      <c r="AA75" s="161"/>
    </row>
    <row r="76" customFormat="false" ht="52.5" hidden="false" customHeight="true" outlineLevel="0" collapsed="false">
      <c r="S76" s="1" t="n">
        <f aca="false">S75+1</f>
        <v>2000</v>
      </c>
      <c r="T76" s="722" t="n">
        <v>3765213.6844696</v>
      </c>
      <c r="U76" s="456" t="n">
        <f aca="false">T76/'PIB corriente base 1993'!V15/1000</f>
        <v>0.0132482904466693</v>
      </c>
      <c r="V76" s="731" t="n">
        <f aca="false">X76-CN33*1000</f>
        <v>41459332690.19</v>
      </c>
      <c r="W76" s="732" t="n">
        <f aca="false">X76-V76</f>
        <v>2012218469.46</v>
      </c>
      <c r="X76" s="733" t="n">
        <v>43471551159.65</v>
      </c>
      <c r="Y76" s="162" t="s">
        <v>992</v>
      </c>
      <c r="Z76" s="162"/>
      <c r="AA76" s="161"/>
      <c r="BC76" s="1" t="s">
        <v>993</v>
      </c>
    </row>
    <row r="77" customFormat="false" ht="14.45" hidden="false" customHeight="true" outlineLevel="0" collapsed="false">
      <c r="S77" s="1" t="n">
        <f aca="false">S76+1</f>
        <v>2001</v>
      </c>
      <c r="T77" s="729" t="n">
        <v>3343942.45631307</v>
      </c>
      <c r="U77" s="456" t="n">
        <f aca="false">T77/'PIB corriente base 1993'!V16/1000</f>
        <v>0.0124450443431941</v>
      </c>
      <c r="V77" s="731" t="n">
        <f aca="false">X77-CN34*1000</f>
        <v>74162737535.27</v>
      </c>
      <c r="W77" s="732" t="n">
        <f aca="false">X77-V77</f>
        <v>5468244013.05</v>
      </c>
      <c r="X77" s="734" t="n">
        <v>79630981548.32</v>
      </c>
      <c r="Y77" s="162" t="s">
        <v>994</v>
      </c>
      <c r="Z77" s="162"/>
      <c r="AA77" s="161"/>
    </row>
    <row r="78" customFormat="false" ht="14.45" hidden="false" customHeight="true" outlineLevel="0" collapsed="false">
      <c r="S78" s="1" t="n">
        <f aca="false">S77+1</f>
        <v>2002</v>
      </c>
      <c r="T78" s="722" t="n">
        <v>3012321.73270982</v>
      </c>
      <c r="U78" s="456" t="n">
        <f aca="false">T78/'PIB corriente base 1993'!V17/1000</f>
        <v>0.00963695804700716</v>
      </c>
      <c r="V78" s="731" t="n">
        <f aca="false">X78-CN35*1000</f>
        <v>90843373470.66</v>
      </c>
      <c r="W78" s="732" t="n">
        <f aca="false">X78-V78</f>
        <v>6123626529.34</v>
      </c>
      <c r="X78" s="734" t="n">
        <v>96967000000</v>
      </c>
      <c r="Y78" s="162" t="s">
        <v>995</v>
      </c>
      <c r="Z78" s="162"/>
      <c r="AA78" s="161"/>
    </row>
    <row r="79" customFormat="false" ht="14.45" hidden="false" customHeight="true" outlineLevel="0" collapsed="false">
      <c r="S79" s="1" t="n">
        <f aca="false">S78+1</f>
        <v>2003</v>
      </c>
      <c r="T79" s="729" t="n">
        <v>4436735.16197493</v>
      </c>
      <c r="U79" s="456" t="n">
        <f aca="false">T79/'PIB corriente base 1993'!V18/1000</f>
        <v>0.0118026727120887</v>
      </c>
      <c r="V79" s="159" t="s">
        <v>996</v>
      </c>
      <c r="W79" s="162" t="s">
        <v>997</v>
      </c>
      <c r="X79" s="162" t="s">
        <v>998</v>
      </c>
      <c r="Y79" s="162"/>
      <c r="Z79" s="162"/>
      <c r="AA79" s="161"/>
      <c r="AV79" s="702"/>
      <c r="AW79" s="702"/>
      <c r="AX79" s="702"/>
      <c r="AY79" s="702"/>
      <c r="AZ79" s="702"/>
      <c r="BA79" s="702"/>
      <c r="BB79" s="702"/>
      <c r="BC79" s="702"/>
      <c r="BD79" s="702"/>
      <c r="BE79" s="702"/>
      <c r="BF79" s="702"/>
      <c r="BG79" s="702"/>
    </row>
    <row r="80" customFormat="false" ht="14.45" hidden="false" customHeight="true" outlineLevel="0" collapsed="false">
      <c r="S80" s="1" t="n">
        <f aca="false">S79+1</f>
        <v>2004</v>
      </c>
      <c r="T80" s="722" t="n">
        <v>6613425.98806711</v>
      </c>
      <c r="U80" s="456" t="n">
        <f aca="false">T80/1000/'PIB corriente base 2004'!X8</f>
        <v>0.0136326919048979</v>
      </c>
      <c r="V80" s="735"/>
      <c r="W80" s="736"/>
      <c r="X80" s="736"/>
      <c r="Y80" s="736"/>
      <c r="Z80" s="736"/>
      <c r="AA80" s="737"/>
      <c r="AV80" s="702"/>
      <c r="AW80" s="738" t="s">
        <v>999</v>
      </c>
      <c r="AX80" s="739" t="s">
        <v>1000</v>
      </c>
      <c r="AY80" s="739" t="s">
        <v>1001</v>
      </c>
      <c r="AZ80" s="739" t="s">
        <v>1002</v>
      </c>
      <c r="BA80" s="702"/>
      <c r="BB80" s="702"/>
      <c r="BC80" s="702"/>
      <c r="BD80" s="702"/>
      <c r="BE80" s="702"/>
      <c r="BF80" s="702"/>
      <c r="BG80" s="702"/>
    </row>
    <row r="81" customFormat="false" ht="14.45" hidden="false" customHeight="true" outlineLevel="0" collapsed="false">
      <c r="S81" s="1" t="n">
        <f aca="false">S80+1</f>
        <v>2005</v>
      </c>
      <c r="T81" s="729" t="n">
        <v>8146311.50442478</v>
      </c>
      <c r="U81" s="456" t="n">
        <f aca="false">T81/1000/'PIB corriente base 2004'!X9</f>
        <v>0.0139841677041514</v>
      </c>
      <c r="AV81" s="708" t="n">
        <v>1993</v>
      </c>
      <c r="AW81" s="709" t="n">
        <f aca="false">'Cuenta Ahorro-Inversión-Financi'!AX42</f>
        <v>-0.00763455641206984</v>
      </c>
      <c r="AX81" s="709" t="n">
        <f aca="false">'Cuenta Ahorro-Inversión-Financi'!AY42</f>
        <v>-0.000446069275463893</v>
      </c>
      <c r="AY81" s="709"/>
      <c r="AZ81" s="702"/>
      <c r="BA81" s="702"/>
      <c r="BB81" s="702"/>
      <c r="BC81" s="702"/>
      <c r="BD81" s="702"/>
      <c r="BE81" s="702"/>
      <c r="BF81" s="702"/>
      <c r="BG81" s="702"/>
    </row>
    <row r="82" customFormat="false" ht="14.45" hidden="false" customHeight="true" outlineLevel="0" collapsed="false">
      <c r="S82" s="1" t="n">
        <f aca="false">S81+1</f>
        <v>2006</v>
      </c>
      <c r="T82" s="722" t="n">
        <v>10103645.4250591</v>
      </c>
      <c r="U82" s="456" t="n">
        <f aca="false">T82/1000/'PIB corriente base 2004'!X10</f>
        <v>0.0141131235333868</v>
      </c>
      <c r="AV82" s="714" t="n">
        <v>1994</v>
      </c>
      <c r="AW82" s="712" t="n">
        <f aca="false">'Cuenta Ahorro-Inversión-Financi'!AX43</f>
        <v>-0.0166238261720029</v>
      </c>
      <c r="AX82" s="712" t="n">
        <f aca="false">'Cuenta Ahorro-Inversión-Financi'!AY43</f>
        <v>-0.0130853294610615</v>
      </c>
      <c r="AY82" s="712"/>
      <c r="AZ82" s="702"/>
      <c r="BA82" s="702"/>
      <c r="BB82" s="702"/>
      <c r="BC82" s="702"/>
      <c r="BD82" s="702"/>
      <c r="BE82" s="702"/>
      <c r="BF82" s="702"/>
      <c r="BG82" s="702"/>
    </row>
    <row r="83" customFormat="false" ht="14.45" hidden="false" customHeight="true" outlineLevel="0" collapsed="false">
      <c r="S83" s="1" t="n">
        <f aca="false">S82+1</f>
        <v>2007</v>
      </c>
      <c r="T83" s="729" t="n">
        <v>13371549.19129</v>
      </c>
      <c r="U83" s="456" t="n">
        <f aca="false">T83/1000/'PIB corriente base 2004'!X11</f>
        <v>0.0149072962567154</v>
      </c>
      <c r="AV83" s="714" t="n">
        <v>1995</v>
      </c>
      <c r="AW83" s="709" t="n">
        <f aca="false">'Cuenta Ahorro-Inversión-Financi'!AX44</f>
        <v>-0.0113325377545191</v>
      </c>
      <c r="AX83" s="709" t="n">
        <f aca="false">'Cuenta Ahorro-Inversión-Financi'!AY44</f>
        <v>-0.00637934959758819</v>
      </c>
      <c r="AY83" s="709"/>
      <c r="AZ83" s="702"/>
      <c r="BA83" s="702"/>
      <c r="BB83" s="702"/>
      <c r="BC83" s="702"/>
      <c r="BD83" s="702"/>
      <c r="BE83" s="702"/>
      <c r="BF83" s="702"/>
      <c r="BG83" s="702"/>
    </row>
    <row r="84" customFormat="false" ht="14.45" hidden="false" customHeight="true" outlineLevel="0" collapsed="false">
      <c r="S84" s="1" t="n">
        <f aca="false">S83+1</f>
        <v>2008</v>
      </c>
      <c r="T84" s="722" t="n">
        <v>16753835.7595</v>
      </c>
      <c r="U84" s="456" t="n">
        <f aca="false">T84/1000/'PIB corriente base 2004'!X12</f>
        <v>0.0145730376476074</v>
      </c>
      <c r="AV84" s="714" t="n">
        <v>1996</v>
      </c>
      <c r="AW84" s="712" t="n">
        <f aca="false">'Cuenta Ahorro-Inversión-Financi'!AX45</f>
        <v>-0.00969995963704045</v>
      </c>
      <c r="AX84" s="712" t="n">
        <f aca="false">'Cuenta Ahorro-Inversión-Financi'!AY45</f>
        <v>-0.00528730473079139</v>
      </c>
      <c r="AY84" s="712"/>
      <c r="AZ84" s="702"/>
      <c r="BA84" s="702"/>
      <c r="BB84" s="702"/>
      <c r="BC84" s="702"/>
      <c r="BD84" s="702"/>
      <c r="BE84" s="702"/>
      <c r="BF84" s="702"/>
      <c r="BG84" s="702"/>
    </row>
    <row r="85" customFormat="false" ht="14.45" hidden="false" customHeight="true" outlineLevel="0" collapsed="false">
      <c r="S85" s="1" t="n">
        <f aca="false">S84+1</f>
        <v>2009</v>
      </c>
      <c r="T85" s="729" t="n">
        <v>18241431.1264</v>
      </c>
      <c r="U85" s="456" t="n">
        <f aca="false">T85/1000/'PIB corriente base 2004'!X13</f>
        <v>0.0146173597980544</v>
      </c>
      <c r="AV85" s="714" t="n">
        <v>1997</v>
      </c>
      <c r="AW85" s="709" t="n">
        <f aca="false">'Cuenta Ahorro-Inversión-Financi'!AX46</f>
        <v>-0.00822490831479743</v>
      </c>
      <c r="AX85" s="709" t="n">
        <f aca="false">'Cuenta Ahorro-Inversión-Financi'!AY46</f>
        <v>-0.00315594528811225</v>
      </c>
      <c r="AY85" s="709"/>
      <c r="AZ85" s="702"/>
      <c r="BA85" s="702"/>
      <c r="BB85" s="702"/>
      <c r="BC85" s="702"/>
      <c r="BD85" s="702"/>
      <c r="BE85" s="702"/>
      <c r="BF85" s="702"/>
      <c r="BG85" s="702"/>
    </row>
    <row r="86" customFormat="false" ht="14.45" hidden="false" customHeight="true" outlineLevel="0" collapsed="false">
      <c r="S86" s="1" t="n">
        <f aca="false">S85+1</f>
        <v>2010</v>
      </c>
      <c r="T86" s="722" t="n">
        <v>24500782.05837</v>
      </c>
      <c r="U86" s="456" t="n">
        <f aca="false">T86/1000/'PIB corriente base 2004'!X14</f>
        <v>0.0147442218942046</v>
      </c>
      <c r="AV86" s="714" t="n">
        <v>1998</v>
      </c>
      <c r="AW86" s="712" t="n">
        <f aca="false">'Cuenta Ahorro-Inversión-Financi'!AX47</f>
        <v>-0.00718266005903036</v>
      </c>
      <c r="AX86" s="712" t="n">
        <f aca="false">'Cuenta Ahorro-Inversión-Financi'!AY47</f>
        <v>-0.00266006212398561</v>
      </c>
      <c r="AY86" s="712"/>
      <c r="AZ86" s="702"/>
      <c r="BA86" s="702"/>
      <c r="BB86" s="702"/>
      <c r="BC86" s="702"/>
      <c r="BD86" s="702"/>
      <c r="BE86" s="702"/>
      <c r="BF86" s="702"/>
      <c r="BG86" s="702"/>
    </row>
    <row r="87" customFormat="false" ht="14.45" hidden="false" customHeight="true" outlineLevel="0" collapsed="false">
      <c r="S87" s="1" t="n">
        <f aca="false">S86+1</f>
        <v>2011</v>
      </c>
      <c r="T87" s="729" t="n">
        <v>32436095.45798</v>
      </c>
      <c r="U87" s="456" t="n">
        <f aca="false">T87/1000/'PIB corriente base 2004'!X15</f>
        <v>0.0148856065446608</v>
      </c>
      <c r="AV87" s="714" t="n">
        <v>1999</v>
      </c>
      <c r="AW87" s="709" t="n">
        <f aca="false">'Cuenta Ahorro-Inversión-Financi'!AX48</f>
        <v>-0.012137170742735</v>
      </c>
      <c r="AX87" s="709" t="n">
        <f aca="false">'Cuenta Ahorro-Inversión-Financi'!AY48</f>
        <v>-0.0077596880146275</v>
      </c>
      <c r="AY87" s="709"/>
      <c r="AZ87" s="702"/>
      <c r="BA87" s="702"/>
      <c r="BB87" s="702"/>
      <c r="BC87" s="702"/>
      <c r="BD87" s="702"/>
      <c r="BE87" s="702"/>
      <c r="BF87" s="702"/>
      <c r="BG87" s="702"/>
    </row>
    <row r="88" customFormat="false" ht="14.45" hidden="false" customHeight="true" outlineLevel="0" collapsed="false">
      <c r="S88" s="1" t="n">
        <f aca="false">S87+1</f>
        <v>2012</v>
      </c>
      <c r="T88" s="722" t="n">
        <v>41041468.20529</v>
      </c>
      <c r="U88" s="456" t="n">
        <f aca="false">T88/1000/'PIB corriente base 2004'!X16</f>
        <v>0.0155583049965991</v>
      </c>
      <c r="AV88" s="714" t="n">
        <v>2000</v>
      </c>
      <c r="AW88" s="712" t="n">
        <f aca="false">'Cuenta Ahorro-Inversión-Financi'!AX49</f>
        <v>-0.011563041471358</v>
      </c>
      <c r="AX88" s="712" t="n">
        <f aca="false">'Cuenta Ahorro-Inversión-Financi'!AY49</f>
        <v>-0.00673854445377408</v>
      </c>
      <c r="AY88" s="712"/>
      <c r="AZ88" s="702"/>
      <c r="BA88" s="702"/>
      <c r="BB88" s="702"/>
      <c r="BC88" s="702"/>
      <c r="BD88" s="702"/>
      <c r="BE88" s="702"/>
      <c r="BF88" s="702"/>
      <c r="BG88" s="702"/>
    </row>
    <row r="89" customFormat="false" ht="14.45" hidden="false" customHeight="true" outlineLevel="0" collapsed="false">
      <c r="S89" s="1" t="n">
        <f aca="false">S88+1</f>
        <v>2013</v>
      </c>
      <c r="T89" s="729" t="n">
        <v>53287660.80492</v>
      </c>
      <c r="U89" s="456" t="n">
        <f aca="false">T89/1000/'PIB corriente base 2004'!X17</f>
        <v>0.0159148002617685</v>
      </c>
      <c r="V89" s="456" t="n">
        <f aca="false">AVERAGE(U84:U93)</f>
        <v>0.0153195118790881</v>
      </c>
      <c r="AV89" s="714" t="n">
        <v>2001</v>
      </c>
      <c r="AW89" s="709" t="n">
        <f aca="false">'Cuenta Ahorro-Inversión-Financi'!AX50</f>
        <v>-0.0141037996213311</v>
      </c>
      <c r="AX89" s="709" t="n">
        <f aca="false">'Cuenta Ahorro-Inversión-Financi'!AY50</f>
        <v>-0.0101649287372602</v>
      </c>
      <c r="AY89" s="709"/>
      <c r="AZ89" s="702"/>
      <c r="BA89" s="702"/>
      <c r="BB89" s="702"/>
      <c r="BC89" s="702"/>
      <c r="BD89" s="702"/>
      <c r="BE89" s="702"/>
      <c r="BF89" s="702"/>
      <c r="BG89" s="702"/>
    </row>
    <row r="90" customFormat="false" ht="14.45" hidden="false" customHeight="true" outlineLevel="0" collapsed="false">
      <c r="S90" s="1" t="n">
        <f aca="false">S89+1</f>
        <v>2014</v>
      </c>
      <c r="T90" s="722" t="n">
        <v>72676066.20744</v>
      </c>
      <c r="U90" s="456" t="n">
        <f aca="false">T90/1000/'PIB corriente base 2004'!X18</f>
        <v>0.015871302582137</v>
      </c>
      <c r="AV90" s="714" t="n">
        <v>2002</v>
      </c>
      <c r="AW90" s="712" t="n">
        <f aca="false">'Cuenta Ahorro-Inversión-Financi'!AX51</f>
        <v>-0.014278091906323</v>
      </c>
      <c r="AX90" s="712" t="n">
        <f aca="false">'Cuenta Ahorro-Inversión-Financi'!AY51</f>
        <v>-0.0114398617982835</v>
      </c>
      <c r="AY90" s="712"/>
      <c r="AZ90" s="702"/>
      <c r="BA90" s="648"/>
      <c r="BB90" s="702"/>
      <c r="BC90" s="702"/>
      <c r="BD90" s="702"/>
      <c r="BE90" s="702"/>
      <c r="BF90" s="702"/>
      <c r="BG90" s="702"/>
    </row>
    <row r="91" customFormat="false" ht="39.2" hidden="false" customHeight="true" outlineLevel="0" collapsed="false">
      <c r="S91" s="1" t="n">
        <f aca="false">S90+1</f>
        <v>2015</v>
      </c>
      <c r="T91" s="729" t="n">
        <v>95600316.12798</v>
      </c>
      <c r="U91" s="456" t="n">
        <f aca="false">T91/1000/'PIB corriente base 2004'!X19</f>
        <v>0.0160551081025211</v>
      </c>
      <c r="AV91" s="714" t="n">
        <v>2003</v>
      </c>
      <c r="AW91" s="709" t="n">
        <f aca="false">'Cuenta Ahorro-Inversión-Financi'!AX52</f>
        <v>-0.00993357124530309</v>
      </c>
      <c r="AX91" s="709" t="n">
        <f aca="false">'Cuenta Ahorro-Inversión-Financi'!AY52</f>
        <v>-0.00492707399415027</v>
      </c>
      <c r="AY91" s="709"/>
      <c r="AZ91" s="702"/>
      <c r="BA91" s="702"/>
      <c r="BB91" s="702"/>
      <c r="BC91" s="702"/>
      <c r="BD91" s="702"/>
      <c r="BE91" s="702"/>
      <c r="BF91" s="702"/>
      <c r="BG91" s="702"/>
    </row>
    <row r="92" customFormat="false" ht="14.45" hidden="false" customHeight="true" outlineLevel="0" collapsed="false">
      <c r="S92" s="1" t="n">
        <f aca="false">S91+1</f>
        <v>2016</v>
      </c>
      <c r="T92" s="722" t="n">
        <v>126199197.124</v>
      </c>
      <c r="U92" s="456" t="n">
        <f aca="false">T92/1000/'PIB corriente base 2004'!X20</f>
        <v>0.0153374756841884</v>
      </c>
      <c r="V92" s="456" t="n">
        <f aca="false">U92*12/15</f>
        <v>0.0122699805473507</v>
      </c>
      <c r="W92" s="456" t="n">
        <f aca="false">V92-V89</f>
        <v>-0.0030495313317374</v>
      </c>
      <c r="AV92" s="714" t="n">
        <v>2004</v>
      </c>
      <c r="AW92" s="712" t="n">
        <f aca="false">'Cuenta Ahorro-Inversión-Financi'!AX53</f>
        <v>-0.00326072523666776</v>
      </c>
      <c r="AX92" s="712" t="n">
        <f aca="false">'Cuenta Ahorro-Inversión-Financi'!AY53</f>
        <v>0.00382133245719463</v>
      </c>
      <c r="AY92" s="712"/>
      <c r="AZ92" s="702"/>
      <c r="BA92" s="702"/>
      <c r="BB92" s="702"/>
      <c r="BC92" s="702"/>
      <c r="BD92" s="702"/>
      <c r="BE92" s="702"/>
      <c r="BF92" s="702"/>
      <c r="BG92" s="702"/>
    </row>
    <row r="93" customFormat="false" ht="14.45" hidden="false" customHeight="true" outlineLevel="0" collapsed="false">
      <c r="S93" s="1" t="n">
        <f aca="false">S92+1</f>
        <v>2017</v>
      </c>
      <c r="T93" s="729" t="n">
        <v>166462000</v>
      </c>
      <c r="U93" s="456" t="n">
        <f aca="false">T93/1000/'PIB corriente base 2004'!X21</f>
        <v>0.0156379012791399</v>
      </c>
      <c r="V93" s="456" t="n">
        <f aca="false">U93*9/15</f>
        <v>0.00938274076748396</v>
      </c>
      <c r="W93" s="456" t="n">
        <f aca="false">V93-V89</f>
        <v>-0.00593677111160417</v>
      </c>
      <c r="AV93" s="714" t="n">
        <v>2005</v>
      </c>
      <c r="AW93" s="709" t="n">
        <f aca="false">'Cuenta Ahorro-Inversión-Financi'!AX54</f>
        <v>-0.000413025410312302</v>
      </c>
      <c r="AX93" s="709" t="n">
        <f aca="false">'Cuenta Ahorro-Inversión-Financi'!AY54</f>
        <v>0.00757769102751198</v>
      </c>
      <c r="AY93" s="709"/>
      <c r="AZ93" s="702"/>
      <c r="BA93" s="702"/>
      <c r="BB93" s="702"/>
      <c r="BC93" s="702"/>
      <c r="BD93" s="702"/>
      <c r="BE93" s="702"/>
      <c r="BF93" s="702"/>
      <c r="BG93" s="702"/>
    </row>
    <row r="94" customFormat="false" ht="14.45" hidden="false" customHeight="true" outlineLevel="0" collapsed="false">
      <c r="E94" s="695" t="s">
        <v>775</v>
      </c>
      <c r="F94" s="740" t="s">
        <v>943</v>
      </c>
      <c r="G94" s="740" t="s">
        <v>945</v>
      </c>
      <c r="H94" s="740" t="s">
        <v>946</v>
      </c>
      <c r="I94" s="596" t="s">
        <v>953</v>
      </c>
      <c r="J94" s="596" t="s">
        <v>955</v>
      </c>
      <c r="K94" s="596" t="s">
        <v>956</v>
      </c>
      <c r="L94" s="698" t="s">
        <v>970</v>
      </c>
      <c r="M94" s="698" t="s">
        <v>971</v>
      </c>
      <c r="V94" s="456" t="n">
        <f aca="false">V89*6/15</f>
        <v>0.00612780475163525</v>
      </c>
      <c r="W94" s="456" t="n">
        <f aca="false">V94-V89</f>
        <v>-0.00919170712745288</v>
      </c>
      <c r="Z94" s="695" t="s">
        <v>1003</v>
      </c>
      <c r="AA94" s="698" t="s">
        <v>1004</v>
      </c>
      <c r="AB94" s="698" t="s">
        <v>1005</v>
      </c>
      <c r="AV94" s="714" t="n">
        <v>2006</v>
      </c>
      <c r="AW94" s="712" t="n">
        <f aca="false">'Cuenta Ahorro-Inversión-Financi'!AX55</f>
        <v>0.00132851902591188</v>
      </c>
      <c r="AX94" s="712" t="n">
        <f aca="false">'Cuenta Ahorro-Inversión-Financi'!AY55</f>
        <v>0.00917791831736937</v>
      </c>
      <c r="AY94" s="712"/>
      <c r="AZ94" s="702"/>
      <c r="BA94" s="702"/>
      <c r="BB94" s="702"/>
      <c r="BC94" s="702"/>
      <c r="BD94" s="702"/>
      <c r="BE94" s="702"/>
      <c r="BF94" s="702"/>
      <c r="BG94" s="702"/>
    </row>
    <row r="95" customFormat="false" ht="14.45" hidden="false" customHeight="true" outlineLevel="0" collapsed="false">
      <c r="E95" s="695"/>
      <c r="F95" s="740"/>
      <c r="G95" s="740"/>
      <c r="H95" s="740"/>
      <c r="I95" s="596"/>
      <c r="J95" s="596"/>
      <c r="K95" s="596"/>
      <c r="L95" s="698"/>
      <c r="M95" s="698"/>
      <c r="V95" s="456" t="n">
        <f aca="false">V89*3/15</f>
        <v>0.00306390237581763</v>
      </c>
      <c r="W95" s="456" t="n">
        <f aca="false">V95-V89</f>
        <v>-0.0122556095032705</v>
      </c>
      <c r="Z95" s="695"/>
      <c r="AA95" s="698"/>
      <c r="AB95" s="698"/>
      <c r="AV95" s="714" t="n">
        <v>2007</v>
      </c>
      <c r="AW95" s="709" t="n">
        <f aca="false">'Cuenta Ahorro-Inversión-Financi'!AX56</f>
        <v>0.00288396546107231</v>
      </c>
      <c r="AX95" s="709" t="n">
        <f aca="false">'Cuenta Ahorro-Inversión-Financi'!AY56</f>
        <v>0.0108470293692913</v>
      </c>
      <c r="AY95" s="709"/>
      <c r="AZ95" s="702"/>
      <c r="BA95" s="702"/>
      <c r="BB95" s="702"/>
      <c r="BC95" s="702"/>
      <c r="BD95" s="702"/>
      <c r="BE95" s="702"/>
      <c r="BF95" s="702"/>
      <c r="BG95" s="702"/>
    </row>
    <row r="96" customFormat="false" ht="14.45" hidden="false" customHeight="true" outlineLevel="0" collapsed="false">
      <c r="E96" s="741" t="n">
        <v>1993</v>
      </c>
      <c r="F96" s="742" t="n">
        <v>0.045352832912549</v>
      </c>
      <c r="G96" s="742" t="n">
        <v>0.00135575886721573</v>
      </c>
      <c r="H96" s="742" t="n">
        <v>0.0581347504711977</v>
      </c>
      <c r="I96" s="743" t="n">
        <v>0.0526370931910582</v>
      </c>
      <c r="J96" s="743" t="n">
        <v>0.011642303700453</v>
      </c>
      <c r="K96" s="743" t="n">
        <v>0.0657693068832675</v>
      </c>
      <c r="L96" s="744" t="n">
        <f aca="false">'Cuenta Ahorro-Inversión-Financi'!H96-'Cuenta Ahorro-Inversión-Financi'!G96-'Cuenta Ahorro-Inversión-Financi'!K96</f>
        <v>-0.00899031527928553</v>
      </c>
      <c r="M96" s="744" t="n">
        <f aca="false">'Cuenta Ahorro-Inversión-Financi'!L96+'Cuenta Ahorro-Inversión-Financi'!G96</f>
        <v>-0.0076345564120698</v>
      </c>
      <c r="V96" s="1" t="n">
        <v>0</v>
      </c>
      <c r="W96" s="456" t="n">
        <f aca="false">V96-V89</f>
        <v>-0.0153195118790881</v>
      </c>
      <c r="Z96" s="741" t="n">
        <v>1993</v>
      </c>
      <c r="AA96" s="744"/>
      <c r="AB96" s="744" t="n">
        <f aca="false">'Cuenta Ahorro-Inversión-Financi'!M96</f>
        <v>-0.0076345564120698</v>
      </c>
      <c r="AV96" s="714" t="n">
        <v>2008</v>
      </c>
      <c r="AW96" s="712" t="n">
        <f aca="false">'Cuenta Ahorro-Inversión-Financi'!AX57</f>
        <v>-0.000148969044911088</v>
      </c>
      <c r="AX96" s="712" t="n">
        <f aca="false">'Cuenta Ahorro-Inversión-Financi'!AY57</f>
        <v>0.0057024545724605</v>
      </c>
      <c r="AY96" s="712" t="n">
        <f aca="false">'Cuenta Ahorro-Inversión-Financi'!AZ57</f>
        <v>0.00473047402209589</v>
      </c>
      <c r="AZ96" s="702"/>
      <c r="BA96" s="702"/>
      <c r="BB96" s="702"/>
      <c r="BC96" s="702"/>
      <c r="BD96" s="702"/>
      <c r="BE96" s="702"/>
      <c r="BF96" s="702"/>
      <c r="BG96" s="702"/>
    </row>
    <row r="97" customFormat="false" ht="14.45" hidden="false" customHeight="true" outlineLevel="0" collapsed="false">
      <c r="E97" s="741" t="n">
        <v>1994</v>
      </c>
      <c r="F97" s="745" t="n">
        <v>0.0412406410701487</v>
      </c>
      <c r="G97" s="745" t="n">
        <v>9.53195096879308E-005</v>
      </c>
      <c r="H97" s="745" t="n">
        <v>0.0534228791599228</v>
      </c>
      <c r="I97" s="745" t="n">
        <v>0.0564644262203535</v>
      </c>
      <c r="J97" s="745" t="n">
        <v>0.0124360211037753</v>
      </c>
      <c r="K97" s="745" t="n">
        <v>0.0700467053319257</v>
      </c>
      <c r="L97" s="745" t="n">
        <f aca="false">'Cuenta Ahorro-Inversión-Financi'!H97-'Cuenta Ahorro-Inversión-Financi'!G97-'Cuenta Ahorro-Inversión-Financi'!K97</f>
        <v>-0.0167191456816908</v>
      </c>
      <c r="M97" s="745" t="n">
        <f aca="false">'Cuenta Ahorro-Inversión-Financi'!L97+'Cuenta Ahorro-Inversión-Financi'!G97</f>
        <v>-0.0166238261720029</v>
      </c>
      <c r="Z97" s="741" t="n">
        <v>1994</v>
      </c>
      <c r="AA97" s="745"/>
      <c r="AB97" s="745" t="n">
        <f aca="false">'Cuenta Ahorro-Inversión-Financi'!M97</f>
        <v>-0.0166238261720029</v>
      </c>
      <c r="AV97" s="714" t="n">
        <v>2009</v>
      </c>
      <c r="AW97" s="709" t="n">
        <f aca="false">'Cuenta Ahorro-Inversión-Financi'!AX58</f>
        <v>0.00697013530984234</v>
      </c>
      <c r="AX97" s="709" t="n">
        <f aca="false">'Cuenta Ahorro-Inversión-Financi'!AY58</f>
        <v>0.0102798035709593</v>
      </c>
      <c r="AY97" s="709" t="n">
        <f aca="false">'Cuenta Ahorro-Inversión-Financi'!AZ58</f>
        <v>0.00347884656778641</v>
      </c>
      <c r="AZ97" s="702"/>
      <c r="BA97" s="702"/>
      <c r="BB97" s="702"/>
      <c r="BC97" s="702"/>
      <c r="BD97" s="702"/>
      <c r="BE97" s="702"/>
      <c r="BF97" s="702"/>
      <c r="BG97" s="702"/>
    </row>
    <row r="98" customFormat="false" ht="14.45" hidden="false" customHeight="true" outlineLevel="0" collapsed="false">
      <c r="E98" s="741" t="n">
        <v>1995</v>
      </c>
      <c r="F98" s="742" t="n">
        <v>0.0367162842262927</v>
      </c>
      <c r="G98" s="742" t="n">
        <v>3.16975206724679E-005</v>
      </c>
      <c r="H98" s="742" t="n">
        <v>0.0488601658004833</v>
      </c>
      <c r="I98" s="743" t="n">
        <v>0.0536446703997522</v>
      </c>
      <c r="J98" s="743" t="n">
        <v>0.00535587988298989</v>
      </c>
      <c r="K98" s="743" t="n">
        <v>0.0601927035550024</v>
      </c>
      <c r="L98" s="744" t="n">
        <f aca="false">'Cuenta Ahorro-Inversión-Financi'!H98-'Cuenta Ahorro-Inversión-Financi'!G98-'Cuenta Ahorro-Inversión-Financi'!K98</f>
        <v>-0.0113642352751916</v>
      </c>
      <c r="M98" s="744" t="n">
        <f aca="false">'Cuenta Ahorro-Inversión-Financi'!L98+'Cuenta Ahorro-Inversión-Financi'!G98</f>
        <v>-0.0113325377545191</v>
      </c>
      <c r="Z98" s="741" t="n">
        <v>1995</v>
      </c>
      <c r="AA98" s="744"/>
      <c r="AB98" s="744" t="n">
        <f aca="false">'Cuenta Ahorro-Inversión-Financi'!M98</f>
        <v>-0.0113325377545191</v>
      </c>
      <c r="AV98" s="714" t="n">
        <v>2010</v>
      </c>
      <c r="AW98" s="712" t="n">
        <f aca="false">'Cuenta Ahorro-Inversión-Financi'!AX59</f>
        <v>0.00596264086444474</v>
      </c>
      <c r="AX98" s="712" t="n">
        <f aca="false">'Cuenta Ahorro-Inversión-Financi'!AY59</f>
        <v>0.00935675490863295</v>
      </c>
      <c r="AY98" s="712" t="n">
        <f aca="false">'Cuenta Ahorro-Inversión-Financi'!AZ59</f>
        <v>0.0041123559159343</v>
      </c>
      <c r="AZ98" s="702"/>
      <c r="BA98" s="702"/>
      <c r="BB98" s="702"/>
      <c r="BC98" s="702"/>
      <c r="BD98" s="702"/>
      <c r="BE98" s="702"/>
      <c r="BF98" s="702"/>
      <c r="BG98" s="702"/>
    </row>
    <row r="99" customFormat="false" ht="14.45" hidden="false" customHeight="true" outlineLevel="0" collapsed="false">
      <c r="E99" s="741" t="n">
        <v>1996</v>
      </c>
      <c r="F99" s="746" t="n">
        <v>0.0363846758844649</v>
      </c>
      <c r="G99" s="746" t="n">
        <v>0.000116523274740473</v>
      </c>
      <c r="H99" s="746" t="n">
        <v>0.0511753311669543</v>
      </c>
      <c r="I99" s="745" t="n">
        <v>0.0531622526632245</v>
      </c>
      <c r="J99" s="745" t="n">
        <v>0.00600272468782676</v>
      </c>
      <c r="K99" s="745" t="n">
        <v>0.0608752908039948</v>
      </c>
      <c r="L99" s="745" t="n">
        <f aca="false">'Cuenta Ahorro-Inversión-Financi'!H99-'Cuenta Ahorro-Inversión-Financi'!G99-'Cuenta Ahorro-Inversión-Financi'!K99</f>
        <v>-0.00981648291178097</v>
      </c>
      <c r="M99" s="745" t="n">
        <f aca="false">'Cuenta Ahorro-Inversión-Financi'!L99+'Cuenta Ahorro-Inversión-Financi'!G99</f>
        <v>-0.0096999596370405</v>
      </c>
      <c r="Z99" s="741" t="n">
        <v>1996</v>
      </c>
      <c r="AA99" s="745"/>
      <c r="AB99" s="745" t="n">
        <f aca="false">'Cuenta Ahorro-Inversión-Financi'!M99</f>
        <v>-0.0096999596370405</v>
      </c>
      <c r="AV99" s="714" t="n">
        <v>2011</v>
      </c>
      <c r="AW99" s="709" t="n">
        <f aca="false">'Cuenta Ahorro-Inversión-Financi'!AX60</f>
        <v>0.00657395296942401</v>
      </c>
      <c r="AX99" s="709" t="n">
        <f aca="false">'Cuenta Ahorro-Inversión-Financi'!AY60</f>
        <v>0.00832896113680864</v>
      </c>
      <c r="AY99" s="709" t="n">
        <f aca="false">'Cuenta Ahorro-Inversión-Financi'!AZ60</f>
        <v>0.00326307905881009</v>
      </c>
      <c r="AZ99" s="702"/>
      <c r="BA99" s="702"/>
      <c r="BB99" s="702"/>
      <c r="BC99" s="702"/>
      <c r="BD99" s="702"/>
      <c r="BE99" s="702"/>
      <c r="BF99" s="702"/>
      <c r="BG99" s="702"/>
    </row>
    <row r="100" customFormat="false" ht="14.45" hidden="false" customHeight="true" outlineLevel="0" collapsed="false">
      <c r="E100" s="741" t="n">
        <v>1997</v>
      </c>
      <c r="F100" s="742" t="n">
        <v>0.0349581599781242</v>
      </c>
      <c r="G100" s="742" t="n">
        <v>0.000108303900462984</v>
      </c>
      <c r="H100" s="742" t="n">
        <v>0.048375687457096</v>
      </c>
      <c r="I100" s="747" t="n">
        <v>0.0500659666860674</v>
      </c>
      <c r="J100" s="747" t="n">
        <v>0.00539903006587295</v>
      </c>
      <c r="K100" s="747" t="n">
        <v>0.0566005957718935</v>
      </c>
      <c r="L100" s="744" t="n">
        <f aca="false">'Cuenta Ahorro-Inversión-Financi'!H100-'Cuenta Ahorro-Inversión-Financi'!G100-'Cuenta Ahorro-Inversión-Financi'!K100</f>
        <v>-0.00833321221526048</v>
      </c>
      <c r="M100" s="744" t="n">
        <f aca="false">'Cuenta Ahorro-Inversión-Financi'!L100+'Cuenta Ahorro-Inversión-Financi'!G100</f>
        <v>-0.0082249083147975</v>
      </c>
      <c r="Z100" s="741" t="n">
        <v>1997</v>
      </c>
      <c r="AA100" s="744"/>
      <c r="AB100" s="744" t="n">
        <f aca="false">'Cuenta Ahorro-Inversión-Financi'!M100</f>
        <v>-0.0082249083147975</v>
      </c>
      <c r="AV100" s="714" t="n">
        <v>2012</v>
      </c>
      <c r="AW100" s="712" t="n">
        <f aca="false">'Cuenta Ahorro-Inversión-Financi'!AX61</f>
        <v>0.00622385094743566</v>
      </c>
      <c r="AX100" s="712" t="n">
        <f aca="false">'Cuenta Ahorro-Inversión-Financi'!AY61</f>
        <v>0.00762851417076517</v>
      </c>
      <c r="AY100" s="712" t="n">
        <f aca="false">'Cuenta Ahorro-Inversión-Financi'!AZ61</f>
        <v>0.00105161751029002</v>
      </c>
      <c r="AZ100" s="702"/>
      <c r="BA100" s="702"/>
      <c r="BB100" s="702"/>
      <c r="BC100" s="702"/>
      <c r="BD100" s="702"/>
      <c r="BE100" s="702"/>
      <c r="BF100" s="702"/>
      <c r="BG100" s="702"/>
    </row>
    <row r="101" customFormat="false" ht="14.45" hidden="false" customHeight="true" outlineLevel="0" collapsed="false">
      <c r="E101" s="741" t="n">
        <v>1998</v>
      </c>
      <c r="F101" s="745" t="n">
        <v>0.0264965219233464</v>
      </c>
      <c r="G101" s="745" t="n">
        <v>4.84963051482054E-005</v>
      </c>
      <c r="H101" s="745" t="n">
        <v>0.0478028585762537</v>
      </c>
      <c r="I101" s="745" t="n">
        <v>0.0491903555478579</v>
      </c>
      <c r="J101" s="745" t="n">
        <v>0.00477034993055969</v>
      </c>
      <c r="K101" s="745" t="n">
        <v>0.0549855186352841</v>
      </c>
      <c r="L101" s="745" t="n">
        <f aca="false">'Cuenta Ahorro-Inversión-Financi'!H101-'Cuenta Ahorro-Inversión-Financi'!G101-'Cuenta Ahorro-Inversión-Financi'!K101</f>
        <v>-0.00723115636417861</v>
      </c>
      <c r="M101" s="745" t="n">
        <f aca="false">'Cuenta Ahorro-Inversión-Financi'!L101+'Cuenta Ahorro-Inversión-Financi'!G101</f>
        <v>-0.0071826600590304</v>
      </c>
      <c r="Z101" s="741" t="n">
        <v>1998</v>
      </c>
      <c r="AA101" s="745"/>
      <c r="AB101" s="745" t="n">
        <f aca="false">'Cuenta Ahorro-Inversión-Financi'!M101</f>
        <v>-0.0071826600590304</v>
      </c>
      <c r="AV101" s="714" t="n">
        <v>2013</v>
      </c>
      <c r="AW101" s="709" t="n">
        <f aca="false">'Cuenta Ahorro-Inversión-Financi'!AX62</f>
        <v>0.00503434643186503</v>
      </c>
      <c r="AX101" s="709" t="n">
        <f aca="false">'Cuenta Ahorro-Inversión-Financi'!AY62</f>
        <v>0.0058795781936787</v>
      </c>
      <c r="AY101" s="709" t="n">
        <f aca="false">'Cuenta Ahorro-Inversión-Financi'!AZ62</f>
        <v>-0.000951668558161176</v>
      </c>
      <c r="AZ101" s="702"/>
      <c r="BA101" s="702"/>
      <c r="BB101" s="702"/>
      <c r="BC101" s="702"/>
      <c r="BD101" s="702"/>
      <c r="BE101" s="702"/>
      <c r="BF101" s="702"/>
      <c r="BG101" s="702"/>
    </row>
    <row r="102" customFormat="false" ht="14.45" hidden="false" customHeight="true" outlineLevel="0" collapsed="false">
      <c r="E102" s="741" t="n">
        <v>1999</v>
      </c>
      <c r="F102" s="742" t="n">
        <v>0.0249055646687138</v>
      </c>
      <c r="G102" s="742" t="n">
        <v>8.90089000381151E-006</v>
      </c>
      <c r="H102" s="742" t="n">
        <v>0.0463447957902552</v>
      </c>
      <c r="I102" s="747" t="n">
        <v>0.0517496903211291</v>
      </c>
      <c r="J102" s="747" t="n">
        <v>0.00587322823822414</v>
      </c>
      <c r="K102" s="747" t="n">
        <v>0.0584819665329902</v>
      </c>
      <c r="L102" s="744" t="n">
        <f aca="false">'Cuenta Ahorro-Inversión-Financi'!H102-'Cuenta Ahorro-Inversión-Financi'!G102-'Cuenta Ahorro-Inversión-Financi'!K102</f>
        <v>-0.0121460716327388</v>
      </c>
      <c r="M102" s="744" t="n">
        <f aca="false">'Cuenta Ahorro-Inversión-Financi'!L102+'Cuenta Ahorro-Inversión-Financi'!G102</f>
        <v>-0.012137170742735</v>
      </c>
      <c r="Z102" s="741" t="n">
        <v>1999</v>
      </c>
      <c r="AA102" s="744"/>
      <c r="AB102" s="744" t="n">
        <f aca="false">'Cuenta Ahorro-Inversión-Financi'!M102</f>
        <v>-0.012137170742735</v>
      </c>
      <c r="AV102" s="714" t="n">
        <v>2014</v>
      </c>
      <c r="AW102" s="712" t="n">
        <f aca="false">'Cuenta Ahorro-Inversión-Financi'!AX63</f>
        <v>0.00553198190989186</v>
      </c>
      <c r="AX102" s="712" t="n">
        <f aca="false">'Cuenta Ahorro-Inversión-Financi'!AY63</f>
        <v>0.00708955151514588</v>
      </c>
      <c r="AY102" s="712" t="n">
        <f aca="false">'Cuenta Ahorro-Inversión-Financi'!AZ63</f>
        <v>-0.00129286375596846</v>
      </c>
      <c r="AZ102" s="702"/>
      <c r="BA102" s="702"/>
      <c r="BB102" s="702"/>
      <c r="BC102" s="702"/>
      <c r="BD102" s="702"/>
      <c r="BE102" s="702"/>
      <c r="BF102" s="702"/>
      <c r="BG102" s="702"/>
    </row>
    <row r="103" customFormat="false" ht="14.45" hidden="false" customHeight="true" outlineLevel="0" collapsed="false">
      <c r="E103" s="741" t="n">
        <v>2000</v>
      </c>
      <c r="F103" s="745" t="n">
        <v>0.0236198765665383</v>
      </c>
      <c r="G103" s="745" t="n">
        <v>5.08058139376392E-006</v>
      </c>
      <c r="H103" s="745" t="n">
        <v>0.04718182791823</v>
      </c>
      <c r="I103" s="745" t="n">
        <v>0.0518501300658357</v>
      </c>
      <c r="J103" s="745" t="n">
        <v>0.00613084017631838</v>
      </c>
      <c r="K103" s="745" t="n">
        <v>0.0587448693895881</v>
      </c>
      <c r="L103" s="745" t="n">
        <f aca="false">'Cuenta Ahorro-Inversión-Financi'!H103-'Cuenta Ahorro-Inversión-Financi'!G103-'Cuenta Ahorro-Inversión-Financi'!K103</f>
        <v>-0.0115681220527519</v>
      </c>
      <c r="M103" s="745" t="n">
        <f aca="false">'Cuenta Ahorro-Inversión-Financi'!L103+'Cuenta Ahorro-Inversión-Financi'!G103</f>
        <v>-0.0115630414713581</v>
      </c>
      <c r="Z103" s="741" t="n">
        <v>2000</v>
      </c>
      <c r="AA103" s="745"/>
      <c r="AB103" s="745" t="n">
        <f aca="false">'Cuenta Ahorro-Inversión-Financi'!M103</f>
        <v>-0.0115630414713581</v>
      </c>
      <c r="AV103" s="714" t="n">
        <v>2015</v>
      </c>
      <c r="AW103" s="709" t="n">
        <f aca="false">'Cuenta Ahorro-Inversión-Financi'!AX64</f>
        <v>-0.000125937015975977</v>
      </c>
      <c r="AX103" s="709" t="n">
        <f aca="false">'Cuenta Ahorro-Inversión-Financi'!AY64</f>
        <v>0.00142387626311401</v>
      </c>
      <c r="AY103" s="709" t="n">
        <f aca="false">'Cuenta Ahorro-Inversión-Financi'!AZ64</f>
        <v>-0.00750733306177321</v>
      </c>
      <c r="AZ103" s="702"/>
      <c r="BA103" s="702"/>
      <c r="BB103" s="702"/>
      <c r="BC103" s="702"/>
      <c r="BD103" s="702"/>
      <c r="BE103" s="702"/>
      <c r="BF103" s="702"/>
      <c r="BG103" s="702"/>
    </row>
    <row r="104" customFormat="false" ht="14.45" hidden="false" customHeight="true" outlineLevel="0" collapsed="false">
      <c r="E104" s="741" t="n">
        <v>2001</v>
      </c>
      <c r="F104" s="742" t="n">
        <v>0.0238758696338049</v>
      </c>
      <c r="G104" s="742" t="n">
        <v>1.27950379999639E-006</v>
      </c>
      <c r="H104" s="742" t="n">
        <v>0.0453229227707823</v>
      </c>
      <c r="I104" s="747" t="n">
        <v>0.0525215308255347</v>
      </c>
      <c r="J104" s="747" t="n">
        <v>0.00621669920590712</v>
      </c>
      <c r="K104" s="747" t="n">
        <v>0.0594267223921134</v>
      </c>
      <c r="L104" s="744" t="n">
        <f aca="false">'Cuenta Ahorro-Inversión-Financi'!H104-'Cuenta Ahorro-Inversión-Financi'!G104-'Cuenta Ahorro-Inversión-Financi'!K104</f>
        <v>-0.0141050791251311</v>
      </c>
      <c r="M104" s="744" t="n">
        <f aca="false">'Cuenta Ahorro-Inversión-Financi'!L104+'Cuenta Ahorro-Inversión-Financi'!G104</f>
        <v>-0.0141037996213311</v>
      </c>
      <c r="Z104" s="741" t="n">
        <v>2001</v>
      </c>
      <c r="AA104" s="744"/>
      <c r="AB104" s="744" t="n">
        <f aca="false">'Cuenta Ahorro-Inversión-Financi'!M104</f>
        <v>-0.0141037996213311</v>
      </c>
      <c r="AV104" s="714" t="n">
        <v>2016</v>
      </c>
      <c r="AW104" s="712" t="n">
        <f aca="false">'Cuenta Ahorro-Inversión-Financi'!AX65-'Cuenta Ahorro-Inversión-Financi'!AQ65</f>
        <v>-0.00906966130470656</v>
      </c>
      <c r="AX104" s="712" t="n">
        <f aca="false">'Cuenta Ahorro-Inversión-Financi'!AY65</f>
        <v>-0.00773292798318479</v>
      </c>
      <c r="AY104" s="712" t="n">
        <f aca="false">'Cuenta Ahorro-Inversión-Financi'!AZ65</f>
        <v>-0.016540512952781</v>
      </c>
      <c r="AZ104" s="712" t="n">
        <f aca="false">AY104-(AJ32+CS32)/'PIB corriente base 2004'!X20/1000</f>
        <v>-0.0203467996958489</v>
      </c>
      <c r="BA104" s="702"/>
      <c r="BB104" s="702"/>
      <c r="BC104" s="702"/>
      <c r="BD104" s="702"/>
      <c r="BE104" s="702"/>
      <c r="BF104" s="702"/>
      <c r="BG104" s="702"/>
      <c r="BM104" s="748"/>
    </row>
    <row r="105" customFormat="false" ht="14.45" hidden="false" customHeight="true" outlineLevel="0" collapsed="false">
      <c r="E105" s="741" t="n">
        <v>2002</v>
      </c>
      <c r="F105" s="745" t="n">
        <v>0.0204511996433966</v>
      </c>
      <c r="G105" s="745" t="n">
        <v>1.71830895387883E-005</v>
      </c>
      <c r="H105" s="745" t="n">
        <v>0.0375241039760657</v>
      </c>
      <c r="I105" s="745" t="n">
        <v>0.0443421627477132</v>
      </c>
      <c r="J105" s="745" t="n">
        <v>0.00678591755475529</v>
      </c>
      <c r="K105" s="745" t="n">
        <v>0.0518021958823888</v>
      </c>
      <c r="L105" s="745" t="n">
        <f aca="false">'Cuenta Ahorro-Inversión-Financi'!H105-'Cuenta Ahorro-Inversión-Financi'!G105-'Cuenta Ahorro-Inversión-Financi'!K105</f>
        <v>-0.0142952749958619</v>
      </c>
      <c r="M105" s="745" t="n">
        <f aca="false">'Cuenta Ahorro-Inversión-Financi'!L105+'Cuenta Ahorro-Inversión-Financi'!G105</f>
        <v>-0.0142780919063231</v>
      </c>
      <c r="Z105" s="741" t="n">
        <v>2002</v>
      </c>
      <c r="AA105" s="745"/>
      <c r="AB105" s="745" t="n">
        <f aca="false">'Cuenta Ahorro-Inversión-Financi'!M105</f>
        <v>-0.0142780919063231</v>
      </c>
      <c r="AV105" s="714" t="n">
        <v>2017</v>
      </c>
      <c r="AW105" s="709" t="n">
        <f aca="false">'Cuenta Ahorro-Inversión-Financi'!AX66-'Cuenta Ahorro-Inversión-Financi'!AQ66</f>
        <v>-0.00868291447067941</v>
      </c>
      <c r="AX105" s="709" t="n">
        <f aca="false">'Cuenta Ahorro-Inversión-Financi'!AY66</f>
        <v>-0.00614048285829008</v>
      </c>
      <c r="AY105" s="709" t="n">
        <f aca="false">'Cuenta Ahorro-Inversión-Financi'!AZ66</f>
        <v>-0.0165001703989284</v>
      </c>
      <c r="AZ105" s="712" t="n">
        <f aca="false">AY105-(AJ33+CS33)/'PIB corriente base 2004'!X21/1000</f>
        <v>-0.0241047020081896</v>
      </c>
      <c r="BA105" s="702"/>
      <c r="BB105" s="702"/>
      <c r="BC105" s="702"/>
      <c r="BD105" s="702"/>
      <c r="BE105" s="702"/>
      <c r="BF105" s="702"/>
      <c r="BG105" s="702"/>
    </row>
    <row r="106" customFormat="false" ht="14.45" hidden="false" customHeight="true" outlineLevel="0" collapsed="false">
      <c r="E106" s="741" t="n">
        <v>2003</v>
      </c>
      <c r="F106" s="742" t="n">
        <v>0.0204726739831029</v>
      </c>
      <c r="G106" s="742" t="n">
        <v>5.45970901702129E-006</v>
      </c>
      <c r="H106" s="742" t="n">
        <v>0.0403337211014856</v>
      </c>
      <c r="I106" s="747" t="n">
        <v>0.0414155099169041</v>
      </c>
      <c r="J106" s="747" t="n">
        <v>0.00815617118660916</v>
      </c>
      <c r="K106" s="747" t="n">
        <v>0.0502672923467887</v>
      </c>
      <c r="L106" s="744" t="n">
        <f aca="false">'Cuenta Ahorro-Inversión-Financi'!H106-'Cuenta Ahorro-Inversión-Financi'!G106-'Cuenta Ahorro-Inversión-Financi'!K106</f>
        <v>-0.00993903095432012</v>
      </c>
      <c r="M106" s="744" t="n">
        <f aca="false">'Cuenta Ahorro-Inversión-Financi'!L106+'Cuenta Ahorro-Inversión-Financi'!G106</f>
        <v>-0.0099335712453031</v>
      </c>
      <c r="Z106" s="741" t="n">
        <v>2003</v>
      </c>
      <c r="AA106" s="744"/>
      <c r="AB106" s="744" t="n">
        <f aca="false">'Cuenta Ahorro-Inversión-Financi'!M106</f>
        <v>-0.0099335712453031</v>
      </c>
      <c r="AV106" s="726" t="n">
        <v>2018</v>
      </c>
      <c r="AW106" s="749" t="n">
        <f aca="false">'Cuenta Ahorro-Inversión-Financi'!AX67-'Cuenta Ahorro-Inversión-Financi'!AQ67</f>
        <v>-0.00114497132561972</v>
      </c>
      <c r="AX106" s="749" t="n">
        <f aca="false">'Cuenta Ahorro-Inversión-Financi'!AY67</f>
        <v>0.00644074962286809</v>
      </c>
      <c r="AY106" s="749" t="n">
        <f aca="false">'Cuenta Ahorro-Inversión-Financi'!AZ67</f>
        <v>-0.00613813731184667</v>
      </c>
      <c r="AZ106" s="712" t="n">
        <f aca="false">AY106-(AJ34+CS34)/'PIB corriente base 2004'!X22/1000</f>
        <v>-0.0182717978002125</v>
      </c>
      <c r="BA106" s="750"/>
      <c r="BB106" s="750"/>
      <c r="BC106" s="702"/>
      <c r="BD106" s="702"/>
      <c r="BE106" s="702"/>
      <c r="BF106" s="702"/>
      <c r="BG106" s="702"/>
      <c r="BJ106" s="748"/>
      <c r="BK106" s="748"/>
      <c r="BL106" s="748"/>
    </row>
    <row r="107" customFormat="false" ht="14.45" hidden="false" customHeight="true" outlineLevel="0" collapsed="false">
      <c r="E107" s="741" t="n">
        <v>2004</v>
      </c>
      <c r="F107" s="745" t="n">
        <v>0.0198583910397535</v>
      </c>
      <c r="G107" s="745" t="n">
        <v>2.30881062634633E-005</v>
      </c>
      <c r="H107" s="745" t="n">
        <v>0.0415558561932119</v>
      </c>
      <c r="I107" s="745" t="n">
        <v>0.0367054508298032</v>
      </c>
      <c r="J107" s="745" t="n">
        <v>0.00749095682578358</v>
      </c>
      <c r="K107" s="745" t="n">
        <v>0.0448165827387321</v>
      </c>
      <c r="L107" s="745" t="n">
        <f aca="false">'Cuenta Ahorro-Inversión-Financi'!H107-'Cuenta Ahorro-Inversión-Financi'!G107-'Cuenta Ahorro-Inversión-Financi'!K107</f>
        <v>-0.00328381465178366</v>
      </c>
      <c r="M107" s="745" t="n">
        <f aca="false">'Cuenta Ahorro-Inversión-Financi'!L107+'Cuenta Ahorro-Inversión-Financi'!G107</f>
        <v>-0.00326072654552019</v>
      </c>
      <c r="Z107" s="741" t="n">
        <v>2004</v>
      </c>
      <c r="AA107" s="745"/>
      <c r="AB107" s="745" t="n">
        <f aca="false">'Cuenta Ahorro-Inversión-Financi'!M107</f>
        <v>-0.00326072654552019</v>
      </c>
      <c r="AT107" s="455" t="s">
        <v>1006</v>
      </c>
      <c r="AV107" s="726" t="n">
        <v>2019</v>
      </c>
      <c r="AW107" s="749" t="n">
        <f aca="false">'Cuenta Ahorro-Inversión-Financi'!AX68-'Cuenta Ahorro-Inversión-Financi'!AQ68</f>
        <v>-0.00289295341041193</v>
      </c>
      <c r="AX107" s="749" t="n">
        <f aca="false">'Cuenta Ahorro-Inversión-Financi'!AY68</f>
        <v>0.00409472220571407</v>
      </c>
      <c r="AY107" s="749" t="n">
        <f aca="false">'Cuenta Ahorro-Inversión-Financi'!AZ68</f>
        <v>-0.0100154373684693</v>
      </c>
      <c r="AZ107" s="712" t="n">
        <f aca="false">AY107-(AJ35+CS35)/'PIB corriente base 2004'!X23/1000</f>
        <v>-0.0249959945950874</v>
      </c>
      <c r="BJ107" s="1" t="n">
        <v>1000</v>
      </c>
    </row>
    <row r="108" customFormat="false" ht="14.45" hidden="false" customHeight="true" outlineLevel="0" collapsed="false">
      <c r="E108" s="741" t="n">
        <v>2005</v>
      </c>
      <c r="F108" s="742" t="n">
        <v>0.0213435359056264</v>
      </c>
      <c r="G108" s="742" t="n">
        <v>6.62231588973957E-005</v>
      </c>
      <c r="H108" s="742" t="n">
        <v>0.0432736271369158</v>
      </c>
      <c r="I108" s="747" t="n">
        <v>0.0344192555782106</v>
      </c>
      <c r="J108" s="747" t="n">
        <v>0.00849349774813984</v>
      </c>
      <c r="K108" s="747" t="n">
        <v>0.0436850825313419</v>
      </c>
      <c r="L108" s="744" t="n">
        <f aca="false">'Cuenta Ahorro-Inversión-Financi'!H108-'Cuenta Ahorro-Inversión-Financi'!G108-'Cuenta Ahorro-Inversión-Financi'!K108</f>
        <v>-0.000477678553323493</v>
      </c>
      <c r="M108" s="744" t="n">
        <f aca="false">'Cuenta Ahorro-Inversión-Financi'!L108+'Cuenta Ahorro-Inversión-Financi'!G108</f>
        <v>-0.000411455394426098</v>
      </c>
      <c r="Z108" s="741" t="n">
        <v>2005</v>
      </c>
      <c r="AA108" s="744"/>
      <c r="AB108" s="744" t="n">
        <f aca="false">'Cuenta Ahorro-Inversión-Financi'!M108</f>
        <v>-0.000411455394426098</v>
      </c>
    </row>
    <row r="109" customFormat="false" ht="14.45" hidden="false" customHeight="true" outlineLevel="0" collapsed="false">
      <c r="E109" s="741" t="n">
        <v>2006</v>
      </c>
      <c r="F109" s="745" t="n">
        <v>0.0251468100764333</v>
      </c>
      <c r="G109" s="745" t="n">
        <v>0.00039966816628144</v>
      </c>
      <c r="H109" s="745" t="n">
        <v>0.0466732130747311</v>
      </c>
      <c r="I109" s="745" t="n">
        <v>0.036680301679781</v>
      </c>
      <c r="J109" s="745" t="n">
        <v>0.00783650757614824</v>
      </c>
      <c r="K109" s="745" t="n">
        <v>0.0453505208221868</v>
      </c>
      <c r="L109" s="745" t="n">
        <f aca="false">'Cuenta Ahorro-Inversión-Financi'!H109-'Cuenta Ahorro-Inversión-Financi'!G109-'Cuenta Ahorro-Inversión-Financi'!K109</f>
        <v>0.000923024086262859</v>
      </c>
      <c r="M109" s="745" t="n">
        <f aca="false">'Cuenta Ahorro-Inversión-Financi'!L109+'Cuenta Ahorro-Inversión-Financi'!G109</f>
        <v>0.0013226922525443</v>
      </c>
      <c r="Z109" s="741" t="n">
        <v>2006</v>
      </c>
      <c r="AA109" s="745"/>
      <c r="AB109" s="745" t="n">
        <f aca="false">'Cuenta Ahorro-Inversión-Financi'!M109</f>
        <v>0.0013226922525443</v>
      </c>
    </row>
    <row r="110" customFormat="false" ht="14.45" hidden="false" customHeight="true" outlineLevel="0" collapsed="false">
      <c r="E110" s="741" t="n">
        <v>2007</v>
      </c>
      <c r="F110" s="742" t="n">
        <v>0.0383311349846289</v>
      </c>
      <c r="G110" s="742" t="n">
        <v>0.000734600661998748</v>
      </c>
      <c r="H110" s="742" t="n">
        <v>0.0599265458306365</v>
      </c>
      <c r="I110" s="747" t="n">
        <v>0.0487599458219909</v>
      </c>
      <c r="J110" s="747" t="n">
        <v>0.00736542235920776</v>
      </c>
      <c r="K110" s="747" t="n">
        <v>0.0570555874298369</v>
      </c>
      <c r="L110" s="744" t="n">
        <f aca="false">'Cuenta Ahorro-Inversión-Financi'!H110-'Cuenta Ahorro-Inversión-Financi'!G110-'Cuenta Ahorro-Inversión-Financi'!K110</f>
        <v>0.00213635773880085</v>
      </c>
      <c r="M110" s="744" t="n">
        <f aca="false">'Cuenta Ahorro-Inversión-Financi'!L110+'Cuenta Ahorro-Inversión-Financi'!G110</f>
        <v>0.0028709584007996</v>
      </c>
      <c r="Z110" s="741" t="n">
        <v>2007</v>
      </c>
      <c r="AA110" s="744"/>
      <c r="AB110" s="744" t="n">
        <f aca="false">'Cuenta Ahorro-Inversión-Financi'!M110</f>
        <v>0.0028709584007996</v>
      </c>
    </row>
    <row r="111" customFormat="false" ht="14.45" hidden="false" customHeight="true" outlineLevel="0" collapsed="false">
      <c r="E111" s="741" t="n">
        <v>2008</v>
      </c>
      <c r="F111" s="745" t="n">
        <v>0.0366905292941694</v>
      </c>
      <c r="G111" s="745" t="n">
        <v>0.000967753189531536</v>
      </c>
      <c r="H111" s="745" t="n">
        <v>0.0580102477430396</v>
      </c>
      <c r="I111" s="745" t="n">
        <v>0.0481660713223888</v>
      </c>
      <c r="J111" s="745" t="n">
        <v>0.00889615748519055</v>
      </c>
      <c r="K111" s="745" t="n">
        <v>0.0581585688882519</v>
      </c>
      <c r="L111" s="745" t="n">
        <f aca="false">'Cuenta Ahorro-Inversión-Financi'!H111-'Cuenta Ahorro-Inversión-Financi'!G111-'Cuenta Ahorro-Inversión-Financi'!K111</f>
        <v>-0.00111607433474384</v>
      </c>
      <c r="M111" s="745" t="n">
        <f aca="false">'Cuenta Ahorro-Inversión-Financi'!L111+'Cuenta Ahorro-Inversión-Financi'!G111</f>
        <v>-0.000148321145212302</v>
      </c>
      <c r="Z111" s="741" t="n">
        <v>2008</v>
      </c>
      <c r="AA111" s="745" t="n">
        <f aca="false">'Cuenta Ahorro-Inversión-Financi'!L111</f>
        <v>-0.00111607433474384</v>
      </c>
      <c r="AB111" s="745" t="n">
        <f aca="false">'Cuenta Ahorro-Inversión-Financi'!M111</f>
        <v>-0.000148321145212302</v>
      </c>
    </row>
    <row r="112" customFormat="false" ht="14.45" hidden="false" customHeight="true" outlineLevel="0" collapsed="false">
      <c r="E112" s="741" t="n">
        <v>2009</v>
      </c>
      <c r="F112" s="742" t="n">
        <v>0.0505403546231782</v>
      </c>
      <c r="G112" s="742" t="n">
        <v>0.00677017628464514</v>
      </c>
      <c r="H112" s="742" t="n">
        <v>0.0776110220593681</v>
      </c>
      <c r="I112" s="747" t="n">
        <v>0.0565591275475569</v>
      </c>
      <c r="J112" s="747" t="n">
        <v>0.0123401428713317</v>
      </c>
      <c r="K112" s="747" t="n">
        <v>0.0706724331587991</v>
      </c>
      <c r="L112" s="744" t="n">
        <f aca="false">'Cuenta Ahorro-Inversión-Financi'!H112-'Cuenta Ahorro-Inversión-Financi'!G112-'Cuenta Ahorro-Inversión-Financi'!K112</f>
        <v>0.000168412615923846</v>
      </c>
      <c r="M112" s="744" t="n">
        <f aca="false">'Cuenta Ahorro-Inversión-Financi'!L112+'Cuenta Ahorro-Inversión-Financi'!G112</f>
        <v>0.00693858890056899</v>
      </c>
      <c r="Z112" s="741" t="n">
        <v>2009</v>
      </c>
      <c r="AA112" s="744" t="n">
        <f aca="false">'Cuenta Ahorro-Inversión-Financi'!L112</f>
        <v>0.000168412615923846</v>
      </c>
      <c r="AB112" s="744" t="n">
        <f aca="false">'Cuenta Ahorro-Inversión-Financi'!M112</f>
        <v>0.00693858890056899</v>
      </c>
    </row>
    <row r="113" customFormat="false" ht="14.45" hidden="false" customHeight="true" outlineLevel="0" collapsed="false">
      <c r="E113" s="741" t="n">
        <v>2010</v>
      </c>
      <c r="F113" s="745" t="n">
        <v>0.0502160307510873</v>
      </c>
      <c r="G113" s="745" t="n">
        <v>0.0052162195382828</v>
      </c>
      <c r="H113" s="745" t="n">
        <v>0.0759626207943985</v>
      </c>
      <c r="I113" s="745" t="n">
        <v>0.0528866171686624</v>
      </c>
      <c r="J113" s="745" t="n">
        <v>0.0152230526852369</v>
      </c>
      <c r="K113" s="745" t="n">
        <v>0.070032018675799</v>
      </c>
      <c r="L113" s="745" t="n">
        <f aca="false">'Cuenta Ahorro-Inversión-Financi'!H113-'Cuenta Ahorro-Inversión-Financi'!G113-'Cuenta Ahorro-Inversión-Financi'!K113</f>
        <v>0.000714382580316697</v>
      </c>
      <c r="M113" s="745" t="n">
        <f aca="false">'Cuenta Ahorro-Inversión-Financi'!L113+'Cuenta Ahorro-Inversión-Financi'!G113</f>
        <v>0.0059306021185995</v>
      </c>
      <c r="Z113" s="741" t="n">
        <v>2010</v>
      </c>
      <c r="AA113" s="745" t="n">
        <f aca="false">'Cuenta Ahorro-Inversión-Financi'!L113</f>
        <v>0.000714382580316697</v>
      </c>
      <c r="AB113" s="745" t="n">
        <f aca="false">'Cuenta Ahorro-Inversión-Financi'!M113</f>
        <v>0.0059306021185995</v>
      </c>
    </row>
    <row r="114" customFormat="false" ht="14.45" hidden="false" customHeight="true" outlineLevel="0" collapsed="false">
      <c r="E114" s="741" t="n">
        <v>2011</v>
      </c>
      <c r="F114" s="742" t="n">
        <v>0.0513298952994492</v>
      </c>
      <c r="G114" s="742" t="n">
        <v>0.00503702664609787</v>
      </c>
      <c r="H114" s="742" t="n">
        <v>0.0773025145231387</v>
      </c>
      <c r="I114" s="747" t="n">
        <v>0.0556734161248401</v>
      </c>
      <c r="J114" s="747" t="n">
        <v>0.0129129430141222</v>
      </c>
      <c r="K114" s="747" t="n">
        <v>0.0707660070073014</v>
      </c>
      <c r="L114" s="744" t="n">
        <f aca="false">'Cuenta Ahorro-Inversión-Financi'!H114-'Cuenta Ahorro-Inversión-Financi'!G114-'Cuenta Ahorro-Inversión-Financi'!K114</f>
        <v>0.00149948086973943</v>
      </c>
      <c r="M114" s="744" t="n">
        <f aca="false">'Cuenta Ahorro-Inversión-Financi'!L114+'Cuenta Ahorro-Inversión-Financi'!G114</f>
        <v>0.0065365075158373</v>
      </c>
      <c r="Z114" s="741" t="n">
        <v>2011</v>
      </c>
      <c r="AA114" s="744" t="n">
        <f aca="false">'Cuenta Ahorro-Inversión-Financi'!L114</f>
        <v>0.00149948086973943</v>
      </c>
      <c r="AB114" s="744" t="n">
        <f aca="false">'Cuenta Ahorro-Inversión-Financi'!M114</f>
        <v>0.0065365075158373</v>
      </c>
    </row>
    <row r="115" customFormat="false" ht="14.45" hidden="false" customHeight="true" outlineLevel="0" collapsed="false">
      <c r="E115" s="741" t="n">
        <v>2012</v>
      </c>
      <c r="F115" s="745" t="n">
        <v>0.0554780570561336</v>
      </c>
      <c r="G115" s="745" t="n">
        <v>0.00654149714780885</v>
      </c>
      <c r="H115" s="745" t="n">
        <v>0.0843388714459301</v>
      </c>
      <c r="I115" s="745" t="n">
        <v>0.0636134413385622</v>
      </c>
      <c r="J115" s="745" t="n">
        <v>0.0121810053750355</v>
      </c>
      <c r="K115" s="745" t="n">
        <v>0.0781485197766223</v>
      </c>
      <c r="L115" s="745" t="n">
        <f aca="false">'Cuenta Ahorro-Inversión-Financi'!H115-'Cuenta Ahorro-Inversión-Financi'!G115-'Cuenta Ahorro-Inversión-Financi'!K115</f>
        <v>-0.000351145478501055</v>
      </c>
      <c r="M115" s="745" t="n">
        <f aca="false">'Cuenta Ahorro-Inversión-Financi'!L115+'Cuenta Ahorro-Inversión-Financi'!G115</f>
        <v>0.0061903516693078</v>
      </c>
      <c r="Z115" s="741" t="n">
        <v>2012</v>
      </c>
      <c r="AA115" s="745" t="n">
        <f aca="false">'Cuenta Ahorro-Inversión-Financi'!L115</f>
        <v>-0.000351145478501055</v>
      </c>
      <c r="AB115" s="745" t="n">
        <f aca="false">'Cuenta Ahorro-Inversión-Financi'!M115</f>
        <v>0.0061903516693078</v>
      </c>
    </row>
    <row r="116" customFormat="false" ht="14.45" hidden="false" customHeight="true" outlineLevel="0" collapsed="false">
      <c r="E116" s="741" t="s">
        <v>899</v>
      </c>
      <c r="F116" s="742" t="n">
        <v>0.0574500419620414</v>
      </c>
      <c r="G116" s="742" t="n">
        <v>0.00680496730055792</v>
      </c>
      <c r="H116" s="742" t="n">
        <v>0.0865009528157236</v>
      </c>
      <c r="I116" s="747" t="n">
        <v>0.0663361174021365</v>
      </c>
      <c r="J116" s="747" t="n">
        <v>0.0130498959152414</v>
      </c>
      <c r="K116" s="747" t="n">
        <v>0.081485973252982</v>
      </c>
      <c r="L116" s="744" t="n">
        <f aca="false">'Cuenta Ahorro-Inversión-Financi'!H116-'Cuenta Ahorro-Inversión-Financi'!G116-'Cuenta Ahorro-Inversión-Financi'!K116</f>
        <v>-0.00178998773781631</v>
      </c>
      <c r="M116" s="744" t="n">
        <f aca="false">'Cuenta Ahorro-Inversión-Financi'!L116+'Cuenta Ahorro-Inversión-Financi'!G116</f>
        <v>0.00501497956274161</v>
      </c>
      <c r="Z116" s="741" t="s">
        <v>899</v>
      </c>
      <c r="AA116" s="744" t="n">
        <f aca="false">'Cuenta Ahorro-Inversión-Financi'!L116</f>
        <v>-0.00178998773781631</v>
      </c>
      <c r="AB116" s="744" t="n">
        <f aca="false">'Cuenta Ahorro-Inversión-Financi'!M116</f>
        <v>0.00501497956274161</v>
      </c>
    </row>
    <row r="117" customFormat="false" ht="14.45" hidden="false" customHeight="true" outlineLevel="0" collapsed="false">
      <c r="E117" s="741" t="s">
        <v>901</v>
      </c>
      <c r="F117" s="745" t="n">
        <v>0.0538609514609617</v>
      </c>
      <c r="G117" s="745" t="n">
        <v>0.00832847206345979</v>
      </c>
      <c r="H117" s="745" t="n">
        <v>0.0846234939549682</v>
      </c>
      <c r="I117" s="745" t="n">
        <v>0.0641404872464543</v>
      </c>
      <c r="J117" s="745" t="n">
        <v>0.0136468880197234</v>
      </c>
      <c r="K117" s="745" t="n">
        <v>0.0798553151107926</v>
      </c>
      <c r="L117" s="745" t="n">
        <f aca="false">'Cuenta Ahorro-Inversión-Financi'!H117-'Cuenta Ahorro-Inversión-Financi'!G117-'Cuenta Ahorro-Inversión-Financi'!K117</f>
        <v>-0.00356029321928418</v>
      </c>
      <c r="M117" s="745" t="n">
        <f aca="false">'Cuenta Ahorro-Inversión-Financi'!L117+'Cuenta Ahorro-Inversión-Financi'!G117</f>
        <v>0.00476817884417561</v>
      </c>
      <c r="Z117" s="741" t="s">
        <v>901</v>
      </c>
      <c r="AA117" s="745" t="n">
        <f aca="false">'Cuenta Ahorro-Inversión-Financi'!L117</f>
        <v>-0.00356029321928418</v>
      </c>
      <c r="AB117" s="745" t="n">
        <f aca="false">'Cuenta Ahorro-Inversión-Financi'!M117</f>
        <v>0.00476817884417561</v>
      </c>
    </row>
    <row r="118" customFormat="false" ht="14.45" hidden="false" customHeight="true" outlineLevel="0" collapsed="false">
      <c r="E118" s="751" t="s">
        <v>902</v>
      </c>
      <c r="F118" s="752" t="n">
        <f aca="false">'Cuenta Ahorro-Inversión-Financi'!F64</f>
        <v>0.0564297158299164</v>
      </c>
      <c r="G118" s="752" t="n">
        <f aca="false">'Cuenta Ahorro-Inversión-Financi'!H64</f>
        <v>0.00893120932488722</v>
      </c>
      <c r="H118" s="752" t="n">
        <f aca="false">'Cuenta Ahorro-Inversión-Financi'!N64</f>
        <v>0.0890035625299765</v>
      </c>
      <c r="I118" s="753" t="n">
        <f aca="false">'Cuenta Ahorro-Inversión-Financi'!R64</f>
        <v>0.0727904762035428</v>
      </c>
      <c r="J118" s="753" t="n">
        <f aca="false">'Cuenta Ahorro-Inversión-Financi'!T64</f>
        <v>0.0142397374282983</v>
      </c>
      <c r="K118" s="753" t="n">
        <f aca="false">'Cuenta Ahorro-Inversión-Financi'!W64</f>
        <v>0.0891294674359281</v>
      </c>
      <c r="L118" s="744" t="n">
        <f aca="false">'Cuenta Ahorro-Inversión-Financi'!H118-'Cuenta Ahorro-Inversión-Financi'!G118-'Cuenta Ahorro-Inversión-Financi'!K118</f>
        <v>-0.00905711423083884</v>
      </c>
      <c r="M118" s="744" t="n">
        <f aca="false">'Cuenta Ahorro-Inversión-Financi'!L118+'Cuenta Ahorro-Inversión-Financi'!G118</f>
        <v>-0.000125904905951621</v>
      </c>
      <c r="Z118" s="751" t="s">
        <v>902</v>
      </c>
      <c r="AA118" s="744" t="n">
        <f aca="false">'Cuenta Ahorro-Inversión-Financi'!L118</f>
        <v>-0.00905711423083884</v>
      </c>
      <c r="AB118" s="744" t="n">
        <f aca="false">'Cuenta Ahorro-Inversión-Financi'!M118</f>
        <v>-0.000125904905951621</v>
      </c>
    </row>
    <row r="119" customFormat="false" ht="14.45" hidden="false" customHeight="true" outlineLevel="0" collapsed="false"/>
    <row r="120" customFormat="false" ht="14.45" hidden="false" customHeight="true" outlineLevel="0" collapsed="false"/>
    <row r="121" customFormat="false" ht="14.45" hidden="false" customHeight="true" outlineLevel="0" collapsed="false"/>
    <row r="122" customFormat="false" ht="14.45" hidden="false" customHeight="true" outlineLevel="0" collapsed="false"/>
    <row r="123" customFormat="false" ht="14.45" hidden="false" customHeight="true" outlineLevel="0" collapsed="false"/>
    <row r="124" customFormat="false" ht="14.45" hidden="false" customHeight="true" outlineLevel="0" collapsed="false"/>
    <row r="125" customFormat="false" ht="14.45" hidden="false" customHeight="true" outlineLevel="0" collapsed="false"/>
    <row r="126" customFormat="false" ht="14.45" hidden="false" customHeight="true" outlineLevel="0" collapsed="false"/>
    <row r="127" customFormat="false" ht="14.45" hidden="false" customHeight="true" outlineLevel="0" collapsed="false"/>
    <row r="128" customFormat="false" ht="14.45" hidden="false" customHeight="true" outlineLevel="0" collapsed="false"/>
    <row r="129" customFormat="false" ht="14.45" hidden="false" customHeight="true" outlineLevel="0" collapsed="false"/>
    <row r="130" customFormat="false" ht="14.45" hidden="false" customHeight="true" outlineLevel="0" collapsed="false"/>
    <row r="131" customFormat="false" ht="14.45" hidden="false" customHeight="true" outlineLevel="0" collapsed="false"/>
    <row r="132" customFormat="false" ht="14.45" hidden="false" customHeight="true" outlineLevel="0" collapsed="false"/>
    <row r="133" customFormat="false" ht="14.45" hidden="false" customHeight="true" outlineLevel="0" collapsed="false"/>
    <row r="134" customFormat="false" ht="14.45" hidden="false" customHeight="true" outlineLevel="0" collapsed="false"/>
    <row r="135" customFormat="false" ht="14.45" hidden="false" customHeight="true" outlineLevel="0" collapsed="false"/>
    <row r="136" customFormat="false" ht="14.45" hidden="false" customHeight="true" outlineLevel="0" collapsed="false"/>
    <row r="137" customFormat="false" ht="14.45" hidden="false" customHeight="true" outlineLevel="0" collapsed="false"/>
    <row r="138" customFormat="false" ht="14.45" hidden="false" customHeight="true" outlineLevel="0" collapsed="false"/>
    <row r="139" customFormat="false" ht="14.45" hidden="false" customHeight="true" outlineLevel="0" collapsed="false"/>
    <row r="140" customFormat="false" ht="14.45" hidden="false" customHeight="true" outlineLevel="0" collapsed="false"/>
    <row r="141" customFormat="false" ht="14.45" hidden="false" customHeight="true" outlineLevel="0" collapsed="false"/>
    <row r="142" customFormat="false" ht="14.45" hidden="false" customHeight="true" outlineLevel="0" collapsed="false"/>
    <row r="143" customFormat="false" ht="14.45" hidden="false" customHeight="true" outlineLevel="0" collapsed="false"/>
    <row r="144" customFormat="false" ht="14.45" hidden="false" customHeight="true" outlineLevel="0" collapsed="false"/>
    <row r="145" customFormat="false" ht="14.45" hidden="false" customHeight="true" outlineLevel="0" collapsed="false"/>
    <row r="146" customFormat="false" ht="14.45" hidden="false" customHeight="true" outlineLevel="0" collapsed="false"/>
    <row r="147" customFormat="false" ht="14.45" hidden="false" customHeight="true" outlineLevel="0" collapsed="false"/>
    <row r="148" customFormat="false" ht="14.45" hidden="false" customHeight="true" outlineLevel="0" collapsed="false"/>
    <row r="149" customFormat="false" ht="14.45" hidden="false" customHeight="true" outlineLevel="0" collapsed="false"/>
    <row r="150" customFormat="false" ht="14.45" hidden="false" customHeight="true" outlineLevel="0" collapsed="false"/>
    <row r="151" customFormat="false" ht="14.45" hidden="false" customHeight="true" outlineLevel="0" collapsed="false"/>
    <row r="152" customFormat="false" ht="14.45" hidden="false" customHeight="true" outlineLevel="0" collapsed="false"/>
    <row r="153" customFormat="false" ht="14.45" hidden="false" customHeight="true" outlineLevel="0" collapsed="false"/>
    <row r="154" customFormat="false" ht="14.45" hidden="false" customHeight="true" outlineLevel="0" collapsed="false"/>
    <row r="155" customFormat="false" ht="14.45" hidden="false" customHeight="true" outlineLevel="0" collapsed="false"/>
    <row r="156" customFormat="false" ht="14.45" hidden="false" customHeight="true" outlineLevel="0" collapsed="false"/>
    <row r="157" customFormat="false" ht="14.45" hidden="false" customHeight="true" outlineLevel="0" collapsed="false"/>
    <row r="158" customFormat="false" ht="14.45" hidden="false" customHeight="true" outlineLevel="0" collapsed="false"/>
    <row r="159" customFormat="false" ht="14.45" hidden="false" customHeight="true" outlineLevel="0" collapsed="false"/>
    <row r="160" customFormat="false" ht="14.45" hidden="false" customHeight="true" outlineLevel="0" collapsed="false"/>
    <row r="161" customFormat="false" ht="14.45" hidden="false" customHeight="true" outlineLevel="0" collapsed="false"/>
    <row r="162" customFormat="false" ht="14.45" hidden="false" customHeight="true" outlineLevel="0" collapsed="false"/>
    <row r="163" customFormat="false" ht="14.45" hidden="false" customHeight="true" outlineLevel="0" collapsed="false"/>
    <row r="164" customFormat="false" ht="14.45" hidden="false" customHeight="true" outlineLevel="0" collapsed="false"/>
    <row r="165" customFormat="false" ht="14.45" hidden="false" customHeight="true" outlineLevel="0" collapsed="false"/>
    <row r="166" customFormat="false" ht="14.45" hidden="false" customHeight="true" outlineLevel="0" collapsed="false"/>
    <row r="167" customFormat="false" ht="14.45" hidden="false" customHeight="true" outlineLevel="0" collapsed="false"/>
    <row r="168" customFormat="false" ht="14.45" hidden="false" customHeight="true" outlineLevel="0" collapsed="false"/>
    <row r="169" customFormat="false" ht="14.45" hidden="false" customHeight="true" outlineLevel="0" collapsed="false"/>
    <row r="170" customFormat="false" ht="14.45" hidden="false" customHeight="true" outlineLevel="0" collapsed="false"/>
    <row r="171" customFormat="false" ht="14.45" hidden="false" customHeight="true" outlineLevel="0" collapsed="false"/>
    <row r="172" customFormat="false" ht="14.45" hidden="false" customHeight="true" outlineLevel="0" collapsed="false"/>
    <row r="173" customFormat="false" ht="14.45" hidden="false" customHeight="true" outlineLevel="0" collapsed="false"/>
    <row r="174" customFormat="false" ht="14.45" hidden="false" customHeight="true" outlineLevel="0" collapsed="false"/>
    <row r="175" customFormat="false" ht="14.45" hidden="false" customHeight="true" outlineLevel="0" collapsed="false"/>
    <row r="176" customFormat="false" ht="14.45" hidden="false" customHeight="true" outlineLevel="0" collapsed="false"/>
    <row r="177" customFormat="false" ht="14.45" hidden="false" customHeight="true" outlineLevel="0" collapsed="false"/>
    <row r="178" customFormat="false" ht="14.45" hidden="false" customHeight="true" outlineLevel="0" collapsed="false"/>
    <row r="179" customFormat="false" ht="14.45" hidden="false" customHeight="true" outlineLevel="0" collapsed="false"/>
    <row r="180" customFormat="false" ht="14.45" hidden="false" customHeight="true" outlineLevel="0" collapsed="false"/>
    <row r="181" customFormat="false" ht="14.45" hidden="false" customHeight="true" outlineLevel="0" collapsed="false"/>
    <row r="182" customFormat="false" ht="14.45" hidden="false" customHeight="true" outlineLevel="0" collapsed="false"/>
    <row r="183" customFormat="false" ht="14.45" hidden="false" customHeight="true" outlineLevel="0" collapsed="false"/>
    <row r="184" customFormat="false" ht="14.45" hidden="false" customHeight="true" outlineLevel="0" collapsed="false"/>
    <row r="185" customFormat="false" ht="14.45" hidden="false" customHeight="true" outlineLevel="0" collapsed="false"/>
    <row r="186" customFormat="false" ht="14.45" hidden="false" customHeight="true" outlineLevel="0" collapsed="false"/>
    <row r="187" customFormat="false" ht="14.45" hidden="false" customHeight="true" outlineLevel="0" collapsed="false"/>
    <row r="188" customFormat="false" ht="14.45" hidden="false" customHeight="true" outlineLevel="0" collapsed="false"/>
    <row r="189" customFormat="false" ht="14.45" hidden="false" customHeight="true" outlineLevel="0" collapsed="false"/>
    <row r="190" customFormat="false" ht="14.45" hidden="false" customHeight="true" outlineLevel="0" collapsed="false"/>
    <row r="191" customFormat="false" ht="14.45" hidden="false" customHeight="true" outlineLevel="0" collapsed="false"/>
    <row r="192" customFormat="false" ht="14.45" hidden="false" customHeight="true" outlineLevel="0" collapsed="false"/>
    <row r="193" customFormat="false" ht="14.45" hidden="false" customHeight="true" outlineLevel="0" collapsed="false"/>
    <row r="194" customFormat="false" ht="14.45" hidden="false" customHeight="true" outlineLevel="0" collapsed="false"/>
    <row r="195" customFormat="false" ht="14.45" hidden="false" customHeight="true" outlineLevel="0" collapsed="false"/>
    <row r="196" customFormat="false" ht="14.45" hidden="false" customHeight="true" outlineLevel="0" collapsed="false"/>
    <row r="197" customFormat="false" ht="14.45" hidden="false" customHeight="true" outlineLevel="0" collapsed="false"/>
    <row r="198" customFormat="false" ht="14.45" hidden="false" customHeight="true" outlineLevel="0" collapsed="false"/>
    <row r="199" customFormat="false" ht="14.45" hidden="false" customHeight="true" outlineLevel="0" collapsed="false"/>
    <row r="200" customFormat="false" ht="14.45" hidden="false" customHeight="true" outlineLevel="0" collapsed="false"/>
    <row r="201" customFormat="false" ht="14.45" hidden="false" customHeight="true" outlineLevel="0" collapsed="false"/>
    <row r="202" customFormat="false" ht="14.45" hidden="false" customHeight="true" outlineLevel="0" collapsed="false"/>
    <row r="203" customFormat="false" ht="14.45" hidden="false" customHeight="true" outlineLevel="0" collapsed="false"/>
    <row r="204" customFormat="false" ht="14.45" hidden="false" customHeight="true" outlineLevel="0" collapsed="false"/>
    <row r="205" customFormat="false" ht="14.45" hidden="false" customHeight="true" outlineLevel="0" collapsed="false"/>
    <row r="206" customFormat="false" ht="14.45" hidden="false" customHeight="true" outlineLevel="0" collapsed="false"/>
    <row r="207" customFormat="false" ht="14.45" hidden="false" customHeight="true" outlineLevel="0" collapsed="false"/>
    <row r="208" customFormat="false" ht="14.45" hidden="false" customHeight="true" outlineLevel="0" collapsed="false"/>
    <row r="209" customFormat="false" ht="14.45" hidden="false" customHeight="true" outlineLevel="0" collapsed="false"/>
    <row r="210" customFormat="false" ht="14.45" hidden="false" customHeight="true" outlineLevel="0" collapsed="false"/>
    <row r="211" customFormat="false" ht="14.45" hidden="false" customHeight="true" outlineLevel="0" collapsed="false"/>
    <row r="212" customFormat="false" ht="14.45" hidden="false" customHeight="true" outlineLevel="0" collapsed="false"/>
    <row r="213" customFormat="false" ht="14.45" hidden="false" customHeight="true" outlineLevel="0" collapsed="false"/>
    <row r="214" customFormat="false" ht="14.45" hidden="false" customHeight="true" outlineLevel="0" collapsed="false"/>
    <row r="215" customFormat="false" ht="14.45" hidden="false" customHeight="true" outlineLevel="0" collapsed="false"/>
    <row r="216" customFormat="false" ht="14.45" hidden="false" customHeight="true" outlineLevel="0" collapsed="false"/>
    <row r="217" customFormat="false" ht="14.45" hidden="false" customHeight="true" outlineLevel="0" collapsed="false"/>
    <row r="218" customFormat="false" ht="14.45" hidden="false" customHeight="true" outlineLevel="0" collapsed="false"/>
  </sheetData>
  <mergeCells count="153">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S7:AS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CU7:CU8"/>
    <mergeCell ref="DP7:DQ7"/>
    <mergeCell ref="DR7:DS7"/>
    <mergeCell ref="AN38:AN41"/>
    <mergeCell ref="AO38:AO41"/>
    <mergeCell ref="AP38:AP41"/>
    <mergeCell ref="AQ38:AQ41"/>
    <mergeCell ref="AR38:AR41"/>
    <mergeCell ref="AS38:AS41"/>
    <mergeCell ref="AT38:AT41"/>
    <mergeCell ref="AU38:AU41"/>
    <mergeCell ref="AV38:AV41"/>
    <mergeCell ref="AW38:AW41"/>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Z40:Z41"/>
    <mergeCell ref="AA40:AA41"/>
    <mergeCell ref="AC40:AC41"/>
    <mergeCell ref="AD40:AD41"/>
    <mergeCell ref="AE40:AE41"/>
    <mergeCell ref="AF40:AF41"/>
    <mergeCell ref="AG40:AG41"/>
    <mergeCell ref="AH40:AH41"/>
    <mergeCell ref="AI40:AI41"/>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R9" r:id="rId4" display="Para las contribuciones figurativas: esquema ahorra inversión financiamiento base caja sector público http://www.mecon.gov.ar/onp/html/resultado/caja/c1993/1993.htm"/>
    <hyperlink ref="CA54"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1:AV145"/>
  <sheetViews>
    <sheetView showFormulas="false" showGridLines="true" showRowColHeaders="true" showZeros="true" rightToLeft="false" tabSelected="true" showOutlineSymbols="true" defaultGridColor="true" view="normal" topLeftCell="P28" colorId="64" zoomScale="75" zoomScaleNormal="75" zoomScalePageLayoutView="100" workbookViewId="0">
      <selection pane="topLeft" activeCell="X68" activeCellId="0" sqref="X68"/>
    </sheetView>
  </sheetViews>
  <sheetFormatPr defaultColWidth="11.4453125" defaultRowHeight="15" zeroHeight="false" outlineLevelRow="0" outlineLevelCol="0"/>
  <cols>
    <col collapsed="false" customWidth="true" hidden="false" outlineLevel="0" max="5" min="4" style="0" width="13.43"/>
    <col collapsed="false" customWidth="true" hidden="false" outlineLevel="0" max="31" min="31" style="0" width="16.72"/>
    <col collapsed="false" customWidth="true" hidden="false" outlineLevel="0" max="32" min="32" style="0" width="13.86"/>
  </cols>
  <sheetData>
    <row r="1" customFormat="false" ht="15" hidden="false" customHeight="false" outlineLevel="0" collapsed="false">
      <c r="Y1" s="754" t="n">
        <f aca="false">SUM(Y23:AF23)</f>
        <v>31395996.70573</v>
      </c>
      <c r="Z1" s="754" t="n">
        <f aca="false">'Cuenta Ahorro-Inversión-Financi'!CG27+'Cuenta Ahorro-Inversión-Financi'!CM27+'Cuenta Ahorro-Inversión-Financi'!CN27-'Cuenta Ahorro-Inversión-Financi'!BF27-'Cuenta Ahorro-Inversión-Financi'!BR27-'Cuenta Ahorro-Inversión-Financi'!BS27-'Cuenta Ahorro-Inversión-Financi'!AY27+'Cuenta Ahorro-Inversión-Financi'!CH27</f>
        <v>28619321.45422</v>
      </c>
      <c r="AB1" s="0" t="n">
        <f aca="false">SUM(Y28:AE28)-AD28-AC28-Y28</f>
        <v>125833720.26869</v>
      </c>
      <c r="AC1" s="0" t="n">
        <f aca="false">SUM(Y27:AE27)-AC27-Y27</f>
        <v>86578739.75885</v>
      </c>
    </row>
    <row r="2" customFormat="false" ht="15" hidden="false" customHeight="false" outlineLevel="0" collapsed="false">
      <c r="AB2" s="0" t="n">
        <f aca="false">SUM(Y29:AE29)-AD29-AC29-Y29</f>
        <v>151406873.11106</v>
      </c>
    </row>
    <row r="3" customFormat="false" ht="15" hidden="false" customHeight="false" outlineLevel="0" collapsed="false">
      <c r="B3" s="1" t="s">
        <v>1007</v>
      </c>
      <c r="C3" s="1"/>
      <c r="D3" s="1"/>
      <c r="E3" s="1"/>
      <c r="F3" s="1"/>
      <c r="G3" s="1"/>
      <c r="H3" s="1"/>
      <c r="I3" s="1"/>
      <c r="J3" s="1"/>
      <c r="K3" s="1"/>
      <c r="L3" s="1"/>
      <c r="M3" s="1"/>
      <c r="N3" s="1"/>
      <c r="O3" s="1"/>
      <c r="P3" s="1"/>
      <c r="Q3" s="755" t="s">
        <v>1008</v>
      </c>
      <c r="R3" s="755"/>
      <c r="S3" s="755"/>
      <c r="T3" s="755"/>
      <c r="U3" s="755"/>
      <c r="V3" s="755"/>
      <c r="W3" s="755"/>
      <c r="X3" s="755"/>
      <c r="Y3" s="756" t="s">
        <v>1009</v>
      </c>
      <c r="Z3" s="756"/>
      <c r="AA3" s="756"/>
      <c r="AB3" s="756"/>
      <c r="AC3" s="756"/>
      <c r="AD3" s="756"/>
      <c r="AE3" s="756"/>
      <c r="AF3" s="756"/>
      <c r="AG3" s="757" t="s">
        <v>1010</v>
      </c>
      <c r="AH3" s="757"/>
      <c r="AI3" s="757"/>
      <c r="AJ3" s="757"/>
      <c r="AK3" s="757"/>
      <c r="AL3" s="1"/>
      <c r="AM3" s="1"/>
      <c r="AN3" s="1"/>
      <c r="AO3" s="1"/>
      <c r="AP3" s="1"/>
      <c r="AQ3" s="1"/>
      <c r="AR3" s="1"/>
      <c r="AS3" s="1"/>
      <c r="AT3" s="1"/>
      <c r="AU3" s="1"/>
      <c r="AV3" s="1"/>
    </row>
    <row r="4" customFormat="false" ht="13.8" hidden="false" customHeight="false" outlineLevel="0" collapsed="false">
      <c r="B4" s="1"/>
      <c r="C4" s="1"/>
      <c r="D4" s="1"/>
      <c r="E4" s="1"/>
      <c r="F4" s="1"/>
      <c r="G4" s="1"/>
      <c r="H4" s="1"/>
      <c r="I4" s="1"/>
      <c r="J4" s="1"/>
      <c r="K4" s="1"/>
      <c r="L4" s="1"/>
      <c r="M4" s="1"/>
      <c r="N4" s="1"/>
      <c r="O4" s="1"/>
      <c r="P4" s="1"/>
      <c r="Q4" s="758" t="s">
        <v>1011</v>
      </c>
      <c r="R4" s="758" t="s">
        <v>1012</v>
      </c>
      <c r="S4" s="547" t="s">
        <v>1013</v>
      </c>
      <c r="T4" s="758" t="s">
        <v>1014</v>
      </c>
      <c r="U4" s="547" t="s">
        <v>1015</v>
      </c>
      <c r="V4" s="758" t="s">
        <v>1016</v>
      </c>
      <c r="W4" s="547" t="s">
        <v>1017</v>
      </c>
      <c r="X4" s="758" t="s">
        <v>1018</v>
      </c>
      <c r="Y4" s="759" t="s">
        <v>1019</v>
      </c>
      <c r="Z4" s="760" t="s">
        <v>1020</v>
      </c>
      <c r="AA4" s="547" t="s">
        <v>1021</v>
      </c>
      <c r="AB4" s="759" t="s">
        <v>1022</v>
      </c>
      <c r="AC4" s="547" t="s">
        <v>1023</v>
      </c>
      <c r="AD4" s="759" t="s">
        <v>823</v>
      </c>
      <c r="AE4" s="547" t="s">
        <v>1024</v>
      </c>
      <c r="AF4" s="759" t="s">
        <v>1025</v>
      </c>
      <c r="AG4" s="547" t="s">
        <v>1026</v>
      </c>
      <c r="AH4" s="601" t="s">
        <v>1027</v>
      </c>
      <c r="AI4" s="601"/>
      <c r="AJ4" s="601"/>
      <c r="AK4" s="601"/>
      <c r="AL4" s="1"/>
      <c r="AM4" s="1"/>
      <c r="AN4" s="1" t="s">
        <v>1028</v>
      </c>
      <c r="AO4" s="1" t="s">
        <v>1029</v>
      </c>
      <c r="AP4" s="1" t="s">
        <v>1014</v>
      </c>
      <c r="AQ4" s="1" t="s">
        <v>1030</v>
      </c>
      <c r="AR4" s="1" t="s">
        <v>1016</v>
      </c>
      <c r="AS4" s="1" t="s">
        <v>1031</v>
      </c>
      <c r="AT4" s="1" t="s">
        <v>1017</v>
      </c>
      <c r="AU4" s="1" t="s">
        <v>1026</v>
      </c>
      <c r="AV4" s="1" t="s">
        <v>1010</v>
      </c>
    </row>
    <row r="5" customFormat="false" ht="13.8" hidden="false" customHeight="false" outlineLevel="0" collapsed="false">
      <c r="B5" s="547" t="s">
        <v>1013</v>
      </c>
      <c r="C5" s="758" t="s">
        <v>1014</v>
      </c>
      <c r="D5" s="758"/>
      <c r="E5" s="547" t="s">
        <v>1015</v>
      </c>
      <c r="F5" s="758" t="s">
        <v>1016</v>
      </c>
      <c r="G5" s="547" t="s">
        <v>1017</v>
      </c>
      <c r="H5" s="759" t="s">
        <v>1019</v>
      </c>
      <c r="I5" s="547" t="s">
        <v>1021</v>
      </c>
      <c r="J5" s="759" t="s">
        <v>1032</v>
      </c>
      <c r="K5" s="547" t="s">
        <v>1023</v>
      </c>
      <c r="M5" s="1"/>
      <c r="N5" s="1"/>
      <c r="O5" s="1"/>
      <c r="P5" s="547" t="n">
        <v>1993</v>
      </c>
      <c r="Q5" s="98" t="n">
        <f aca="false">'Cuenta Ahorro-Inversión-Financi'!H9</f>
        <v>853307.6</v>
      </c>
      <c r="R5" s="98"/>
      <c r="S5" s="98"/>
      <c r="T5" s="548"/>
      <c r="U5" s="98"/>
      <c r="V5" s="548"/>
      <c r="W5" s="98" t="n">
        <f aca="false">'Cuenta Ahorro-Inversión-Financi'!AI9</f>
        <v>3015865.81949566</v>
      </c>
      <c r="X5" s="98"/>
      <c r="Y5" s="761" t="n">
        <f aca="false">'Cuenta Ahorro-Inversión-Financi'!AY9</f>
        <v>352371.13373</v>
      </c>
      <c r="Z5" s="761"/>
      <c r="AA5" s="761" t="n">
        <f aca="false">'Cuenta Ahorro-Inversión-Financi'!CJ9</f>
        <v>1036245.35282</v>
      </c>
      <c r="AB5" s="761" t="n">
        <f aca="false">'Cuenta Ahorro-Inversión-Financi'!CL9+'Cuenta Ahorro-Inversión-Financi'!CK9</f>
        <v>214541.63623</v>
      </c>
      <c r="AC5" s="761" t="n">
        <f aca="false">'Cuenta Ahorro-Inversión-Financi'!CM9</f>
        <v>0</v>
      </c>
      <c r="AD5" s="761"/>
      <c r="AE5" s="761"/>
      <c r="AF5" s="761"/>
      <c r="AG5" s="547"/>
      <c r="AH5" s="547"/>
      <c r="AI5" s="547"/>
      <c r="AJ5" s="547"/>
      <c r="AK5" s="547"/>
      <c r="AL5" s="1"/>
      <c r="AM5" s="1" t="n">
        <v>1993</v>
      </c>
      <c r="AN5" s="28" t="n">
        <v>4272320</v>
      </c>
      <c r="AO5" s="28" t="n">
        <v>15474000</v>
      </c>
      <c r="AP5" s="28" t="n">
        <v>2059000</v>
      </c>
      <c r="AQ5" s="28" t="n">
        <v>0</v>
      </c>
      <c r="AR5" s="28" t="n">
        <f aca="false">'Exogenous tax and expenses'!V5</f>
        <v>0</v>
      </c>
      <c r="AS5" s="28" t="n">
        <v>0</v>
      </c>
      <c r="AT5" s="28" t="n">
        <f aca="false">'Exogenous tax and expenses'!W5</f>
        <v>3015865.81949566</v>
      </c>
      <c r="AU5" s="1" t="n">
        <f aca="false">'Exogenous tax and expenses'!AG5</f>
        <v>0</v>
      </c>
      <c r="AV5" s="1" t="n">
        <f aca="false">'Exogenous tax and expenses'!AH5</f>
        <v>0</v>
      </c>
    </row>
    <row r="6" customFormat="false" ht="13.8" hidden="false" customHeight="false" outlineLevel="0" collapsed="false">
      <c r="B6" s="456" t="n">
        <f aca="false">S61</f>
        <v>0.00717368525436939</v>
      </c>
      <c r="C6" s="456" t="n">
        <f aca="false">S89</f>
        <v>0.002</v>
      </c>
      <c r="D6" s="456"/>
      <c r="E6" s="456" t="n">
        <f aca="false">U61</f>
        <v>0.000157308523483685</v>
      </c>
      <c r="F6" s="456" t="n">
        <f aca="false">V61</f>
        <v>0.0164145592695402</v>
      </c>
      <c r="G6" s="456" t="n">
        <f aca="false">W61</f>
        <v>0.0156925271106058</v>
      </c>
      <c r="H6" s="456" t="n">
        <f aca="false">Y61</f>
        <v>0.00191293753744961</v>
      </c>
      <c r="I6" s="456" t="n">
        <f aca="false">AA61</f>
        <v>0.00262755013399756</v>
      </c>
      <c r="J6" s="456" t="n">
        <f aca="false">AB61</f>
        <v>0.00695203916219706</v>
      </c>
      <c r="K6" s="456" t="n">
        <f aca="false">AC61</f>
        <v>0.00152536277685544</v>
      </c>
      <c r="L6" s="1"/>
      <c r="M6" s="1"/>
      <c r="N6" s="1"/>
      <c r="O6" s="1"/>
      <c r="P6" s="1" t="n">
        <f aca="false">'Exogenous tax and expenses'!P5+1</f>
        <v>1994</v>
      </c>
      <c r="Q6" s="762" t="n">
        <f aca="false">'Cuenta Ahorro-Inversión-Financi'!H10</f>
        <v>1164662.22</v>
      </c>
      <c r="R6" s="762"/>
      <c r="S6" s="762"/>
      <c r="T6" s="762"/>
      <c r="U6" s="762"/>
      <c r="V6" s="762"/>
      <c r="W6" s="762" t="n">
        <f aca="false">'Cuenta Ahorro-Inversión-Financi'!AI10</f>
        <v>3226509.52498154</v>
      </c>
      <c r="X6" s="762"/>
      <c r="Y6" s="98" t="n">
        <f aca="false">'Cuenta Ahorro-Inversión-Financi'!AY10</f>
        <v>293763.12069</v>
      </c>
      <c r="Z6" s="98"/>
      <c r="AA6" s="98" t="n">
        <f aca="false">'Cuenta Ahorro-Inversión-Financi'!CJ10</f>
        <v>1287640.9398</v>
      </c>
      <c r="AB6" s="98" t="n">
        <f aca="false">'Cuenta Ahorro-Inversión-Financi'!CL10+'Cuenta Ahorro-Inversión-Financi'!CK10</f>
        <v>456594.30016</v>
      </c>
      <c r="AC6" s="98" t="n">
        <f aca="false">'Cuenta Ahorro-Inversión-Financi'!CM10</f>
        <v>0</v>
      </c>
      <c r="AD6" s="98"/>
      <c r="AE6" s="98"/>
      <c r="AF6" s="98"/>
      <c r="AG6" s="763"/>
      <c r="AH6" s="763"/>
      <c r="AI6" s="763"/>
      <c r="AJ6" s="763"/>
      <c r="AK6" s="763"/>
      <c r="AL6" s="1"/>
      <c r="AM6" s="1" t="n">
        <f aca="false">'Exogenous tax and expenses'!AM5+1</f>
        <v>1994</v>
      </c>
      <c r="AN6" s="28" t="n">
        <v>5821590</v>
      </c>
      <c r="AO6" s="28" t="n">
        <v>16488000</v>
      </c>
      <c r="AP6" s="28" t="n">
        <v>2069000</v>
      </c>
      <c r="AQ6" s="28" t="n">
        <v>0</v>
      </c>
      <c r="AR6" s="28" t="n">
        <f aca="false">'Exogenous tax and expenses'!V6</f>
        <v>0</v>
      </c>
      <c r="AS6" s="28" t="n">
        <v>0</v>
      </c>
      <c r="AT6" s="28" t="n">
        <f aca="false">'Exogenous tax and expenses'!W6</f>
        <v>3226509.52498154</v>
      </c>
      <c r="AU6" s="1" t="n">
        <f aca="false">'Exogenous tax and expenses'!AG6</f>
        <v>0</v>
      </c>
      <c r="AV6" s="1" t="n">
        <f aca="false">'Exogenous tax and expenses'!AH6</f>
        <v>0</v>
      </c>
    </row>
    <row r="7" customFormat="false" ht="13.8" hidden="false" customHeight="false" outlineLevel="0" collapsed="false">
      <c r="A7" s="0" t="s">
        <v>1033</v>
      </c>
      <c r="B7" s="456" t="n">
        <f aca="false">SUM(B6:G6)</f>
        <v>0.041438080157999</v>
      </c>
      <c r="C7" s="1"/>
      <c r="D7" s="1"/>
      <c r="E7" s="1"/>
      <c r="F7" s="1"/>
      <c r="G7" s="1"/>
      <c r="H7" s="1"/>
      <c r="I7" s="1"/>
      <c r="J7" s="1"/>
      <c r="K7" s="1"/>
      <c r="L7" s="1"/>
      <c r="M7" s="1"/>
      <c r="N7" s="1"/>
      <c r="O7" s="1"/>
      <c r="P7" s="1" t="n">
        <f aca="false">'Exogenous tax and expenses'!P6+1</f>
        <v>1995</v>
      </c>
      <c r="Q7" s="98" t="n">
        <f aca="false">'Cuenta Ahorro-Inversión-Financi'!H11</f>
        <v>1243225.6</v>
      </c>
      <c r="R7" s="98"/>
      <c r="S7" s="98"/>
      <c r="T7" s="548"/>
      <c r="U7" s="98"/>
      <c r="V7" s="548"/>
      <c r="W7" s="98" t="n">
        <f aca="false">'Cuenta Ahorro-Inversión-Financi'!AI11</f>
        <v>2990988.48141767</v>
      </c>
      <c r="X7" s="98"/>
      <c r="Y7" s="761" t="n">
        <f aca="false">'Cuenta Ahorro-Inversión-Financi'!AY11</f>
        <v>296927.9492</v>
      </c>
      <c r="Z7" s="761"/>
      <c r="AA7" s="761" t="n">
        <f aca="false">'Cuenta Ahorro-Inversión-Financi'!CJ11</f>
        <v>1187925.9343</v>
      </c>
      <c r="AB7" s="761" t="n">
        <f aca="false">'Cuenta Ahorro-Inversión-Financi'!CL11+'Cuenta Ahorro-Inversión-Financi'!CK11</f>
        <v>524982.07006</v>
      </c>
      <c r="AC7" s="761" t="n">
        <f aca="false">'Cuenta Ahorro-Inversión-Financi'!CM11</f>
        <v>0</v>
      </c>
      <c r="AD7" s="761"/>
      <c r="AE7" s="761"/>
      <c r="AF7" s="761"/>
      <c r="AG7" s="547"/>
      <c r="AH7" s="547"/>
      <c r="AI7" s="547"/>
      <c r="AJ7" s="547"/>
      <c r="AK7" s="547"/>
      <c r="AL7" s="1"/>
      <c r="AM7" s="1" t="n">
        <f aca="false">'Exogenous tax and expenses'!AM6+1</f>
        <v>1995</v>
      </c>
      <c r="AN7" s="28" t="n">
        <v>6238520</v>
      </c>
      <c r="AO7" s="28" t="n">
        <v>16506000</v>
      </c>
      <c r="AP7" s="28" t="n">
        <v>1792000</v>
      </c>
      <c r="AQ7" s="28" t="n">
        <v>0</v>
      </c>
      <c r="AR7" s="28" t="n">
        <f aca="false">'Exogenous tax and expenses'!V7</f>
        <v>0</v>
      </c>
      <c r="AS7" s="28" t="n">
        <v>0</v>
      </c>
      <c r="AT7" s="28" t="n">
        <f aca="false">'Exogenous tax and expenses'!W7</f>
        <v>2990988.48141767</v>
      </c>
      <c r="AU7" s="1" t="n">
        <f aca="false">'Exogenous tax and expenses'!AG7</f>
        <v>0</v>
      </c>
      <c r="AV7" s="1" t="n">
        <f aca="false">'Exogenous tax and expenses'!AH7</f>
        <v>0</v>
      </c>
    </row>
    <row r="8" customFormat="false" ht="15" hidden="false" customHeight="false" outlineLevel="0" collapsed="false">
      <c r="A8" s="0" t="s">
        <v>1034</v>
      </c>
      <c r="B8" s="456" t="n">
        <f aca="false">SUM(H6:K6)</f>
        <v>0.0130178896104997</v>
      </c>
      <c r="C8" s="1"/>
      <c r="D8" s="1"/>
      <c r="E8" s="1"/>
      <c r="F8" s="1"/>
      <c r="G8" s="1"/>
      <c r="H8" s="1"/>
      <c r="I8" s="1"/>
      <c r="J8" s="1"/>
      <c r="K8" s="1"/>
      <c r="L8" s="1"/>
      <c r="M8" s="1"/>
      <c r="N8" s="1"/>
      <c r="O8" s="1"/>
      <c r="P8" s="1" t="n">
        <f aca="false">'Exogenous tax and expenses'!P7+1</f>
        <v>1996</v>
      </c>
      <c r="Q8" s="762" t="n">
        <f aca="false">'Cuenta Ahorro-Inversión-Financi'!H12</f>
        <v>1456325.4</v>
      </c>
      <c r="R8" s="762"/>
      <c r="S8" s="762" t="n">
        <f aca="false">'Cuenta Ahorro-Inversión-Financi'!K12</f>
        <v>1903838.651715</v>
      </c>
      <c r="T8" s="762" t="n">
        <v>2338287</v>
      </c>
      <c r="U8" s="762" t="n">
        <f aca="false">'Cuenta Ahorro-Inversión-Financi'!Q12</f>
        <v>172304</v>
      </c>
      <c r="V8" s="762"/>
      <c r="W8" s="762" t="n">
        <f aca="false">'Cuenta Ahorro-Inversión-Financi'!AI12</f>
        <v>3231346.71425055</v>
      </c>
      <c r="X8" s="762" t="n">
        <f aca="false">'Cuenta Ahorro-Inversión-Financi'!L12</f>
        <v>516954.41</v>
      </c>
      <c r="Y8" s="98" t="n">
        <f aca="false">'Cuenta Ahorro-Inversión-Financi'!AY12</f>
        <v>330883.704</v>
      </c>
      <c r="Z8" s="98"/>
      <c r="AA8" s="98" t="n">
        <f aca="false">'Cuenta Ahorro-Inversión-Financi'!CJ12</f>
        <v>1011324.76855</v>
      </c>
      <c r="AB8" s="98" t="n">
        <f aca="false">'Cuenta Ahorro-Inversión-Financi'!CL12+'Cuenta Ahorro-Inversión-Financi'!CK12</f>
        <v>1019118.98165</v>
      </c>
      <c r="AC8" s="98" t="n">
        <f aca="false">'Cuenta Ahorro-Inversión-Financi'!CM12</f>
        <v>0</v>
      </c>
      <c r="AD8" s="98"/>
      <c r="AE8" s="98"/>
      <c r="AF8" s="98"/>
      <c r="AG8" s="763"/>
      <c r="AH8" s="763"/>
      <c r="AI8" s="763"/>
      <c r="AJ8" s="763"/>
      <c r="AK8" s="763"/>
      <c r="AL8" s="1"/>
      <c r="AM8" s="1" t="n">
        <f aca="false">'Exogenous tax and expenses'!AM7+1</f>
        <v>1996</v>
      </c>
      <c r="AN8" s="45" t="n">
        <v>6801627</v>
      </c>
      <c r="AO8" s="716" t="n">
        <v>18092365</v>
      </c>
      <c r="AP8" s="28" t="n">
        <f aca="false">'Exogenous tax and expenses'!T8</f>
        <v>2338287</v>
      </c>
      <c r="AQ8" s="28" t="n">
        <f aca="false">'Exogenous tax and expenses'!U8</f>
        <v>172304</v>
      </c>
      <c r="AR8" s="28" t="n">
        <f aca="false">'Exogenous tax and expenses'!V8</f>
        <v>0</v>
      </c>
      <c r="AS8" s="28" t="n">
        <v>0</v>
      </c>
      <c r="AT8" s="28" t="n">
        <f aca="false">'Exogenous tax and expenses'!W8</f>
        <v>3231346.71425055</v>
      </c>
      <c r="AU8" s="1" t="n">
        <f aca="false">'Exogenous tax and expenses'!AG8</f>
        <v>0</v>
      </c>
      <c r="AV8" s="1" t="n">
        <f aca="false">'Exogenous tax and expenses'!AH8</f>
        <v>0</v>
      </c>
    </row>
    <row r="9" customFormat="false" ht="13.8" hidden="false" customHeight="false" outlineLevel="0" collapsed="false">
      <c r="B9" s="1"/>
      <c r="C9" s="1"/>
      <c r="D9" s="1"/>
      <c r="E9" s="456"/>
      <c r="F9" s="1"/>
      <c r="G9" s="1"/>
      <c r="H9" s="1"/>
      <c r="I9" s="1"/>
      <c r="J9" s="1"/>
      <c r="K9" s="1"/>
      <c r="L9" s="1"/>
      <c r="M9" s="1"/>
      <c r="N9" s="1"/>
      <c r="O9" s="1"/>
      <c r="P9" s="1" t="n">
        <f aca="false">'Exogenous tax and expenses'!P8+1</f>
        <v>1997</v>
      </c>
      <c r="Q9" s="98" t="n">
        <f aca="false">'Cuenta Ahorro-Inversión-Financi'!H13</f>
        <v>1669177.74063</v>
      </c>
      <c r="R9" s="98"/>
      <c r="S9" s="98" t="n">
        <f aca="false">'Cuenta Ahorro-Inversión-Financi'!K13</f>
        <v>2043538.989492</v>
      </c>
      <c r="T9" s="548" t="n">
        <v>3917421</v>
      </c>
      <c r="U9" s="98" t="n">
        <f aca="false">'Cuenta Ahorro-Inversión-Financi'!Q13</f>
        <v>193825</v>
      </c>
      <c r="V9" s="548"/>
      <c r="W9" s="98" t="n">
        <f aca="false">'Cuenta Ahorro-Inversión-Financi'!AI13</f>
        <v>3598188.08761998</v>
      </c>
      <c r="X9" s="98" t="n">
        <f aca="false">'Cuenta Ahorro-Inversión-Financi'!L13</f>
        <v>1986806.99</v>
      </c>
      <c r="Y9" s="761" t="n">
        <f aca="false">'Cuenta Ahorro-Inversión-Financi'!AY13</f>
        <v>246102.79437</v>
      </c>
      <c r="Z9" s="761"/>
      <c r="AA9" s="761" t="n">
        <f aca="false">'Cuenta Ahorro-Inversión-Financi'!CJ13</f>
        <v>1102667.44057</v>
      </c>
      <c r="AB9" s="761" t="n">
        <f aca="false">'Cuenta Ahorro-Inversión-Financi'!CL13+'Cuenta Ahorro-Inversión-Financi'!CK13</f>
        <v>1011029.82583</v>
      </c>
      <c r="AC9" s="761" t="n">
        <f aca="false">'Cuenta Ahorro-Inversión-Financi'!CM13</f>
        <v>0</v>
      </c>
      <c r="AD9" s="761"/>
      <c r="AE9" s="761"/>
      <c r="AF9" s="761"/>
      <c r="AG9" s="547"/>
      <c r="AH9" s="547"/>
      <c r="AI9" s="547"/>
      <c r="AJ9" s="547"/>
      <c r="AK9" s="547"/>
      <c r="AL9" s="1"/>
      <c r="AM9" s="1" t="n">
        <f aca="false">'Exogenous tax and expenses'!AM8+1</f>
        <v>1997</v>
      </c>
      <c r="AN9" s="28" t="n">
        <f aca="false">IVA!AU44</f>
        <v>8333780</v>
      </c>
      <c r="AO9" s="28" t="n">
        <f aca="false">IVA!AU10</f>
        <v>19820364</v>
      </c>
      <c r="AP9" s="28" t="n">
        <f aca="false">'Exogenous tax and expenses'!T9</f>
        <v>3917421</v>
      </c>
      <c r="AQ9" s="28" t="n">
        <f aca="false">'Exogenous tax and expenses'!U9</f>
        <v>193825</v>
      </c>
      <c r="AR9" s="28" t="n">
        <f aca="false">'Exogenous tax and expenses'!V9</f>
        <v>0</v>
      </c>
      <c r="AS9" s="28" t="n">
        <v>0</v>
      </c>
      <c r="AT9" s="28" t="n">
        <f aca="false">'Exogenous tax and expenses'!W9</f>
        <v>3598188.08761998</v>
      </c>
      <c r="AU9" s="1" t="n">
        <f aca="false">'Exogenous tax and expenses'!AG9</f>
        <v>0</v>
      </c>
      <c r="AV9" s="1" t="n">
        <f aca="false">'Exogenous tax and expenses'!AH9</f>
        <v>0</v>
      </c>
    </row>
    <row r="10" customFormat="false" ht="13.8" hidden="false" customHeight="false" outlineLevel="0" collapsed="false">
      <c r="A10" s="0" t="n">
        <v>2014</v>
      </c>
      <c r="B10" s="1"/>
      <c r="C10" s="1"/>
      <c r="D10" s="1"/>
      <c r="E10" s="1"/>
      <c r="F10" s="1"/>
      <c r="G10" s="1"/>
      <c r="H10" s="1"/>
      <c r="I10" s="1"/>
      <c r="J10" s="1"/>
      <c r="K10" s="1"/>
      <c r="L10" s="1"/>
      <c r="M10" s="1"/>
      <c r="N10" s="1"/>
      <c r="O10" s="1"/>
      <c r="P10" s="1" t="n">
        <f aca="false">'Exogenous tax and expenses'!P9+1</f>
        <v>1998</v>
      </c>
      <c r="Q10" s="762" t="n">
        <f aca="false">'Cuenta Ahorro-Inversión-Financi'!H14</f>
        <v>1902253.64072</v>
      </c>
      <c r="R10" s="762" t="n">
        <f aca="false">'Cuenta Ahorro-Inversión-Financi'!R14</f>
        <v>43509.9</v>
      </c>
      <c r="S10" s="762" t="n">
        <f aca="false">'Cuenta Ahorro-Inversión-Financi'!K14</f>
        <v>2097707.449838</v>
      </c>
      <c r="T10" s="762" t="n">
        <v>3692434</v>
      </c>
      <c r="U10" s="762" t="n">
        <f aca="false">'Cuenta Ahorro-Inversión-Financi'!Q14</f>
        <v>197766</v>
      </c>
      <c r="V10" s="762"/>
      <c r="W10" s="762" t="n">
        <f aca="false">'Cuenta Ahorro-Inversión-Financi'!AI14</f>
        <v>3797640.46271228</v>
      </c>
      <c r="X10" s="762" t="n">
        <f aca="false">'Cuenta Ahorro-Inversión-Financi'!L14</f>
        <v>1855405.55</v>
      </c>
      <c r="Y10" s="98" t="n">
        <f aca="false">'Cuenta Ahorro-Inversión-Financi'!AY14</f>
        <v>231684.89787</v>
      </c>
      <c r="Z10" s="98"/>
      <c r="AA10" s="98" t="n">
        <f aca="false">'Cuenta Ahorro-Inversión-Financi'!CJ14</f>
        <v>1323795.24164</v>
      </c>
      <c r="AB10" s="98" t="n">
        <f aca="false">'Cuenta Ahorro-Inversión-Financi'!CL14+'Cuenta Ahorro-Inversión-Financi'!CK14</f>
        <v>1121821.99199</v>
      </c>
      <c r="AC10" s="98" t="n">
        <f aca="false">'Cuenta Ahorro-Inversión-Financi'!CM14</f>
        <v>0</v>
      </c>
      <c r="AD10" s="98"/>
      <c r="AE10" s="98"/>
      <c r="AF10" s="98"/>
      <c r="AG10" s="763"/>
      <c r="AH10" s="763"/>
      <c r="AI10" s="763"/>
      <c r="AJ10" s="763"/>
      <c r="AK10" s="763"/>
      <c r="AL10" s="1"/>
      <c r="AM10" s="1" t="n">
        <f aca="false">'Exogenous tax and expenses'!AM9+1</f>
        <v>1998</v>
      </c>
      <c r="AN10" s="28" t="n">
        <f aca="false">IVA!AU45</f>
        <v>9479886</v>
      </c>
      <c r="AO10" s="28" t="n">
        <f aca="false">IVA!AU11</f>
        <v>20345746</v>
      </c>
      <c r="AP10" s="28" t="n">
        <f aca="false">'Exogenous tax and expenses'!T10</f>
        <v>3692434</v>
      </c>
      <c r="AQ10" s="28" t="n">
        <f aca="false">'Exogenous tax and expenses'!U10</f>
        <v>197766</v>
      </c>
      <c r="AR10" s="28" t="n">
        <f aca="false">'Exogenous tax and expenses'!V10</f>
        <v>0</v>
      </c>
      <c r="AS10" s="764" t="n">
        <v>99629</v>
      </c>
      <c r="AT10" s="28" t="n">
        <f aca="false">'Exogenous tax and expenses'!W10</f>
        <v>3797640.46271228</v>
      </c>
      <c r="AU10" s="1" t="n">
        <f aca="false">'Exogenous tax and expenses'!AG10</f>
        <v>0</v>
      </c>
      <c r="AV10" s="1" t="n">
        <f aca="false">'Exogenous tax and expenses'!AH10</f>
        <v>0</v>
      </c>
    </row>
    <row r="11" customFormat="false" ht="13.8" hidden="false" customHeight="false" outlineLevel="0" collapsed="false">
      <c r="A11" s="0" t="n">
        <v>2015</v>
      </c>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Ahorro-Inversión-Financi'!R15</f>
        <v>193381.3</v>
      </c>
      <c r="S11" s="98" t="n">
        <f aca="false">'Cuenta Ahorro-Inversión-Financi'!K15</f>
        <v>1876157.764481</v>
      </c>
      <c r="T11" s="548" t="n">
        <v>3587875</v>
      </c>
      <c r="U11" s="98" t="n">
        <f aca="false">'Cuenta Ahorro-Inversión-Financi'!Q15</f>
        <v>196994</v>
      </c>
      <c r="V11" s="548"/>
      <c r="W11" s="98" t="n">
        <f aca="false">'Cuenta Ahorro-Inversión-Financi'!AI15</f>
        <v>3702544.47452621</v>
      </c>
      <c r="X11" s="98" t="n">
        <f aca="false">'Cuenta Ahorro-Inversión-Financi'!L15</f>
        <v>1868434.31</v>
      </c>
      <c r="Y11" s="761" t="n">
        <f aca="false">'Cuenta Ahorro-Inversión-Financi'!AY15</f>
        <v>239526.32367</v>
      </c>
      <c r="Z11" s="761"/>
      <c r="AA11" s="761" t="n">
        <f aca="false">'Cuenta Ahorro-Inversión-Financi'!CJ15</f>
        <v>1408351.81663</v>
      </c>
      <c r="AB11" s="761" t="n">
        <f aca="false">'Cuenta Ahorro-Inversión-Financi'!CL15+'Cuenta Ahorro-Inversión-Financi'!CK15</f>
        <v>1053075.5174</v>
      </c>
      <c r="AC11" s="761" t="n">
        <f aca="false">'Cuenta Ahorro-Inversión-Financi'!CM15</f>
        <v>0</v>
      </c>
      <c r="AD11" s="761"/>
      <c r="AE11" s="761"/>
      <c r="AF11" s="761"/>
      <c r="AG11" s="547"/>
      <c r="AH11" s="547"/>
      <c r="AI11" s="547"/>
      <c r="AJ11" s="547"/>
      <c r="AK11" s="547"/>
      <c r="AL11" s="1"/>
      <c r="AM11" s="1" t="n">
        <f aca="false">'Exogenous tax and expenses'!AM10+1</f>
        <v>1999</v>
      </c>
      <c r="AN11" s="28" t="n">
        <f aca="false">IVA!AU46</f>
        <v>9239967</v>
      </c>
      <c r="AO11" s="28" t="n">
        <f aca="false">IVA!AU12</f>
        <v>18196927</v>
      </c>
      <c r="AP11" s="28" t="n">
        <f aca="false">'Exogenous tax and expenses'!T11</f>
        <v>3587875</v>
      </c>
      <c r="AQ11" s="28" t="n">
        <f aca="false">'Exogenous tax and expenses'!U11</f>
        <v>196994</v>
      </c>
      <c r="AR11" s="28" t="n">
        <f aca="false">'Exogenous tax and expenses'!V11</f>
        <v>0</v>
      </c>
      <c r="AS11" s="764" t="n">
        <v>385409</v>
      </c>
      <c r="AT11" s="28" t="n">
        <f aca="false">'Exogenous tax and expenses'!W11</f>
        <v>3702544.47452621</v>
      </c>
      <c r="AU11" s="1" t="n">
        <f aca="false">'Exogenous tax and expenses'!AG11</f>
        <v>0</v>
      </c>
      <c r="AV11" s="1" t="n">
        <f aca="false">'Exogenous tax and expenses'!AH11</f>
        <v>0</v>
      </c>
    </row>
    <row r="12" customFormat="false" ht="13.8" hidden="false" customHeight="false" outlineLevel="0" collapsed="false">
      <c r="A12" s="0" t="n">
        <v>2016</v>
      </c>
      <c r="B12" s="1"/>
      <c r="C12" s="1"/>
      <c r="D12" s="1"/>
      <c r="E12" s="1"/>
      <c r="F12" s="1"/>
      <c r="G12" s="1"/>
      <c r="H12" s="1"/>
      <c r="I12" s="1"/>
      <c r="J12" s="1"/>
      <c r="K12" s="1"/>
      <c r="L12" s="1"/>
      <c r="M12" s="1"/>
      <c r="N12" s="1"/>
      <c r="O12" s="1"/>
      <c r="P12" s="1" t="n">
        <f aca="false">'Exogenous tax and expenses'!P11+1</f>
        <v>2000</v>
      </c>
      <c r="Q12" s="762" t="n">
        <f aca="false">'Cuenta Ahorro-Inversión-Financi'!H16</f>
        <v>2095954.20594</v>
      </c>
      <c r="R12" s="762" t="n">
        <f aca="false">'Cuenta Ahorro-Inversión-Financi'!R16</f>
        <v>225126.798267</v>
      </c>
      <c r="S12" s="762" t="n">
        <f aca="false">'Cuenta Ahorro-Inversión-Financi'!K16</f>
        <v>1959837.85384788</v>
      </c>
      <c r="T12" s="762" t="n">
        <v>3478201</v>
      </c>
      <c r="U12" s="762" t="n">
        <f aca="false">'Cuenta Ahorro-Inversión-Financi'!Q16</f>
        <v>487254.75526</v>
      </c>
      <c r="V12" s="762"/>
      <c r="W12" s="762" t="n">
        <f aca="false">'Cuenta Ahorro-Inversión-Financi'!AI16</f>
        <v>3765213.6844696</v>
      </c>
      <c r="X12" s="762" t="n">
        <f aca="false">'Cuenta Ahorro-Inversión-Financi'!L16</f>
        <v>1776845.4022295</v>
      </c>
      <c r="Y12" s="98" t="n">
        <f aca="false">'Cuenta Ahorro-Inversión-Financi'!AY16</f>
        <v>215402.99416</v>
      </c>
      <c r="Z12" s="98"/>
      <c r="AA12" s="98" t="n">
        <f aca="false">'Cuenta Ahorro-Inversión-Financi'!CJ16</f>
        <v>1300825.33734</v>
      </c>
      <c r="AB12" s="98" t="n">
        <f aca="false">'Cuenta Ahorro-Inversión-Financi'!CL16+'Cuenta Ahorro-Inversión-Financi'!CK16</f>
        <v>1093248.25442</v>
      </c>
      <c r="AC12" s="98" t="n">
        <f aca="false">'Cuenta Ahorro-Inversión-Financi'!CM16</f>
        <v>0</v>
      </c>
      <c r="AD12" s="98"/>
      <c r="AE12" s="98"/>
      <c r="AF12" s="98"/>
      <c r="AG12" s="763"/>
      <c r="AH12" s="763"/>
      <c r="AI12" s="763"/>
      <c r="AJ12" s="763"/>
      <c r="AK12" s="763"/>
      <c r="AL12" s="1"/>
      <c r="AM12" s="1" t="n">
        <f aca="false">'Exogenous tax and expenses'!AM11+1</f>
        <v>2000</v>
      </c>
      <c r="AN12" s="28" t="n">
        <f aca="false">IVA!AU47</f>
        <v>10455144.7045</v>
      </c>
      <c r="AO12" s="28" t="n">
        <f aca="false">IVA!AU13</f>
        <v>19008543.43567</v>
      </c>
      <c r="AP12" s="28" t="n">
        <f aca="false">'Exogenous tax and expenses'!T12</f>
        <v>3478201</v>
      </c>
      <c r="AQ12" s="28" t="n">
        <f aca="false">'Exogenous tax and expenses'!U12</f>
        <v>487254.75526</v>
      </c>
      <c r="AR12" s="28" t="n">
        <f aca="false">'Exogenous tax and expenses'!V12</f>
        <v>0</v>
      </c>
      <c r="AS12" s="764" t="n">
        <v>353552</v>
      </c>
      <c r="AT12" s="28" t="n">
        <f aca="false">'Exogenous tax and expenses'!W12</f>
        <v>3765213.6844696</v>
      </c>
      <c r="AU12" s="1" t="n">
        <f aca="false">'Exogenous tax and expenses'!AG12</f>
        <v>0</v>
      </c>
      <c r="AV12" s="1" t="n">
        <f aca="false">'Exogenous tax and expenses'!AH12</f>
        <v>0</v>
      </c>
    </row>
    <row r="13" customFormat="false" ht="13.8" hidden="false" customHeight="false" outlineLevel="0" collapsed="false">
      <c r="A13" s="0" t="n">
        <v>2017</v>
      </c>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Ahorro-Inversión-Financi'!R17</f>
        <v>213002.63159</v>
      </c>
      <c r="S13" s="98" t="n">
        <f aca="false">'Cuenta Ahorro-Inversión-Financi'!K17</f>
        <v>1582734.84789566</v>
      </c>
      <c r="T13" s="548" t="n">
        <v>3419627</v>
      </c>
      <c r="U13" s="98" t="n">
        <f aca="false">'Cuenta Ahorro-Inversión-Financi'!Q17</f>
        <v>225853.29969</v>
      </c>
      <c r="V13" s="548" t="n">
        <v>2933082</v>
      </c>
      <c r="W13" s="98" t="n">
        <f aca="false">'Cuenta Ahorro-Inversión-Financi'!AI17</f>
        <v>3343942.45631307</v>
      </c>
      <c r="X13" s="98" t="n">
        <f aca="false">'Cuenta Ahorro-Inversión-Financi'!L17</f>
        <v>1739519.1815753</v>
      </c>
      <c r="Y13" s="761" t="n">
        <f aca="false">'Cuenta Ahorro-Inversión-Financi'!AY17</f>
        <v>184976.21637</v>
      </c>
      <c r="Z13" s="761"/>
      <c r="AA13" s="761" t="n">
        <f aca="false">'Cuenta Ahorro-Inversión-Financi'!CJ17</f>
        <v>1232567.64749</v>
      </c>
      <c r="AB13" s="761" t="n">
        <f aca="false">'Cuenta Ahorro-Inversión-Financi'!CL17+'Cuenta Ahorro-Inversión-Financi'!CK17</f>
        <v>1053013.16575</v>
      </c>
      <c r="AC13" s="761" t="n">
        <f aca="false">'Cuenta Ahorro-Inversión-Financi'!CM17</f>
        <v>0</v>
      </c>
      <c r="AD13" s="761"/>
      <c r="AE13" s="761"/>
      <c r="AF13" s="761"/>
      <c r="AG13" s="547"/>
      <c r="AH13" s="547"/>
      <c r="AI13" s="547"/>
      <c r="AJ13" s="547"/>
      <c r="AK13" s="547"/>
      <c r="AL13" s="1"/>
      <c r="AM13" s="1" t="n">
        <f aca="false">'Exogenous tax and expenses'!AM12+1</f>
        <v>2001</v>
      </c>
      <c r="AN13" s="28" t="n">
        <f aca="false">IVA!AU48</f>
        <v>10091279.71631</v>
      </c>
      <c r="AO13" s="28" t="n">
        <f aca="false">IVA!AU14</f>
        <v>15351006.73982</v>
      </c>
      <c r="AP13" s="28" t="n">
        <f aca="false">'Exogenous tax and expenses'!T13</f>
        <v>3419627</v>
      </c>
      <c r="AQ13" s="28" t="n">
        <f aca="false">'Exogenous tax and expenses'!U13</f>
        <v>225853.29969</v>
      </c>
      <c r="AR13" s="28" t="n">
        <f aca="false">'Exogenous tax and expenses'!V13</f>
        <v>2933082</v>
      </c>
      <c r="AS13" s="764" t="n">
        <v>302354</v>
      </c>
      <c r="AT13" s="28" t="n">
        <f aca="false">'Exogenous tax and expenses'!W13</f>
        <v>3343942.45631307</v>
      </c>
      <c r="AU13" s="1" t="n">
        <f aca="false">'Exogenous tax and expenses'!AG13</f>
        <v>0</v>
      </c>
      <c r="AV13" s="1" t="n">
        <f aca="false">'Exogenous tax and expenses'!AH13</f>
        <v>0</v>
      </c>
    </row>
    <row r="14" customFormat="false" ht="13.8" hidden="false" customHeight="false" outlineLevel="0" collapsed="false">
      <c r="A14" s="0" t="n">
        <v>2018</v>
      </c>
      <c r="B14" s="1"/>
      <c r="C14" s="1"/>
      <c r="D14" s="1"/>
      <c r="E14" s="1"/>
      <c r="F14" s="1"/>
      <c r="G14" s="1"/>
      <c r="H14" s="1"/>
      <c r="I14" s="1"/>
      <c r="J14" s="1"/>
      <c r="K14" s="1"/>
      <c r="L14" s="1"/>
      <c r="M14" s="1"/>
      <c r="N14" s="1"/>
      <c r="O14" s="1"/>
      <c r="P14" s="1" t="n">
        <f aca="false">'Exogenous tax and expenses'!P13+1</f>
        <v>2002</v>
      </c>
      <c r="Q14" s="762" t="n">
        <f aca="false">'Cuenta Ahorro-Inversión-Financi'!H18</f>
        <v>1721480.99196</v>
      </c>
      <c r="R14" s="762" t="n">
        <f aca="false">'Cuenta Ahorro-Inversión-Financi'!R18</f>
        <v>161900.70904</v>
      </c>
      <c r="S14" s="762" t="n">
        <f aca="false">'Cuenta Ahorro-Inversión-Financi'!K18</f>
        <v>1571513.88819431</v>
      </c>
      <c r="T14" s="762" t="n">
        <v>4483171</v>
      </c>
      <c r="U14" s="762" t="n">
        <f aca="false">'Cuenta Ahorro-Inversión-Financi'!Q18</f>
        <v>217634.09198</v>
      </c>
      <c r="V14" s="762" t="n">
        <v>4857335</v>
      </c>
      <c r="W14" s="762" t="n">
        <f aca="false">'Cuenta Ahorro-Inversión-Financi'!AI18</f>
        <v>3012321.73270982</v>
      </c>
      <c r="X14" s="762" t="n">
        <f aca="false">'Cuenta Ahorro-Inversión-Financi'!L18</f>
        <v>1808967.1664198</v>
      </c>
      <c r="Y14" s="98" t="n">
        <f aca="false">'Cuenta Ahorro-Inversión-Financi'!AY18</f>
        <v>210715.14495</v>
      </c>
      <c r="Z14" s="98"/>
      <c r="AA14" s="98" t="n">
        <f aca="false">'Cuenta Ahorro-Inversión-Financi'!CJ18</f>
        <v>1228490.33447</v>
      </c>
      <c r="AB14" s="98" t="n">
        <f aca="false">'Cuenta Ahorro-Inversión-Financi'!CL18+'Cuenta Ahorro-Inversión-Financi'!CK18</f>
        <v>896657.02276</v>
      </c>
      <c r="AC14" s="98" t="n">
        <f aca="false">'Cuenta Ahorro-Inversión-Financi'!CM18</f>
        <v>0</v>
      </c>
      <c r="AD14" s="98"/>
      <c r="AE14" s="98"/>
      <c r="AF14" s="98"/>
      <c r="AG14" s="763"/>
      <c r="AH14" s="763"/>
      <c r="AI14" s="763"/>
      <c r="AJ14" s="763"/>
      <c r="AK14" s="763"/>
      <c r="AL14" s="1"/>
      <c r="AM14" s="1" t="n">
        <f aca="false">'Exogenous tax and expenses'!AM13+1</f>
        <v>2002</v>
      </c>
      <c r="AN14" s="28" t="n">
        <f aca="false">IVA!AU49</f>
        <v>8919338.84114</v>
      </c>
      <c r="AO14" s="28" t="n">
        <f aca="false">IVA!AU15</f>
        <v>15242174.21602</v>
      </c>
      <c r="AP14" s="28" t="n">
        <f aca="false">'Exogenous tax and expenses'!T14</f>
        <v>4483171</v>
      </c>
      <c r="AQ14" s="28" t="n">
        <f aca="false">'Exogenous tax and expenses'!U14</f>
        <v>217634.09198</v>
      </c>
      <c r="AR14" s="28" t="n">
        <f aca="false">'Exogenous tax and expenses'!V14</f>
        <v>4857335</v>
      </c>
      <c r="AS14" s="764" t="n">
        <v>223257</v>
      </c>
      <c r="AT14" s="28" t="n">
        <f aca="false">'Exogenous tax and expenses'!W14</f>
        <v>3012321.73270982</v>
      </c>
      <c r="AU14" s="1" t="n">
        <f aca="false">'Exogenous tax and expenses'!AG14</f>
        <v>0</v>
      </c>
      <c r="AV14" s="1" t="n">
        <f aca="false">'Exogenous tax and expenses'!AH14</f>
        <v>0</v>
      </c>
    </row>
    <row r="15" customFormat="false" ht="13.8"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Ahorro-Inversión-Financi'!R19</f>
        <v>206266.978848</v>
      </c>
      <c r="S15" s="98" t="n">
        <f aca="false">'Cuenta Ahorro-Inversión-Financi'!K19</f>
        <v>2159757.59570741</v>
      </c>
      <c r="T15" s="548" t="n">
        <v>4973177</v>
      </c>
      <c r="U15" s="98" t="n">
        <f aca="false">'Cuenta Ahorro-Inversión-Financi'!Q19</f>
        <v>256304.73254</v>
      </c>
      <c r="V15" s="548" t="n">
        <v>5900237</v>
      </c>
      <c r="W15" s="98" t="n">
        <f aca="false">'Cuenta Ahorro-Inversión-Financi'!AI19</f>
        <v>4436735.16197493</v>
      </c>
      <c r="X15" s="98" t="n">
        <f aca="false">'Cuenta Ahorro-Inversión-Financi'!L19</f>
        <v>1866693.826383</v>
      </c>
      <c r="Y15" s="761" t="n">
        <f aca="false">'Cuenta Ahorro-Inversión-Financi'!AY19</f>
        <v>256579.96757</v>
      </c>
      <c r="Z15" s="761"/>
      <c r="AA15" s="761" t="n">
        <f aca="false">'Cuenta Ahorro-Inversión-Financi'!CJ19</f>
        <v>1474636.94382</v>
      </c>
      <c r="AB15" s="761" t="n">
        <f aca="false">'Cuenta Ahorro-Inversión-Financi'!CL19+'Cuenta Ahorro-Inversión-Financi'!CK19</f>
        <v>1080109.03364</v>
      </c>
      <c r="AC15" s="761" t="n">
        <f aca="false">'Cuenta Ahorro-Inversión-Financi'!CM19</f>
        <v>0</v>
      </c>
      <c r="AD15" s="761"/>
      <c r="AE15" s="761"/>
      <c r="AF15" s="761"/>
      <c r="AG15" s="547"/>
      <c r="AH15" s="547"/>
      <c r="AI15" s="547"/>
      <c r="AJ15" s="547"/>
      <c r="AK15" s="547"/>
      <c r="AL15" s="1"/>
      <c r="AM15" s="1" t="n">
        <f aca="false">'Exogenous tax and expenses'!AM14+1</f>
        <v>2003</v>
      </c>
      <c r="AN15" s="28" t="n">
        <f aca="false">IVA!AU50</f>
        <v>14750736.62065</v>
      </c>
      <c r="AO15" s="28" t="n">
        <f aca="false">IVA!AU16</f>
        <v>20947572.7739</v>
      </c>
      <c r="AP15" s="28" t="n">
        <f aca="false">'Exogenous tax and expenses'!T15</f>
        <v>4973177</v>
      </c>
      <c r="AQ15" s="28" t="n">
        <f aca="false">'Exogenous tax and expenses'!U15</f>
        <v>256304.73254</v>
      </c>
      <c r="AR15" s="28" t="n">
        <f aca="false">'Exogenous tax and expenses'!V15</f>
        <v>5900237</v>
      </c>
      <c r="AS15" s="764" t="n">
        <v>282741</v>
      </c>
      <c r="AT15" s="28" t="n">
        <f aca="false">'Exogenous tax and expenses'!W15</f>
        <v>4436735.16197493</v>
      </c>
      <c r="AU15" s="1" t="n">
        <f aca="false">'Exogenous tax and expenses'!AG15</f>
        <v>0</v>
      </c>
      <c r="AV15" s="1" t="n">
        <f aca="false">'Exogenous tax and expenses'!AH15</f>
        <v>0</v>
      </c>
    </row>
    <row r="16" customFormat="false" ht="13.8" hidden="false" customHeight="false" outlineLevel="0" collapsed="false">
      <c r="B16" s="1"/>
      <c r="C16" s="1"/>
      <c r="D16" s="1"/>
      <c r="E16" s="1"/>
      <c r="F16" s="1"/>
      <c r="G16" s="1"/>
      <c r="H16" s="1"/>
      <c r="I16" s="1"/>
      <c r="J16" s="1"/>
      <c r="K16" s="1"/>
      <c r="L16" s="1"/>
      <c r="M16" s="1"/>
      <c r="N16" s="1"/>
      <c r="O16" s="1"/>
      <c r="P16" s="1" t="n">
        <f aca="false">'Exogenous tax and expenses'!P15+1</f>
        <v>2004</v>
      </c>
      <c r="Q16" s="762" t="n">
        <f aca="false">'Cuenta Ahorro-Inversión-Financi'!H20</f>
        <v>4445674.9968</v>
      </c>
      <c r="R16" s="762" t="n">
        <f aca="false">'Cuenta Ahorro-Inversión-Financi'!R20</f>
        <v>319188.208521</v>
      </c>
      <c r="S16" s="762" t="n">
        <f aca="false">'Cuenta Ahorro-Inversión-Financi'!K20</f>
        <v>3193816.385506</v>
      </c>
      <c r="T16" s="762" t="n">
        <v>5378515</v>
      </c>
      <c r="U16" s="762" t="n">
        <f aca="false">'Cuenta Ahorro-Inversión-Financi'!Q20</f>
        <v>343399.86403</v>
      </c>
      <c r="V16" s="762" t="n">
        <v>7681862</v>
      </c>
      <c r="W16" s="762" t="n">
        <f aca="false">'Cuenta Ahorro-Inversión-Financi'!AI20</f>
        <v>6613425.98806711</v>
      </c>
      <c r="X16" s="762" t="n">
        <f aca="false">'Cuenta Ahorro-Inversión-Financi'!L20</f>
        <v>2024594.8909331</v>
      </c>
      <c r="Y16" s="98" t="n">
        <f aca="false">'Cuenta Ahorro-Inversión-Financi'!AY20</f>
        <v>292385.97512</v>
      </c>
      <c r="Z16" s="98"/>
      <c r="AA16" s="98" t="n">
        <f aca="false">'Cuenta Ahorro-Inversión-Financi'!CJ20</f>
        <v>1469347.76251</v>
      </c>
      <c r="AB16" s="98" t="n">
        <f aca="false">'Cuenta Ahorro-Inversión-Financi'!CL20+'Cuenta Ahorro-Inversión-Financi'!CK20</f>
        <v>1558850.89528</v>
      </c>
      <c r="AC16" s="98" t="n">
        <f aca="false">'Cuenta Ahorro-Inversión-Financi'!CM20</f>
        <v>0</v>
      </c>
      <c r="AD16" s="98"/>
      <c r="AE16" s="98"/>
      <c r="AF16" s="98"/>
      <c r="AG16" s="763"/>
      <c r="AH16" s="763"/>
      <c r="AI16" s="763"/>
      <c r="AJ16" s="763"/>
      <c r="AK16" s="763"/>
      <c r="AL16" s="1"/>
      <c r="AM16" s="1" t="n">
        <f aca="false">'Exogenous tax and expenses'!AM15+1</f>
        <v>2004</v>
      </c>
      <c r="AN16" s="28" t="n">
        <f aca="false">IVA!AU51</f>
        <v>22289094.1015</v>
      </c>
      <c r="AO16" s="28" t="n">
        <f aca="false">IVA!AU17</f>
        <v>30976949.12375</v>
      </c>
      <c r="AP16" s="28" t="n">
        <f aca="false">'Exogenous tax and expenses'!T16</f>
        <v>5378515</v>
      </c>
      <c r="AQ16" s="28" t="n">
        <f aca="false">'Exogenous tax and expenses'!U16</f>
        <v>343399.86403</v>
      </c>
      <c r="AR16" s="28" t="n">
        <f aca="false">'Exogenous tax and expenses'!V16</f>
        <v>7681862</v>
      </c>
      <c r="AS16" s="764" t="n">
        <v>499377</v>
      </c>
      <c r="AT16" s="28" t="n">
        <f aca="false">'Exogenous tax and expenses'!W16</f>
        <v>6613425.98806711</v>
      </c>
      <c r="AU16" s="1" t="n">
        <f aca="false">'Exogenous tax and expenses'!AG16</f>
        <v>0</v>
      </c>
      <c r="AV16" s="1" t="n">
        <f aca="false">'Exogenous tax and expenses'!AH16</f>
        <v>0</v>
      </c>
    </row>
    <row r="17" customFormat="false" ht="13.8"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Ahorro-Inversión-Financi'!R21</f>
        <v>414100.619296</v>
      </c>
      <c r="S17" s="98" t="n">
        <f aca="false">'Cuenta Ahorro-Inversión-Financi'!K21</f>
        <v>3799668.14863337</v>
      </c>
      <c r="T17" s="548" t="n">
        <v>6017379</v>
      </c>
      <c r="U17" s="98" t="n">
        <f aca="false">'Cuenta Ahorro-Inversión-Financi'!Q21</f>
        <v>392086.011</v>
      </c>
      <c r="V17" s="548" t="n">
        <v>9434291</v>
      </c>
      <c r="W17" s="98" t="n">
        <f aca="false">'Cuenta Ahorro-Inversión-Financi'!AI21</f>
        <v>8146311.50442478</v>
      </c>
      <c r="X17" s="98" t="n">
        <f aca="false">'Cuenta Ahorro-Inversión-Financi'!L21</f>
        <v>2283146.7197573</v>
      </c>
      <c r="Y17" s="761" t="n">
        <f aca="false">'Cuenta Ahorro-Inversión-Financi'!AY21</f>
        <v>443286.29688</v>
      </c>
      <c r="Z17" s="761"/>
      <c r="AA17" s="761" t="n">
        <f aca="false">'Cuenta Ahorro-Inversión-Financi'!CJ21</f>
        <v>1538056.66477</v>
      </c>
      <c r="AB17" s="761" t="n">
        <f aca="false">'Cuenta Ahorro-Inversión-Financi'!CL21+'Cuenta Ahorro-Inversión-Financi'!CK21</f>
        <v>1940345.98108</v>
      </c>
      <c r="AC17" s="761" t="n">
        <f aca="false">'Cuenta Ahorro-Inversión-Financi'!CM21</f>
        <v>0</v>
      </c>
      <c r="AD17" s="761"/>
      <c r="AE17" s="761"/>
      <c r="AF17" s="761"/>
      <c r="AG17" s="547"/>
      <c r="AH17" s="547"/>
      <c r="AI17" s="547"/>
      <c r="AJ17" s="547"/>
      <c r="AK17" s="547"/>
      <c r="AL17" s="1"/>
      <c r="AM17" s="1" t="n">
        <f aca="false">'Exogenous tax and expenses'!AM16+1</f>
        <v>2005</v>
      </c>
      <c r="AN17" s="28" t="n">
        <f aca="false">IVA!AU52</f>
        <v>28045399.05254</v>
      </c>
      <c r="AO17" s="28" t="n">
        <f aca="false">IVA!AU18</f>
        <v>36853128.89667</v>
      </c>
      <c r="AP17" s="28" t="n">
        <f aca="false">'Exogenous tax and expenses'!T17</f>
        <v>6017379</v>
      </c>
      <c r="AQ17" s="28" t="n">
        <f aca="false">'Exogenous tax and expenses'!U17</f>
        <v>392086.011</v>
      </c>
      <c r="AR17" s="28" t="n">
        <f aca="false">'Exogenous tax and expenses'!V17</f>
        <v>9434291</v>
      </c>
      <c r="AS17" s="764" t="n">
        <v>756922</v>
      </c>
      <c r="AT17" s="28" t="n">
        <f aca="false">'Exogenous tax and expenses'!W17</f>
        <v>8146311.50442478</v>
      </c>
      <c r="AU17" s="1" t="n">
        <f aca="false">'Exogenous tax and expenses'!AG17</f>
        <v>0</v>
      </c>
      <c r="AV17" s="1" t="n">
        <f aca="false">'Exogenous tax and expenses'!AH17</f>
        <v>0</v>
      </c>
    </row>
    <row r="18" customFormat="false" ht="13.8" hidden="false" customHeight="false" outlineLevel="0" collapsed="false">
      <c r="B18" s="1"/>
      <c r="C18" s="1"/>
      <c r="D18" s="1"/>
      <c r="E18" s="1"/>
      <c r="F18" s="1"/>
      <c r="G18" s="1"/>
      <c r="H18" s="1"/>
      <c r="I18" s="1"/>
      <c r="J18" s="1"/>
      <c r="K18" s="1"/>
      <c r="L18" s="1"/>
      <c r="M18" s="1"/>
      <c r="N18" s="1"/>
      <c r="O18" s="1"/>
      <c r="P18" s="1" t="n">
        <f aca="false">'Exogenous tax and expenses'!P17+1</f>
        <v>2006</v>
      </c>
      <c r="Q18" s="762" t="n">
        <f aca="false">'Cuenta Ahorro-Inversión-Financi'!H22</f>
        <v>6733513.05459</v>
      </c>
      <c r="R18" s="762" t="n">
        <f aca="false">'Cuenta Ahorro-Inversión-Financi'!R22</f>
        <v>463050.868035</v>
      </c>
      <c r="S18" s="762" t="n">
        <f aca="false">'Cuenta Ahorro-Inversión-Financi'!K22</f>
        <v>4856595.57018673</v>
      </c>
      <c r="T18" s="762" t="n">
        <v>6572626</v>
      </c>
      <c r="U18" s="762" t="n">
        <f aca="false">'Cuenta Ahorro-Inversión-Financi'!Q22</f>
        <v>398243.52609</v>
      </c>
      <c r="V18" s="762" t="n">
        <v>11685685</v>
      </c>
      <c r="W18" s="762" t="n">
        <f aca="false">'Cuenta Ahorro-Inversión-Financi'!AI22</f>
        <v>10103645.4250591</v>
      </c>
      <c r="X18" s="762" t="n">
        <f aca="false">'Cuenta Ahorro-Inversión-Financi'!L22</f>
        <v>2437923.9389405</v>
      </c>
      <c r="Y18" s="98" t="n">
        <f aca="false">'Cuenta Ahorro-Inversión-Financi'!AY22</f>
        <v>596706.40429</v>
      </c>
      <c r="Z18" s="98"/>
      <c r="AA18" s="98" t="n">
        <f aca="false">'Cuenta Ahorro-Inversión-Financi'!CJ22</f>
        <v>1685933.6627</v>
      </c>
      <c r="AB18" s="98" t="n">
        <f aca="false">'Cuenta Ahorro-Inversión-Financi'!CL22+'Cuenta Ahorro-Inversión-Financi'!CK22</f>
        <v>2798293.27906</v>
      </c>
      <c r="AC18" s="98" t="n">
        <f aca="false">'Cuenta Ahorro-Inversión-Financi'!CM22</f>
        <v>0</v>
      </c>
      <c r="AD18" s="98"/>
      <c r="AE18" s="98"/>
      <c r="AF18" s="98"/>
      <c r="AG18" s="763"/>
      <c r="AH18" s="763"/>
      <c r="AI18" s="763"/>
      <c r="AJ18" s="763"/>
      <c r="AK18" s="763"/>
      <c r="AL18" s="1"/>
      <c r="AM18" s="1" t="n">
        <f aca="false">'Exogenous tax and expenses'!AM17+1</f>
        <v>2006</v>
      </c>
      <c r="AN18" s="28" t="n">
        <f aca="false">IVA!AU53</f>
        <v>33615092.07659</v>
      </c>
      <c r="AO18" s="28" t="n">
        <f aca="false">IVA!AU19</f>
        <v>47104308.99379</v>
      </c>
      <c r="AP18" s="28" t="n">
        <f aca="false">'Exogenous tax and expenses'!T18</f>
        <v>6572626</v>
      </c>
      <c r="AQ18" s="28" t="n">
        <f aca="false">'Exogenous tax and expenses'!U18</f>
        <v>398243.52609</v>
      </c>
      <c r="AR18" s="28" t="n">
        <f aca="false">'Exogenous tax and expenses'!V18</f>
        <v>11685685</v>
      </c>
      <c r="AS18" s="764" t="n">
        <v>868746</v>
      </c>
      <c r="AT18" s="28" t="n">
        <f aca="false">'Exogenous tax and expenses'!W18</f>
        <v>10103645.4250591</v>
      </c>
      <c r="AU18" s="1" t="n">
        <f aca="false">'Exogenous tax and expenses'!AG18</f>
        <v>0</v>
      </c>
      <c r="AV18" s="1" t="n">
        <f aca="false">'Exogenous tax and expenses'!AH18</f>
        <v>0</v>
      </c>
    </row>
    <row r="19" customFormat="false" ht="13.8"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Ahorro-Inversión-Financi'!R23</f>
        <v>525160.252624</v>
      </c>
      <c r="S19" s="98" t="n">
        <f aca="false">'Cuenta Ahorro-Inversión-Financi'!K23</f>
        <v>6461394.65383149</v>
      </c>
      <c r="T19" s="548" t="n">
        <v>7465676</v>
      </c>
      <c r="U19" s="98" t="n">
        <f aca="false">'Cuenta Ahorro-Inversión-Financi'!Q23</f>
        <v>447075.21997</v>
      </c>
      <c r="V19" s="548" t="n">
        <v>15064961</v>
      </c>
      <c r="W19" s="98" t="n">
        <f aca="false">'Cuenta Ahorro-Inversión-Financi'!AI23</f>
        <v>13371549.19129</v>
      </c>
      <c r="X19" s="98" t="n">
        <f aca="false">'Cuenta Ahorro-Inversión-Financi'!L23</f>
        <v>2704319.9941651</v>
      </c>
      <c r="Y19" s="761" t="n">
        <f aca="false">'Cuenta Ahorro-Inversión-Financi'!AY23</f>
        <v>838168.47267</v>
      </c>
      <c r="Z19" s="761"/>
      <c r="AA19" s="761" t="n">
        <f aca="false">'Cuenta Ahorro-Inversión-Financi'!CJ23</f>
        <v>2059936.26201</v>
      </c>
      <c r="AB19" s="761" t="n">
        <f aca="false">'Cuenta Ahorro-Inversión-Financi'!CL23+'Cuenta Ahorro-Inversión-Financi'!CK23</f>
        <v>4169261.10058</v>
      </c>
      <c r="AC19" s="761" t="n">
        <f aca="false">'Cuenta Ahorro-Inversión-Financi'!CM23</f>
        <v>0</v>
      </c>
      <c r="AD19" s="761"/>
      <c r="AE19" s="761"/>
      <c r="AF19" s="761"/>
      <c r="AG19" s="547"/>
      <c r="AH19" s="547"/>
      <c r="AI19" s="547"/>
      <c r="AJ19" s="547"/>
      <c r="AK19" s="547"/>
      <c r="AL19" s="1"/>
      <c r="AM19" s="1" t="n">
        <f aca="false">'Exogenous tax and expenses'!AM18+1</f>
        <v>2007</v>
      </c>
      <c r="AN19" s="28" t="n">
        <f aca="false">IVA!AU54</f>
        <v>42854905.42684</v>
      </c>
      <c r="AO19" s="28" t="n">
        <f aca="false">IVA!AU20</f>
        <v>62669317.61279</v>
      </c>
      <c r="AP19" s="28" t="n">
        <f aca="false">'Exogenous tax and expenses'!T19</f>
        <v>7465676</v>
      </c>
      <c r="AQ19" s="28" t="n">
        <f aca="false">'Exogenous tax and expenses'!U19</f>
        <v>447075.21997</v>
      </c>
      <c r="AR19" s="28" t="n">
        <f aca="false">'Exogenous tax and expenses'!V19</f>
        <v>15064961</v>
      </c>
      <c r="AS19" s="764" t="n">
        <v>1063328</v>
      </c>
      <c r="AT19" s="28" t="n">
        <f aca="false">'Exogenous tax and expenses'!W19</f>
        <v>13371549.19129</v>
      </c>
      <c r="AU19" s="1" t="n">
        <f aca="false">'Exogenous tax and expenses'!AG19</f>
        <v>0</v>
      </c>
      <c r="AV19" s="1" t="n">
        <f aca="false">'Exogenous tax and expenses'!AH19</f>
        <v>0</v>
      </c>
    </row>
    <row r="20" customFormat="false" ht="13.8" hidden="false" customHeight="false" outlineLevel="0" collapsed="false">
      <c r="B20" s="1"/>
      <c r="C20" s="1"/>
      <c r="D20" s="1"/>
      <c r="E20" s="1"/>
      <c r="F20" s="1"/>
      <c r="G20" s="1"/>
      <c r="H20" s="1"/>
      <c r="I20" s="1"/>
      <c r="J20" s="1"/>
      <c r="K20" s="1"/>
      <c r="L20" s="1"/>
      <c r="M20" s="1"/>
      <c r="N20" s="1"/>
      <c r="O20" s="28" t="n">
        <f aca="false">S30+X30+V30</f>
        <v>369916840.60095</v>
      </c>
      <c r="P20" s="1" t="n">
        <f aca="false">'Exogenous tax and expenses'!P19+1</f>
        <v>2008</v>
      </c>
      <c r="Q20" s="762" t="n">
        <f aca="false">'Cuenta Ahorro-Inversión-Financi'!H24</f>
        <v>10735671.1304</v>
      </c>
      <c r="R20" s="762" t="n">
        <f aca="false">'Cuenta Ahorro-Inversión-Financi'!R24</f>
        <v>710091.538779</v>
      </c>
      <c r="S20" s="762" t="n">
        <f aca="false">'Cuenta Ahorro-Inversión-Financi'!K24</f>
        <v>8271840.77363275</v>
      </c>
      <c r="T20" s="762" t="n">
        <v>9693850</v>
      </c>
      <c r="U20" s="762" t="n">
        <f aca="false">'Cuenta Ahorro-Inversión-Financi'!Q24</f>
        <v>555098.17588</v>
      </c>
      <c r="V20" s="762" t="n">
        <v>19495157</v>
      </c>
      <c r="W20" s="762" t="n">
        <f aca="false">'Cuenta Ahorro-Inversión-Financi'!AI24</f>
        <v>16753835.7595</v>
      </c>
      <c r="X20" s="762" t="n">
        <f aca="false">'Cuenta Ahorro-Inversión-Financi'!L24</f>
        <v>3269922.0771961</v>
      </c>
      <c r="Y20" s="98" t="n">
        <f aca="false">'Cuenta Ahorro-Inversión-Financi'!AY24</f>
        <v>1265908.80827</v>
      </c>
      <c r="Z20" s="98"/>
      <c r="AA20" s="98" t="n">
        <f aca="false">'Cuenta Ahorro-Inversión-Financi'!CJ24</f>
        <v>2527385.48547</v>
      </c>
      <c r="AB20" s="98" t="n">
        <f aca="false">'Cuenta Ahorro-Inversión-Financi'!CL24+'Cuenta Ahorro-Inversión-Financi'!CK24</f>
        <v>6157865.94606</v>
      </c>
      <c r="AC20" s="98" t="n">
        <f aca="false">'Cuenta Ahorro-Inversión-Financi'!CM24</f>
        <v>1341518.04191</v>
      </c>
      <c r="AD20" s="98"/>
      <c r="AE20" s="98"/>
      <c r="AF20" s="98"/>
      <c r="AG20" s="605" t="n">
        <f aca="false">'Cuenta Ahorro-Inversión-Financi'!X24</f>
        <v>1117433.63985</v>
      </c>
      <c r="AH20" s="605" t="n">
        <v>98224000</v>
      </c>
      <c r="AI20" s="605"/>
      <c r="AJ20" s="605"/>
      <c r="AK20" s="605"/>
      <c r="AL20" s="1" t="s">
        <v>1035</v>
      </c>
      <c r="AM20" s="1" t="n">
        <f aca="false">'Exogenous tax and expenses'!AM19+1</f>
        <v>2008</v>
      </c>
      <c r="AN20" s="28" t="n">
        <f aca="false">IVA!AU55</f>
        <v>53646000.42121</v>
      </c>
      <c r="AO20" s="28" t="n">
        <f aca="false">IVA!AU21</f>
        <v>80228904.81977</v>
      </c>
      <c r="AP20" s="28" t="n">
        <f aca="false">'Exogenous tax and expenses'!T20</f>
        <v>9693850</v>
      </c>
      <c r="AQ20" s="28" t="n">
        <f aca="false">'Exogenous tax and expenses'!U20</f>
        <v>555098.17588</v>
      </c>
      <c r="AR20" s="28" t="n">
        <f aca="false">'Exogenous tax and expenses'!V20</f>
        <v>19495157</v>
      </c>
      <c r="AS20" s="764" t="n">
        <v>1354709</v>
      </c>
      <c r="AT20" s="28" t="n">
        <f aca="false">'Exogenous tax and expenses'!W20</f>
        <v>16753835.7595</v>
      </c>
      <c r="AU20" s="28" t="n">
        <f aca="false">'Exogenous tax and expenses'!AG20</f>
        <v>1117433.63985</v>
      </c>
      <c r="AV20" s="28" t="n">
        <f aca="false">'Exogenous tax and expenses'!AH20</f>
        <v>98224000</v>
      </c>
    </row>
    <row r="21" customFormat="false" ht="13.8" hidden="false" customHeight="false" outlineLevel="0" collapsed="false">
      <c r="B21" s="1"/>
      <c r="C21" s="1"/>
      <c r="D21" s="1"/>
      <c r="E21" s="1"/>
      <c r="F21" s="1"/>
      <c r="G21" s="1"/>
      <c r="H21" s="1"/>
      <c r="I21" s="1"/>
      <c r="J21" s="1"/>
      <c r="K21" s="1"/>
      <c r="L21" s="1"/>
      <c r="M21" s="1"/>
      <c r="N21" s="765" t="n">
        <v>11016.8905</v>
      </c>
      <c r="O21" s="1"/>
      <c r="P21" s="1" t="n">
        <f aca="false">'Exogenous tax and expenses'!P20+1</f>
        <v>2009</v>
      </c>
      <c r="Q21" s="98" t="n">
        <f aca="false">'Cuenta Ahorro-Inversión-Financi'!H25</f>
        <v>11102856.8612</v>
      </c>
      <c r="R21" s="98" t="n">
        <f aca="false">'Cuenta Ahorro-Inversión-Financi'!R25</f>
        <v>900098.5</v>
      </c>
      <c r="S21" s="98" t="n">
        <f aca="false">'Cuenta Ahorro-Inversión-Financi'!K25</f>
        <v>9009731.229499</v>
      </c>
      <c r="T21" s="548" t="n">
        <v>11593279</v>
      </c>
      <c r="U21" s="98" t="n">
        <f aca="false">'Cuenta Ahorro-Inversión-Financi'!Q25</f>
        <v>658385</v>
      </c>
      <c r="V21" s="548" t="n">
        <v>20561471</v>
      </c>
      <c r="W21" s="98" t="n">
        <f aca="false">'Cuenta Ahorro-Inversión-Financi'!AI25</f>
        <v>18241431.1264</v>
      </c>
      <c r="X21" s="98" t="n">
        <f aca="false">'Cuenta Ahorro-Inversión-Financi'!L25</f>
        <v>3806449.67</v>
      </c>
      <c r="Y21" s="761" t="n">
        <f aca="false">'Cuenta Ahorro-Inversión-Financi'!AY25</f>
        <v>2218502.32568</v>
      </c>
      <c r="Z21" s="761"/>
      <c r="AA21" s="761" t="n">
        <f aca="false">'Cuenta Ahorro-Inversión-Financi'!CJ25</f>
        <v>3449309.24374</v>
      </c>
      <c r="AB21" s="761" t="n">
        <f aca="false">'Cuenta Ahorro-Inversión-Financi'!CL25+'Cuenta Ahorro-Inversión-Financi'!CK25</f>
        <v>8571574.85123</v>
      </c>
      <c r="AC21" s="761" t="n">
        <f aca="false">'Cuenta Ahorro-Inversión-Financi'!CM25</f>
        <v>2090315.13795</v>
      </c>
      <c r="AD21" s="761"/>
      <c r="AE21" s="761"/>
      <c r="AF21" s="761"/>
      <c r="AG21" s="98" t="n">
        <f aca="false">'Cuenta Ahorro-Inversión-Financi'!X25</f>
        <v>8487113.30096</v>
      </c>
      <c r="AH21" s="98" t="n">
        <v>135692682.225</v>
      </c>
      <c r="AI21" s="98"/>
      <c r="AJ21" s="98"/>
      <c r="AK21" s="98"/>
      <c r="AL21" s="1" t="s">
        <v>1035</v>
      </c>
      <c r="AM21" s="1" t="n">
        <f aca="false">'Exogenous tax and expenses'!AM20+1</f>
        <v>2009</v>
      </c>
      <c r="AN21" s="28" t="n">
        <f aca="false">IVA!AU56</f>
        <v>55552256</v>
      </c>
      <c r="AO21" s="28" t="n">
        <f aca="false">IVA!AU22</f>
        <v>87385733</v>
      </c>
      <c r="AP21" s="28" t="n">
        <f aca="false">'Exogenous tax and expenses'!T21</f>
        <v>11593279</v>
      </c>
      <c r="AQ21" s="28" t="n">
        <f aca="false">'Exogenous tax and expenses'!U21</f>
        <v>658385</v>
      </c>
      <c r="AR21" s="28" t="n">
        <f aca="false">'Exogenous tax and expenses'!V21</f>
        <v>20561471</v>
      </c>
      <c r="AS21" s="764" t="n">
        <v>1549845</v>
      </c>
      <c r="AT21" s="28" t="n">
        <f aca="false">'Exogenous tax and expenses'!W21</f>
        <v>18241431.1264</v>
      </c>
      <c r="AU21" s="28" t="n">
        <f aca="false">'Exogenous tax and expenses'!AG21</f>
        <v>8487113.30096</v>
      </c>
      <c r="AV21" s="28" t="n">
        <f aca="false">'Exogenous tax and expenses'!AH21</f>
        <v>135692682.225</v>
      </c>
    </row>
    <row r="22" customFormat="false" ht="13.8" hidden="false" customHeight="false" outlineLevel="0" collapsed="false">
      <c r="B22" s="1"/>
      <c r="C22" s="1"/>
      <c r="D22" s="1"/>
      <c r="E22" s="1"/>
      <c r="F22" s="1"/>
      <c r="G22" s="1"/>
      <c r="H22" s="1"/>
      <c r="I22" s="1"/>
      <c r="J22" s="1"/>
      <c r="K22" s="1"/>
      <c r="L22" s="1"/>
      <c r="M22" s="1"/>
      <c r="N22" s="1"/>
      <c r="O22" s="312" t="n">
        <f aca="false">9178.3 + 12576.2 + 11497.8 + 12353.2</f>
        <v>45605.5</v>
      </c>
      <c r="P22" s="1" t="n">
        <f aca="false">'Exogenous tax and expenses'!P21+1</f>
        <v>2010</v>
      </c>
      <c r="Q22" s="762" t="n">
        <f aca="false">'Cuenta Ahorro-Inversión-Financi'!H26</f>
        <v>15263717.30188</v>
      </c>
      <c r="R22" s="762" t="n">
        <f aca="false">'Cuenta Ahorro-Inversión-Financi'!R26</f>
        <v>1463000</v>
      </c>
      <c r="S22" s="762" t="n">
        <f aca="false">'Cuenta Ahorro-Inversión-Financi'!K26</f>
        <v>11741500</v>
      </c>
      <c r="T22" s="762" t="n">
        <v>15269008</v>
      </c>
      <c r="U22" s="762" t="n">
        <f aca="false">'Cuenta Ahorro-Inversión-Financi'!Q26</f>
        <v>771500</v>
      </c>
      <c r="V22" s="762" t="n">
        <v>26884733</v>
      </c>
      <c r="W22" s="762" t="n">
        <f aca="false">'Cuenta Ahorro-Inversión-Financi'!AI26</f>
        <v>24500782.05837</v>
      </c>
      <c r="X22" s="762" t="n">
        <f aca="false">'Cuenta Ahorro-Inversión-Financi'!L26</f>
        <v>4960800</v>
      </c>
      <c r="Y22" s="98" t="n">
        <f aca="false">'Cuenta Ahorro-Inversión-Financi'!AY26</f>
        <v>3204177.57701</v>
      </c>
      <c r="Z22" s="98"/>
      <c r="AA22" s="98" t="n">
        <f aca="false">'Cuenta Ahorro-Inversión-Financi'!CJ26</f>
        <v>4575635.74562</v>
      </c>
      <c r="AB22" s="98" t="n">
        <f aca="false">'Cuenta Ahorro-Inversión-Financi'!CL26+'Cuenta Ahorro-Inversión-Financi'!CK26</f>
        <v>11981071.62296</v>
      </c>
      <c r="AC22" s="98" t="n">
        <f aca="false">'Cuenta Ahorro-Inversión-Financi'!CM26</f>
        <v>2146300</v>
      </c>
      <c r="AD22" s="98"/>
      <c r="AE22" s="98"/>
      <c r="AF22" s="98"/>
      <c r="AG22" s="605" t="n">
        <f aca="false">'Cuenta Ahorro-Inversión-Financi'!X26</f>
        <v>8714727.55017</v>
      </c>
      <c r="AH22" s="605" t="n">
        <v>178016000</v>
      </c>
      <c r="AI22" s="605"/>
      <c r="AJ22" s="605"/>
      <c r="AK22" s="605"/>
      <c r="AL22" s="1" t="s">
        <v>1036</v>
      </c>
      <c r="AM22" s="1" t="n">
        <f aca="false">'Exogenous tax and expenses'!AM21+1</f>
        <v>2010</v>
      </c>
      <c r="AN22" s="28" t="n">
        <f aca="false">IVA!AU57</f>
        <v>76651628</v>
      </c>
      <c r="AO22" s="28" t="n">
        <f aca="false">IVA!AU23</f>
        <v>116385987</v>
      </c>
      <c r="AP22" s="28" t="n">
        <f aca="false">'Exogenous tax and expenses'!T22</f>
        <v>15269008</v>
      </c>
      <c r="AQ22" s="28" t="n">
        <f aca="false">'Exogenous tax and expenses'!U22</f>
        <v>771500</v>
      </c>
      <c r="AR22" s="28" t="n">
        <f aca="false">'Exogenous tax and expenses'!V22</f>
        <v>26884733</v>
      </c>
      <c r="AS22" s="764" t="n">
        <v>2092553</v>
      </c>
      <c r="AT22" s="28" t="n">
        <f aca="false">'Exogenous tax and expenses'!W22</f>
        <v>24500782.05837</v>
      </c>
      <c r="AU22" s="28" t="n">
        <f aca="false">'Exogenous tax and expenses'!AG22</f>
        <v>8714727.55017</v>
      </c>
      <c r="AV22" s="28" t="n">
        <f aca="false">'Exogenous tax and expenses'!AH22</f>
        <v>178016000</v>
      </c>
    </row>
    <row r="23" customFormat="false" ht="13.8" hidden="false" customHeight="false" outlineLevel="0" collapsed="false">
      <c r="B23" s="1"/>
      <c r="C23" s="1"/>
      <c r="D23" s="1"/>
      <c r="E23" s="1"/>
      <c r="F23" s="1"/>
      <c r="G23" s="1"/>
      <c r="H23" s="1"/>
      <c r="I23" s="1"/>
      <c r="J23" s="1"/>
      <c r="K23" s="1"/>
      <c r="L23" s="1"/>
      <c r="M23" s="1" t="s">
        <v>1037</v>
      </c>
      <c r="N23" s="1"/>
      <c r="O23" s="28" t="n">
        <f aca="false">Q23+S23+U23+X23</f>
        <v>43519843.17099</v>
      </c>
      <c r="P23" s="1" t="n">
        <f aca="false">'Exogenous tax and expenses'!P22+1</f>
        <v>2011</v>
      </c>
      <c r="Q23" s="98" t="n">
        <f aca="false">'Cuenta Ahorro-Inversión-Financi'!H27</f>
        <v>21562243.17099</v>
      </c>
      <c r="R23" s="98" t="n">
        <f aca="false">'Cuenta Ahorro-Inversión-Financi'!R27</f>
        <v>2085600</v>
      </c>
      <c r="S23" s="98" t="n">
        <f aca="false">'Cuenta Ahorro-Inversión-Financi'!K27</f>
        <v>15229500</v>
      </c>
      <c r="T23" s="548" t="n">
        <v>18131477</v>
      </c>
      <c r="U23" s="98" t="n">
        <f aca="false">'Cuenta Ahorro-Inversión-Financi'!Q27</f>
        <v>1013100</v>
      </c>
      <c r="V23" s="548" t="n">
        <v>36179425</v>
      </c>
      <c r="W23" s="98" t="n">
        <f aca="false">'Cuenta Ahorro-Inversión-Financi'!AI27</f>
        <v>32436095.45798</v>
      </c>
      <c r="X23" s="98" t="n">
        <f aca="false">'Cuenta Ahorro-Inversión-Financi'!L27</f>
        <v>5715000</v>
      </c>
      <c r="Y23" s="761" t="n">
        <f aca="false">'Cuenta Ahorro-Inversión-Financi'!AY27</f>
        <v>4769282.46596</v>
      </c>
      <c r="Z23" s="761" t="n">
        <v>729678.74661</v>
      </c>
      <c r="AA23" s="761" t="n">
        <f aca="false">'Cuenta Ahorro-Inversión-Financi'!CJ27</f>
        <v>5370180.45524</v>
      </c>
      <c r="AB23" s="761" t="n">
        <f aca="false">'Cuenta Ahorro-Inversión-Financi'!CL27+'Cuenta Ahorro-Inversión-Financi'!CK27</f>
        <v>17562855.03792</v>
      </c>
      <c r="AC23" s="761" t="n">
        <f aca="false">'Cuenta Ahorro-Inversión-Financi'!CM27</f>
        <v>2247300</v>
      </c>
      <c r="AD23" s="761"/>
      <c r="AE23" s="761" t="n">
        <f aca="false">716.7*1000</f>
        <v>716700</v>
      </c>
      <c r="AF23" s="761"/>
      <c r="AG23" s="98" t="n">
        <f aca="false">'Cuenta Ahorro-Inversión-Financi'!X27</f>
        <v>11038679.15411</v>
      </c>
      <c r="AH23" s="98" t="n">
        <v>199490000</v>
      </c>
      <c r="AI23" s="98"/>
      <c r="AJ23" s="98"/>
      <c r="AK23" s="98"/>
      <c r="AL23" s="1" t="s">
        <v>1036</v>
      </c>
      <c r="AM23" s="1" t="n">
        <f aca="false">'Exogenous tax and expenses'!AM22+1</f>
        <v>2011</v>
      </c>
      <c r="AN23" s="28" t="n">
        <f aca="false">IVA!AU58</f>
        <v>108597879</v>
      </c>
      <c r="AO23" s="28" t="n">
        <f aca="false">IVA!AU24</f>
        <v>154236868</v>
      </c>
      <c r="AP23" s="28" t="n">
        <f aca="false">'Exogenous tax and expenses'!T23</f>
        <v>18131477</v>
      </c>
      <c r="AQ23" s="28" t="n">
        <f aca="false">'Exogenous tax and expenses'!U23</f>
        <v>1013100</v>
      </c>
      <c r="AR23" s="28" t="n">
        <f aca="false">'Exogenous tax and expenses'!V23</f>
        <v>36179425</v>
      </c>
      <c r="AS23" s="764" t="n">
        <v>2983037</v>
      </c>
      <c r="AT23" s="28" t="n">
        <f aca="false">'Exogenous tax and expenses'!W23</f>
        <v>32436095.45798</v>
      </c>
      <c r="AU23" s="28" t="n">
        <f aca="false">'Exogenous tax and expenses'!AG23</f>
        <v>11038679.15411</v>
      </c>
      <c r="AV23" s="28" t="n">
        <f aca="false">'Exogenous tax and expenses'!AH23</f>
        <v>199490000</v>
      </c>
    </row>
    <row r="24" customFormat="false" ht="13.8" hidden="false" customHeight="false" outlineLevel="0" collapsed="false">
      <c r="B24" s="1"/>
      <c r="C24" s="1"/>
      <c r="D24" s="1"/>
      <c r="E24" s="1"/>
      <c r="F24" s="1"/>
      <c r="G24" s="1"/>
      <c r="H24" s="1"/>
      <c r="I24" s="1"/>
      <c r="J24" s="1"/>
      <c r="K24" s="1"/>
      <c r="L24" s="1"/>
      <c r="M24" s="1" t="s">
        <v>1038</v>
      </c>
      <c r="N24" s="456" t="n">
        <f aca="false">(O22*1000-O23)/1000/'PIB corriente base 2004'!X15</f>
        <v>0.000957151793564279</v>
      </c>
      <c r="O24" s="28" t="n">
        <f aca="false">O23+'Cuenta Ahorro-Inversión-Financi'!P27-U23</f>
        <v>45605446.27099</v>
      </c>
      <c r="P24" s="1" t="n">
        <f aca="false">'Exogenous tax and expenses'!P23+1</f>
        <v>2012</v>
      </c>
      <c r="Q24" s="762" t="n">
        <f aca="false">'Cuenta Ahorro-Inversión-Financi'!H28</f>
        <v>27594331.3664</v>
      </c>
      <c r="R24" s="762" t="n">
        <f aca="false">'Cuenta Ahorro-Inversión-Financi'!R28</f>
        <v>2672800</v>
      </c>
      <c r="S24" s="762" t="n">
        <f aca="false">'Cuenta Ahorro-Inversión-Financi'!K28</f>
        <v>19313800</v>
      </c>
      <c r="T24" s="762" t="n">
        <v>25785407</v>
      </c>
      <c r="U24" s="762" t="n">
        <f aca="false">'Cuenta Ahorro-Inversión-Financi'!Q28</f>
        <v>1229100</v>
      </c>
      <c r="V24" s="762" t="n">
        <v>43931228</v>
      </c>
      <c r="W24" s="762" t="n">
        <f aca="false">'Cuenta Ahorro-Inversión-Financi'!AI28</f>
        <v>41041468.20529</v>
      </c>
      <c r="X24" s="762" t="n">
        <f aca="false">'Cuenta Ahorro-Inversión-Financi'!L28</f>
        <v>8238600</v>
      </c>
      <c r="Y24" s="98" t="n">
        <f aca="false">'Cuenta Ahorro-Inversión-Financi'!AY28</f>
        <v>6238307.1858</v>
      </c>
      <c r="Z24" s="98" t="n">
        <v>953762.92164</v>
      </c>
      <c r="AA24" s="98" t="n">
        <f aca="false">'Cuenta Ahorro-Inversión-Financi'!CJ28</f>
        <v>6683313.77334</v>
      </c>
      <c r="AB24" s="98" t="n">
        <f aca="false">'Cuenta Ahorro-Inversión-Financi'!CL28+'Cuenta Ahorro-Inversión-Financi'!CK28</f>
        <v>26606758.85089</v>
      </c>
      <c r="AC24" s="98" t="n">
        <f aca="false">'Cuenta Ahorro-Inversión-Financi'!CM28</f>
        <v>3258800</v>
      </c>
      <c r="AD24" s="98"/>
      <c r="AE24" s="98" t="n">
        <v>0</v>
      </c>
      <c r="AF24" s="98"/>
      <c r="AG24" s="605" t="n">
        <f aca="false">'Cuenta Ahorro-Inversión-Financi'!X28</f>
        <v>17349286.77895</v>
      </c>
      <c r="AH24" s="605" t="n">
        <v>244799000</v>
      </c>
      <c r="AI24" s="605"/>
      <c r="AJ24" s="605"/>
      <c r="AK24" s="605"/>
      <c r="AL24" s="1" t="s">
        <v>1036</v>
      </c>
      <c r="AM24" s="1" t="n">
        <f aca="false">'Exogenous tax and expenses'!AM23+1</f>
        <v>2012</v>
      </c>
      <c r="AN24" s="28" t="n">
        <f aca="false">IVA!AU59</f>
        <v>138439601.04347</v>
      </c>
      <c r="AO24" s="28" t="n">
        <f aca="false">IVA!AU25</f>
        <v>190496440.35313</v>
      </c>
      <c r="AP24" s="28" t="n">
        <f aca="false">'Exogenous tax and expenses'!T24</f>
        <v>25785407</v>
      </c>
      <c r="AQ24" s="28" t="n">
        <f aca="false">'Exogenous tax and expenses'!U24</f>
        <v>1229100</v>
      </c>
      <c r="AR24" s="28" t="n">
        <f aca="false">'Exogenous tax and expenses'!V24</f>
        <v>43931228</v>
      </c>
      <c r="AS24" s="45" t="n">
        <v>3825107</v>
      </c>
      <c r="AT24" s="28" t="n">
        <f aca="false">'Exogenous tax and expenses'!W24</f>
        <v>41041468.20529</v>
      </c>
      <c r="AU24" s="28" t="n">
        <f aca="false">'Exogenous tax and expenses'!AG24</f>
        <v>17349286.77895</v>
      </c>
      <c r="AV24" s="28" t="n">
        <f aca="false">'Exogenous tax and expenses'!AH24</f>
        <v>244799000</v>
      </c>
    </row>
    <row r="25" customFormat="false" ht="13.8" hidden="false" customHeight="false" outlineLevel="0" collapsed="false">
      <c r="B25" s="1"/>
      <c r="C25" s="1"/>
      <c r="D25" s="1"/>
      <c r="E25" s="1"/>
      <c r="F25" s="1"/>
      <c r="G25" s="1"/>
      <c r="H25" s="1"/>
      <c r="I25" s="1"/>
      <c r="J25" s="1"/>
      <c r="K25" s="1"/>
      <c r="L25" s="1" t="s">
        <v>1039</v>
      </c>
      <c r="M25" s="1"/>
      <c r="N25" s="1"/>
      <c r="O25" s="1"/>
      <c r="P25" s="1" t="n">
        <f aca="false">'Exogenous tax and expenses'!P24+1</f>
        <v>2013</v>
      </c>
      <c r="Q25" s="98" t="n">
        <f aca="false">'Cuenta Ahorro-Inversión-Financi'!H29</f>
        <v>36576358.35</v>
      </c>
      <c r="R25" s="98" t="n">
        <f aca="false">'Cuenta Ahorro-Inversión-Financi'!R29</f>
        <v>3099000</v>
      </c>
      <c r="S25" s="98" t="n">
        <f aca="false">'Cuenta Ahorro-Inversión-Financi'!K29</f>
        <v>24906800</v>
      </c>
      <c r="T25" s="548" t="n">
        <v>31010317</v>
      </c>
      <c r="U25" s="98" t="n">
        <f aca="false">'Cuenta Ahorro-Inversión-Financi'!Q29</f>
        <v>1332400</v>
      </c>
      <c r="V25" s="548" t="n">
        <v>56514839</v>
      </c>
      <c r="W25" s="98" t="n">
        <f aca="false">'Cuenta Ahorro-Inversión-Financi'!AI29</f>
        <v>53287660.80492</v>
      </c>
      <c r="X25" s="98" t="n">
        <f aca="false">'Cuenta Ahorro-Inversión-Financi'!L29</f>
        <v>8682000</v>
      </c>
      <c r="Y25" s="761" t="n">
        <f aca="false">'Cuenta Ahorro-Inversión-Financi'!AY29</f>
        <v>7042799.31211</v>
      </c>
      <c r="Z25" s="761" t="n">
        <v>1253574.1296</v>
      </c>
      <c r="AA25" s="761" t="n">
        <f aca="false">'Cuenta Ahorro-Inversión-Financi'!CJ29</f>
        <v>8856389.21015</v>
      </c>
      <c r="AB25" s="761" t="n">
        <f aca="false">'Cuenta Ahorro-Inversión-Financi'!CL29+'Cuenta Ahorro-Inversión-Financi'!CK29</f>
        <v>36122011.13802</v>
      </c>
      <c r="AC25" s="761" t="n">
        <f aca="false">'Cuenta Ahorro-Inversión-Financi'!CM29</f>
        <v>5590600</v>
      </c>
      <c r="AD25" s="761"/>
      <c r="AE25" s="761" t="n">
        <v>0</v>
      </c>
      <c r="AF25" s="761"/>
      <c r="AG25" s="98" t="n">
        <f aca="false">'Cuenta Ahorro-Inversión-Financi'!X29</f>
        <v>22873121.48436</v>
      </c>
      <c r="AH25" s="98" t="n">
        <v>329472000</v>
      </c>
      <c r="AI25" s="98"/>
      <c r="AJ25" s="98"/>
      <c r="AK25" s="98"/>
      <c r="AL25" s="1" t="s">
        <v>1036</v>
      </c>
      <c r="AM25" s="1" t="n">
        <f aca="false">'Exogenous tax and expenses'!AM24+1</f>
        <v>2013</v>
      </c>
      <c r="AN25" s="766" t="n">
        <v>183598671</v>
      </c>
      <c r="AO25" s="766" t="n">
        <v>249006251</v>
      </c>
      <c r="AP25" s="28" t="n">
        <f aca="false">'Exogenous tax and expenses'!T25</f>
        <v>31010317</v>
      </c>
      <c r="AQ25" s="28" t="n">
        <f aca="false">'Exogenous tax and expenses'!U25</f>
        <v>1332400</v>
      </c>
      <c r="AR25" s="28" t="n">
        <f aca="false">'Exogenous tax and expenses'!V25</f>
        <v>56514839</v>
      </c>
      <c r="AS25" s="766" t="n">
        <v>4422891</v>
      </c>
      <c r="AT25" s="28" t="n">
        <f aca="false">'Exogenous tax and expenses'!W25</f>
        <v>53287660.80492</v>
      </c>
      <c r="AU25" s="28" t="n">
        <f aca="false">'Exogenous tax and expenses'!AG25</f>
        <v>22873121.48436</v>
      </c>
      <c r="AV25" s="28" t="n">
        <f aca="false">'Exogenous tax and expenses'!AH25</f>
        <v>329472000</v>
      </c>
    </row>
    <row r="26" customFormat="false" ht="13.8" hidden="false" customHeight="false" outlineLevel="0" collapsed="false">
      <c r="B26" s="1"/>
      <c r="C26" s="1"/>
      <c r="D26" s="1"/>
      <c r="E26" s="1"/>
      <c r="F26" s="1"/>
      <c r="G26" s="1"/>
      <c r="H26" s="1"/>
      <c r="I26" s="1"/>
      <c r="J26" s="1"/>
      <c r="K26" s="1"/>
      <c r="L26" s="1" t="s">
        <v>1040</v>
      </c>
      <c r="M26" s="1"/>
      <c r="N26" s="1"/>
      <c r="O26" s="1"/>
      <c r="P26" s="1" t="n">
        <f aca="false">'Exogenous tax and expenses'!P25+1</f>
        <v>2014</v>
      </c>
      <c r="Q26" s="762" t="n">
        <f aca="false">'Cuenta Ahorro-Inversión-Financi'!H30</f>
        <v>53294684.66403</v>
      </c>
      <c r="R26" s="762" t="n">
        <f aca="false">'Cuenta Ahorro-Inversión-Financi'!R30</f>
        <v>2940800</v>
      </c>
      <c r="S26" s="762" t="n">
        <f aca="false">'Cuenta Ahorro-Inversión-Financi'!K30</f>
        <v>32721600</v>
      </c>
      <c r="T26" s="762" t="n">
        <v>44490091</v>
      </c>
      <c r="U26" s="762" t="n">
        <f aca="false">'Cuenta Ahorro-Inversión-Financi'!Q30</f>
        <v>1984900</v>
      </c>
      <c r="V26" s="762" t="n">
        <v>76739818</v>
      </c>
      <c r="W26" s="762" t="n">
        <f aca="false">'Cuenta Ahorro-Inversión-Financi'!AI30</f>
        <v>72676066.20744</v>
      </c>
      <c r="X26" s="762" t="n">
        <f aca="false">'Cuenta Ahorro-Inversión-Financi'!L30</f>
        <v>12167700</v>
      </c>
      <c r="Y26" s="98" t="n">
        <f aca="false">'Cuenta Ahorro-Inversión-Financi'!AY30</f>
        <v>9516808.09741</v>
      </c>
      <c r="Z26" s="98" t="n">
        <v>1610245.75254</v>
      </c>
      <c r="AA26" s="98" t="n">
        <f aca="false">'Cuenta Ahorro-Inversión-Financi'!CJ30</f>
        <v>11872462.07607</v>
      </c>
      <c r="AB26" s="98" t="n">
        <f aca="false">'Cuenta Ahorro-Inversión-Financi'!CL30+'Cuenta Ahorro-Inversión-Financi'!CK30</f>
        <v>49042610.26827</v>
      </c>
      <c r="AC26" s="98" t="n">
        <f aca="false">'Cuenta Ahorro-Inversión-Financi'!CM30</f>
        <v>8266200</v>
      </c>
      <c r="AD26" s="98"/>
      <c r="AE26" s="98" t="n">
        <v>0</v>
      </c>
      <c r="AF26" s="98"/>
      <c r="AG26" s="605" t="n">
        <f aca="false">'Cuenta Ahorro-Inversión-Financi'!X30</f>
        <v>38383803.98011</v>
      </c>
      <c r="AH26" s="605" t="n">
        <v>472265000</v>
      </c>
      <c r="AI26" s="605"/>
      <c r="AJ26" s="605"/>
      <c r="AK26" s="605"/>
      <c r="AL26" s="1" t="s">
        <v>1036</v>
      </c>
      <c r="AM26" s="1" t="n">
        <f aca="false">'Exogenous tax and expenses'!AM25+1</f>
        <v>2014</v>
      </c>
      <c r="AN26" s="45" t="n">
        <v>267075100</v>
      </c>
      <c r="AO26" s="45" t="n">
        <v>331202807</v>
      </c>
      <c r="AP26" s="28" t="n">
        <f aca="false">'Exogenous tax and expenses'!T26</f>
        <v>44490091</v>
      </c>
      <c r="AQ26" s="28" t="n">
        <f aca="false">'Exogenous tax and expenses'!U26</f>
        <v>1984900</v>
      </c>
      <c r="AR26" s="28" t="n">
        <f aca="false">'Exogenous tax and expenses'!V26</f>
        <v>76739818</v>
      </c>
      <c r="AS26" s="45" t="n">
        <v>4259289</v>
      </c>
      <c r="AT26" s="28" t="n">
        <f aca="false">'Exogenous tax and expenses'!W26</f>
        <v>72676066.20744</v>
      </c>
      <c r="AU26" s="28" t="n">
        <f aca="false">'Exogenous tax and expenses'!AG26</f>
        <v>38383803.98011</v>
      </c>
      <c r="AV26" s="28" t="n">
        <f aca="false">'Exogenous tax and expenses'!AH26</f>
        <v>472265000</v>
      </c>
    </row>
    <row r="27" customFormat="false" ht="13.8" hidden="false" customHeight="false" outlineLevel="0" collapsed="false">
      <c r="B27" s="1"/>
      <c r="C27" s="1"/>
      <c r="D27" s="1"/>
      <c r="E27" s="1"/>
      <c r="F27" s="1"/>
      <c r="G27" s="1"/>
      <c r="H27" s="1"/>
      <c r="I27" s="1"/>
      <c r="J27" s="1"/>
      <c r="K27" s="1"/>
      <c r="L27" s="1" t="s">
        <v>1041</v>
      </c>
      <c r="M27" s="1"/>
      <c r="N27" s="1"/>
      <c r="O27" s="1"/>
      <c r="P27" s="1" t="n">
        <f aca="false">'Exogenous tax and expenses'!P26+1</f>
        <v>2015</v>
      </c>
      <c r="Q27" s="98" t="n">
        <f aca="false">'Cuenta Ahorro-Inversión-Financi'!H31</f>
        <v>75797809.1</v>
      </c>
      <c r="R27" s="98" t="n">
        <f aca="false">'Cuenta Ahorro-Inversión-Financi'!R31</f>
        <v>3969300</v>
      </c>
      <c r="S27" s="98" t="n">
        <f aca="false">'Cuenta Ahorro-Inversión-Financi'!K31</f>
        <v>43272400</v>
      </c>
      <c r="T27" s="548" t="n">
        <v>56478261</v>
      </c>
      <c r="U27" s="98" t="n">
        <f aca="false">'Cuenta Ahorro-Inversión-Financi'!Q31</f>
        <v>2916400</v>
      </c>
      <c r="V27" s="548" t="n">
        <v>97479599</v>
      </c>
      <c r="W27" s="98" t="n">
        <f aca="false">'Cuenta Ahorro-Inversión-Financi'!AI31</f>
        <v>95600316.12798</v>
      </c>
      <c r="X27" s="98" t="n">
        <f aca="false">'Cuenta Ahorro-Inversión-Financi'!L31</f>
        <v>14199800</v>
      </c>
      <c r="Y27" s="761" t="n">
        <f aca="false">'Cuenta Ahorro-Inversión-Financi'!AY31</f>
        <v>12485483.44174</v>
      </c>
      <c r="Z27" s="761" t="n">
        <v>2178603.64548</v>
      </c>
      <c r="AA27" s="761" t="n">
        <f aca="false">'Cuenta Ahorro-Inversión-Financi'!CJ31</f>
        <v>16038444.76165</v>
      </c>
      <c r="AB27" s="761" t="n">
        <f aca="false">'Cuenta Ahorro-Inversión-Financi'!CL31+'Cuenta Ahorro-Inversión-Financi'!CK31</f>
        <v>68361691.35172</v>
      </c>
      <c r="AC27" s="761" t="n">
        <f aca="false">'Cuenta Ahorro-Inversión-Financi'!CM31</f>
        <v>10207500</v>
      </c>
      <c r="AD27" s="761"/>
      <c r="AE27" s="761" t="n">
        <v>0</v>
      </c>
      <c r="AF27" s="761"/>
      <c r="AG27" s="98" t="n">
        <f aca="false">'Cuenta Ahorro-Inversión-Financi'!X31</f>
        <v>53180983.23675</v>
      </c>
      <c r="AH27" s="98" t="n">
        <v>664029000</v>
      </c>
      <c r="AI27" s="98"/>
      <c r="AJ27" s="98"/>
      <c r="AK27" s="98"/>
      <c r="AL27" s="1" t="s">
        <v>1036</v>
      </c>
      <c r="AM27" s="1" t="n">
        <f aca="false">'Exogenous tax and expenses'!AM26+1</f>
        <v>2015</v>
      </c>
      <c r="AN27" s="45" t="n">
        <v>381463223</v>
      </c>
      <c r="AO27" s="45" t="n">
        <v>433076241</v>
      </c>
      <c r="AP27" s="28" t="n">
        <f aca="false">'Exogenous tax and expenses'!T27</f>
        <v>56478261</v>
      </c>
      <c r="AQ27" s="28" t="n">
        <f aca="false">'Exogenous tax and expenses'!U27</f>
        <v>2916400</v>
      </c>
      <c r="AR27" s="28" t="n">
        <f aca="false">'Exogenous tax and expenses'!V27</f>
        <v>97479599</v>
      </c>
      <c r="AS27" s="45" t="n">
        <v>5624126</v>
      </c>
      <c r="AT27" s="28" t="n">
        <f aca="false">'Exogenous tax and expenses'!W27</f>
        <v>95600316.12798</v>
      </c>
      <c r="AU27" s="28" t="n">
        <f aca="false">'Exogenous tax and expenses'!AG27</f>
        <v>53180983.23675</v>
      </c>
      <c r="AV27" s="28" t="n">
        <f aca="false">'Exogenous tax and expenses'!AH27</f>
        <v>664029000</v>
      </c>
    </row>
    <row r="28" customFormat="false" ht="13.8" hidden="false" customHeight="false" outlineLevel="0" collapsed="false">
      <c r="B28" s="1"/>
      <c r="C28" s="1"/>
      <c r="D28" s="1"/>
      <c r="E28" s="1"/>
      <c r="F28" s="1"/>
      <c r="G28" s="1"/>
      <c r="H28" s="1"/>
      <c r="I28" s="1"/>
      <c r="J28" s="1"/>
      <c r="K28" s="1"/>
      <c r="L28" s="1"/>
      <c r="M28" s="1"/>
      <c r="N28" s="1"/>
      <c r="O28" s="28" t="n">
        <f aca="false">(SUM(R30:X30)-T30-W30)</f>
        <v>387779655.10095</v>
      </c>
      <c r="P28" s="1" t="n">
        <f aca="false">'Exogenous tax and expenses'!P27+1</f>
        <v>2016</v>
      </c>
      <c r="Q28" s="762" t="n">
        <f aca="false">'Cuenta Ahorro-Inversión-Financi'!H32</f>
        <v>86485940.4164</v>
      </c>
      <c r="R28" s="762" t="n">
        <f aca="false">'Cuenta Ahorro-Inversión-Financi'!R32</f>
        <v>4810100</v>
      </c>
      <c r="S28" s="762" t="n">
        <f aca="false">'Cuenta Ahorro-Inversión-Financi'!K32</f>
        <v>58259500</v>
      </c>
      <c r="T28" s="762" t="n">
        <v>75663968</v>
      </c>
      <c r="U28" s="762" t="n">
        <f aca="false">'Cuenta Ahorro-Inversión-Financi'!Q32</f>
        <v>4187600</v>
      </c>
      <c r="V28" s="762" t="n">
        <v>131669079</v>
      </c>
      <c r="W28" s="762" t="n">
        <f aca="false">'Cuenta Ahorro-Inversión-Financi'!AI32</f>
        <v>126199197.124</v>
      </c>
      <c r="X28" s="762" t="n">
        <f aca="false">'Cuenta Ahorro-Inversión-Financi'!L32</f>
        <v>19962000</v>
      </c>
      <c r="Y28" s="98" t="n">
        <f aca="false">'Cuenta Ahorro-Inversión-Financi'!AY32</f>
        <v>14554479.38537</v>
      </c>
      <c r="Z28" s="98" t="n">
        <v>2916910.09244</v>
      </c>
      <c r="AA28" s="98" t="n">
        <f aca="false">'Cuenta Ahorro-Inversión-Financi'!CJ32</f>
        <v>22415518.30814</v>
      </c>
      <c r="AB28" s="98" t="n">
        <f aca="false">'Cuenta Ahorro-Inversión-Financi'!CL32+'Cuenta Ahorro-Inversión-Financi'!CK32</f>
        <v>88401916.12013</v>
      </c>
      <c r="AC28" s="98" t="n">
        <f aca="false">'Cuenta Ahorro-Inversión-Financi'!CM32</f>
        <v>16218300</v>
      </c>
      <c r="AD28" s="98"/>
      <c r="AE28" s="98" t="n">
        <f aca="false">12099.37574798*1000</f>
        <v>12099375.74798</v>
      </c>
      <c r="AF28" s="98" t="n">
        <f aca="false">'Cuenta Ahorro-Inversión-Financi'!CS32</f>
        <v>31300557.6342019</v>
      </c>
      <c r="AG28" s="605" t="n">
        <f aca="false">'Cuenta Ahorro-Inversión-Financi'!X32</f>
        <v>72470214.43759</v>
      </c>
      <c r="AH28" s="605" t="n">
        <v>875380000</v>
      </c>
      <c r="AI28" s="605"/>
      <c r="AJ28" s="605"/>
      <c r="AK28" s="605"/>
      <c r="AL28" s="1" t="s">
        <v>1036</v>
      </c>
      <c r="AM28" s="1" t="n">
        <f aca="false">'Exogenous tax and expenses'!AM27+1</f>
        <v>2016</v>
      </c>
      <c r="AN28" s="766" t="n">
        <v>432907154</v>
      </c>
      <c r="AO28" s="766" t="n">
        <v>583216936</v>
      </c>
      <c r="AP28" s="28" t="n">
        <f aca="false">'Exogenous tax and expenses'!T28</f>
        <v>75663968</v>
      </c>
      <c r="AQ28" s="28" t="n">
        <f aca="false">'Exogenous tax and expenses'!U28</f>
        <v>4187600</v>
      </c>
      <c r="AR28" s="28" t="n">
        <f aca="false">'Exogenous tax and expenses'!V28</f>
        <v>131669079</v>
      </c>
      <c r="AS28" s="766" t="n">
        <v>6873038</v>
      </c>
      <c r="AT28" s="28" t="n">
        <f aca="false">'Exogenous tax and expenses'!W28</f>
        <v>126199197.124</v>
      </c>
      <c r="AU28" s="28" t="n">
        <f aca="false">'Exogenous tax and expenses'!AG28</f>
        <v>72470214.43759</v>
      </c>
      <c r="AV28" s="28" t="n">
        <f aca="false">'Exogenous tax and expenses'!AH28</f>
        <v>875380000</v>
      </c>
    </row>
    <row r="29" customFormat="false" ht="13.8" hidden="false" customHeight="false" outlineLevel="0" collapsed="false">
      <c r="B29" s="1"/>
      <c r="C29" s="1"/>
      <c r="D29" s="1"/>
      <c r="E29" s="1"/>
      <c r="F29" s="1"/>
      <c r="G29" s="1"/>
      <c r="H29" s="1"/>
      <c r="I29" s="1"/>
      <c r="J29" s="1"/>
      <c r="K29" s="1"/>
      <c r="L29" s="1"/>
      <c r="M29" s="1"/>
      <c r="N29" s="456" t="n">
        <f aca="false">(SUM(R30:X30)-T30-W30)/1000/'PIB corriente base 2004'!X22</f>
        <v>0.0266212259170022</v>
      </c>
      <c r="O29" s="28" t="n">
        <f aca="false">R30+S30+T30+U30+V30+W30+X30-W30-T30</f>
        <v>387779655.10095</v>
      </c>
      <c r="P29" s="767" t="n">
        <f aca="false">'Exogenous tax and expenses'!P28+1</f>
        <v>2017</v>
      </c>
      <c r="Q29" s="768" t="n">
        <f aca="false">'Cuenta Ahorro-Inversión-Financi'!H33</f>
        <v>109245834.21693</v>
      </c>
      <c r="R29" s="768" t="n">
        <f aca="false">'Cuenta Ahorro-Inversión-Financi'!R33</f>
        <v>7282225.6</v>
      </c>
      <c r="S29" s="768" t="n">
        <f aca="false">'Cuenta Ahorro-Inversión-Financi'!K33</f>
        <v>74727533.13788</v>
      </c>
      <c r="T29" s="768" t="n">
        <v>102845595</v>
      </c>
      <c r="U29" s="768" t="n">
        <f aca="false">'Cuenta Ahorro-Inversión-Financi'!Q33</f>
        <v>5625587</v>
      </c>
      <c r="V29" s="768" t="n">
        <v>172838482</v>
      </c>
      <c r="W29" s="768" t="n">
        <f aca="false">'Cuenta Ahorro-Inversión-Financi'!AI33</f>
        <v>166461992.04945</v>
      </c>
      <c r="X29" s="768" t="n">
        <f aca="false">'Cuenta Ahorro-Inversión-Financi'!L33</f>
        <v>29455686.93297</v>
      </c>
      <c r="Y29" s="761" t="n">
        <f aca="false">'Cuenta Ahorro-Inversión-Financi'!AY33</f>
        <v>18322852.72915</v>
      </c>
      <c r="Z29" s="761" t="n">
        <v>5017571.50117</v>
      </c>
      <c r="AA29" s="761" t="n">
        <f aca="false">'Cuenta Ahorro-Inversión-Financi'!CJ33</f>
        <v>30933083.00808</v>
      </c>
      <c r="AB29" s="761" t="n">
        <f aca="false">'Cuenta Ahorro-Inversión-Financi'!CL33+'Cuenta Ahorro-Inversión-Financi'!CK33</f>
        <v>104611186.68281</v>
      </c>
      <c r="AC29" s="761" t="n">
        <f aca="false">'Cuenta Ahorro-Inversión-Financi'!CM33</f>
        <v>18023556.12808</v>
      </c>
      <c r="AD29" s="761" t="n">
        <f aca="false">'Cuenta Ahorro-Inversión-Financi'!BH33</f>
        <v>9373728.112</v>
      </c>
      <c r="AE29" s="761" t="n">
        <f aca="false">10845.031919*1000</f>
        <v>10845031.919</v>
      </c>
      <c r="AF29" s="761" t="n">
        <f aca="false">'Cuenta Ahorro-Inversión-Financi'!CS33</f>
        <v>77978329.8140266</v>
      </c>
      <c r="AG29" s="768" t="n">
        <f aca="false">'Cuenta Ahorro-Inversión-Financi'!X33</f>
        <v>110276582.29881</v>
      </c>
      <c r="AH29" s="768" t="n">
        <v>1202579000</v>
      </c>
      <c r="AI29" s="768"/>
      <c r="AJ29" s="768"/>
      <c r="AK29" s="768"/>
      <c r="AL29" s="1" t="s">
        <v>1036</v>
      </c>
      <c r="AM29" s="1" t="n">
        <f aca="false">'Exogenous tax and expenses'!AM28+1</f>
        <v>2017</v>
      </c>
      <c r="AN29" s="45" t="n">
        <v>555022973</v>
      </c>
      <c r="AO29" s="45" t="n">
        <v>765336287</v>
      </c>
      <c r="AP29" s="28" t="n">
        <f aca="false">'Exogenous tax and expenses'!T29</f>
        <v>102845595</v>
      </c>
      <c r="AQ29" s="28" t="n">
        <f aca="false">'Exogenous tax and expenses'!U29</f>
        <v>5625587</v>
      </c>
      <c r="AR29" s="28" t="n">
        <f aca="false">'Exogenous tax and expenses'!V29</f>
        <v>172838482</v>
      </c>
      <c r="AS29" s="45" t="n">
        <v>10544045</v>
      </c>
      <c r="AT29" s="28" t="n">
        <f aca="false">'Exogenous tax and expenses'!W29</f>
        <v>166461992.04945</v>
      </c>
      <c r="AU29" s="28" t="n">
        <f aca="false">'Exogenous tax and expenses'!AG29</f>
        <v>110276582.29881</v>
      </c>
      <c r="AV29" s="28" t="n">
        <f aca="false">'Exogenous tax and expenses'!AH29</f>
        <v>1202579000</v>
      </c>
    </row>
    <row r="30" customFormat="false" ht="15" hidden="false" customHeight="false" outlineLevel="0" collapsed="false">
      <c r="B30" s="1"/>
      <c r="C30" s="1"/>
      <c r="D30" s="1"/>
      <c r="E30" s="1"/>
      <c r="F30" s="1"/>
      <c r="G30" s="1"/>
      <c r="H30" s="1"/>
      <c r="I30" s="604" t="s">
        <v>1042</v>
      </c>
      <c r="J30" s="604"/>
      <c r="K30" s="604"/>
      <c r="L30" s="604"/>
      <c r="M30" s="604"/>
      <c r="N30" s="604"/>
      <c r="O30" s="769" t="n">
        <f aca="false">26793.2*1000/1000/'PIB corriente base 2004'!X22</f>
        <v>0.0018393637233334</v>
      </c>
      <c r="P30" s="1" t="n">
        <v>2018</v>
      </c>
      <c r="Q30" s="762"/>
      <c r="R30" s="762" t="n">
        <f aca="false">'Cuenta Ahorro-Inversión-Financi'!R34</f>
        <v>11016890.5</v>
      </c>
      <c r="S30" s="762" t="n">
        <f aca="false">'Cuenta Ahorro-Inversión-Financi'!K34</f>
        <v>106984441.63282</v>
      </c>
      <c r="T30" s="762" t="n">
        <v>116408746.14157</v>
      </c>
      <c r="U30" s="762" t="n">
        <f aca="false">'Cuenta Ahorro-Inversión-Financi'!Q34</f>
        <v>6845924</v>
      </c>
      <c r="V30" s="762" t="n">
        <f aca="false">'Cuenta Ahorro-Inversión-Financi'!O34</f>
        <v>232591321.05233</v>
      </c>
      <c r="W30" s="762" t="n">
        <f aca="false">'Cuenta Ahorro-Inversión-Financi'!AI34</f>
        <v>260430300</v>
      </c>
      <c r="X30" s="762" t="n">
        <f aca="false">'Cuenta Ahorro-Inversión-Financi'!L34</f>
        <v>30341077.9158</v>
      </c>
      <c r="Y30" s="98" t="n">
        <f aca="false">'Cuenta Ahorro-Inversión-Financi'!AY34</f>
        <v>21525462.73405</v>
      </c>
      <c r="Z30" s="98" t="n">
        <v>6263843.69233</v>
      </c>
      <c r="AA30" s="98" t="n">
        <f aca="false">'Cuenta Ahorro-Inversión-Financi'!CJ34</f>
        <v>39299818.62715</v>
      </c>
      <c r="AB30" s="98" t="n">
        <f aca="false">'Cuenta Ahorro-Inversión-Financi'!CL34+'Cuenta Ahorro-Inversión-Financi'!CK34</f>
        <v>101267287.8766</v>
      </c>
      <c r="AC30" s="98" t="n">
        <f aca="false">'Cuenta Ahorro-Inversión-Financi'!CM34</f>
        <v>22662949.94606</v>
      </c>
      <c r="AD30" s="98" t="n">
        <f aca="false">'Cuenta Ahorro-Inversión-Financi'!BH34</f>
        <v>38198551.272</v>
      </c>
      <c r="AE30" s="98" t="n">
        <f aca="false">19529.490082*1000</f>
        <v>19529490.082</v>
      </c>
      <c r="AF30" s="98" t="n">
        <f aca="false">'Cuenta Ahorro-Inversión-Financi'!CS34</f>
        <v>168141700</v>
      </c>
      <c r="AG30" s="605"/>
      <c r="AH30" s="605"/>
      <c r="AL30" s="1"/>
      <c r="AM30" s="1" t="n">
        <v>1993</v>
      </c>
      <c r="AN30" s="456" t="n">
        <f aca="false">'Exogenous tax and expenses'!AN5/'PIB corriente base 1993'!V8/1000</f>
        <v>0.0180643975816073</v>
      </c>
      <c r="AO30" s="456" t="n">
        <f aca="false">'Exogenous tax and expenses'!AO5/'PIB corriente base 1993'!V8/1000</f>
        <v>0.06542779758487</v>
      </c>
      <c r="AP30" s="456" t="n">
        <f aca="false">'Exogenous tax and expenses'!AP5/'PIB corriente base 1993'!V8/1000</f>
        <v>0.00870594773343979</v>
      </c>
      <c r="AQ30" s="456" t="n">
        <f aca="false">'Exogenous tax and expenses'!AQ5/'PIB corriente base 1993'!V8/1000</f>
        <v>0</v>
      </c>
      <c r="AR30" s="456" t="n">
        <f aca="false">'Exogenous tax and expenses'!AR5/'PIB corriente base 1993'!V8/1000</f>
        <v>0</v>
      </c>
      <c r="AS30" s="456" t="n">
        <f aca="false">'Exogenous tax and expenses'!AS5/'PIB corriente base 1993'!V8/1000</f>
        <v>0</v>
      </c>
      <c r="AT30" s="456" t="n">
        <f aca="false">'Exogenous tax and expenses'!AT5/'PIB corriente base 1993'!V8/1000</f>
        <v>0.0127518067972787</v>
      </c>
      <c r="AU30" s="456" t="n">
        <v>0</v>
      </c>
      <c r="AV30" s="456" t="n">
        <v>0</v>
      </c>
    </row>
    <row r="31" customFormat="false" ht="15" hidden="false" customHeight="false" outlineLevel="0" collapsed="false">
      <c r="B31" s="1"/>
      <c r="C31" s="1"/>
      <c r="D31" s="1"/>
      <c r="E31" s="1"/>
      <c r="F31" s="1"/>
      <c r="G31" s="1"/>
      <c r="H31" s="1"/>
      <c r="I31" s="604"/>
      <c r="J31" s="604"/>
      <c r="K31" s="604"/>
      <c r="L31" s="604"/>
      <c r="M31" s="604"/>
      <c r="N31" s="604"/>
      <c r="O31" s="769"/>
      <c r="P31" s="1" t="n">
        <v>2019</v>
      </c>
      <c r="Q31" s="768"/>
      <c r="R31" s="768" t="n">
        <f aca="false">'Cuenta Ahorro-Inversión-Financi'!R35</f>
        <v>14165433.64338</v>
      </c>
      <c r="S31" s="768" t="n">
        <f aca="false">'Cuenta Ahorro-Inversión-Financi'!K35</f>
        <v>151152893.48943</v>
      </c>
      <c r="T31" s="768" t="n">
        <v>161666292.57813</v>
      </c>
      <c r="U31" s="768" t="n">
        <f aca="false">'Cuenta Ahorro-Inversión-Financi'!Q35</f>
        <v>9268001</v>
      </c>
      <c r="V31" s="768" t="n">
        <f aca="false">'Cuenta Ahorro-Inversión-Financi'!O35</f>
        <v>343312702.70225</v>
      </c>
      <c r="W31" s="768" t="n">
        <f aca="false">'Cuenta Ahorro-Inversión-Financi'!AI35</f>
        <v>372410183.4225</v>
      </c>
      <c r="X31" s="768" t="n">
        <f aca="false">'Cuenta Ahorro-Inversión-Financi'!L35</f>
        <v>41698468.8906</v>
      </c>
      <c r="Y31" s="761" t="n">
        <f aca="false">'Cuenta Ahorro-Inversión-Financi'!AY35</f>
        <v>27068720.54651</v>
      </c>
      <c r="Z31" s="761" t="n">
        <f aca="false">8542.32581757*1000</f>
        <v>8542325.81757</v>
      </c>
      <c r="AA31" s="761" t="n">
        <f aca="false">'Cuenta Ahorro-Inversión-Financi'!CJ35</f>
        <v>68320169.71474</v>
      </c>
      <c r="AB31" s="761" t="n">
        <f aca="false">'Cuenta Ahorro-Inversión-Financi'!CL35+'Cuenta Ahorro-Inversión-Financi'!CK35</f>
        <v>139790800.5498</v>
      </c>
      <c r="AC31" s="761" t="n">
        <f aca="false">'Cuenta Ahorro-Inversión-Financi'!CM35</f>
        <v>34713224.42191</v>
      </c>
      <c r="AD31" s="761" t="n">
        <f aca="false">'Cuenta Ahorro-Inversión-Financi'!BH35</f>
        <v>52849724.776</v>
      </c>
      <c r="AE31" s="761" t="n">
        <f aca="false">25059.46464687*1000</f>
        <v>25059464.64687</v>
      </c>
      <c r="AF31" s="761" t="n">
        <f aca="false">'Cuenta Ahorro-Inversión-Financi'!CS35</f>
        <v>306424716.35524</v>
      </c>
      <c r="AG31" s="605"/>
      <c r="AH31" s="605"/>
      <c r="AL31" s="1"/>
      <c r="AM31" s="1"/>
      <c r="AN31" s="456"/>
      <c r="AO31" s="456"/>
      <c r="AP31" s="456"/>
      <c r="AQ31" s="456"/>
      <c r="AR31" s="456"/>
      <c r="AS31" s="456"/>
      <c r="AT31" s="456"/>
      <c r="AU31" s="456"/>
      <c r="AV31" s="456"/>
    </row>
    <row r="32" customFormat="false" ht="13.8" hidden="false" customHeight="false" outlineLevel="0" collapsed="false">
      <c r="B32" s="1"/>
      <c r="C32" s="1"/>
      <c r="D32" s="1"/>
      <c r="E32" s="1"/>
      <c r="F32" s="1"/>
      <c r="G32" s="1"/>
      <c r="H32" s="1"/>
      <c r="I32" s="604" t="s">
        <v>1043</v>
      </c>
      <c r="J32" s="604"/>
      <c r="K32" s="604"/>
      <c r="L32" s="604"/>
      <c r="M32" s="604"/>
      <c r="N32" s="604"/>
      <c r="O32" s="1"/>
      <c r="P32" s="1" t="n">
        <v>1993</v>
      </c>
      <c r="Q32" s="770" t="n">
        <f aca="false">'Exogenous tax and expenses'!Q5/'PIB corriente base 1993'!V8/1000</f>
        <v>0.00360798997870177</v>
      </c>
      <c r="R32" s="770"/>
      <c r="S32" s="770"/>
      <c r="T32" s="770"/>
      <c r="U32" s="770"/>
      <c r="V32" s="770"/>
      <c r="W32" s="770" t="n">
        <f aca="false">'Exogenous tax and expenses'!W5/'PIB corriente base 1993'!$V8/1000</f>
        <v>0.0127518067972787</v>
      </c>
      <c r="X32" s="770" t="n">
        <f aca="false">'Exogenous tax and expenses'!X5/'PIB corriente base 1993'!$V8/1000</f>
        <v>0</v>
      </c>
      <c r="Y32" s="771" t="n">
        <f aca="false">'Exogenous tax and expenses'!Y5/'PIB corriente base 1993'!V8/1000</f>
        <v>0.00148990999175634</v>
      </c>
      <c r="Z32" s="771"/>
      <c r="AA32" s="771" t="n">
        <f aca="false">'Exogenous tax and expenses'!AA5/'PIB corriente base 1993'!V8/1000</f>
        <v>0.00438149484248217</v>
      </c>
      <c r="AB32" s="771" t="n">
        <f aca="false">'Exogenous tax and expenses'!AB5/'PIB corriente base 1993'!V8/1000</f>
        <v>0.000907133691920851</v>
      </c>
      <c r="AC32" s="771"/>
      <c r="AD32" s="771"/>
      <c r="AE32" s="771"/>
      <c r="AF32" s="771"/>
      <c r="AG32" s="763"/>
      <c r="AH32" s="763"/>
      <c r="AL32" s="1"/>
      <c r="AM32" s="1" t="n">
        <f aca="false">'Exogenous tax and expenses'!AM30+1</f>
        <v>1994</v>
      </c>
      <c r="AN32" s="456" t="n">
        <f aca="false">'Exogenous tax and expenses'!AN6/'PIB corriente base 1993'!V9/1000</f>
        <v>0.0226133892133065</v>
      </c>
      <c r="AO32" s="456" t="n">
        <f aca="false">'Exogenous tax and expenses'!AO6/'PIB corriente base 1993'!V9/1000</f>
        <v>0.0640460014100955</v>
      </c>
      <c r="AP32" s="456" t="n">
        <f aca="false">'Exogenous tax and expenses'!AP6/'PIB corriente base 1993'!V9/1000</f>
        <v>0.00803682538315669</v>
      </c>
      <c r="AQ32" s="456" t="n">
        <f aca="false">'Exogenous tax and expenses'!AQ6/'PIB corriente base 1993'!V9/1000</f>
        <v>0</v>
      </c>
      <c r="AR32" s="456" t="n">
        <f aca="false">'Exogenous tax and expenses'!AR6/'PIB corriente base 1993'!V9/1000</f>
        <v>0</v>
      </c>
      <c r="AS32" s="456" t="n">
        <f aca="false">'Exogenous tax and expenses'!AS6/'PIB corriente base 1993'!V9/1000</f>
        <v>0</v>
      </c>
      <c r="AT32" s="456" t="n">
        <f aca="false">'Exogenous tax and expenses'!AT6/'PIB corriente base 1993'!V9/1000</f>
        <v>0.0125330563795884</v>
      </c>
      <c r="AU32" s="456" t="n">
        <v>0</v>
      </c>
      <c r="AV32" s="456" t="n">
        <v>0</v>
      </c>
    </row>
    <row r="33" customFormat="false" ht="13.8" hidden="false" customHeight="false" outlineLevel="0" collapsed="false">
      <c r="B33" s="1"/>
      <c r="C33" s="1"/>
      <c r="D33" s="1"/>
      <c r="E33" s="1"/>
      <c r="F33" s="1"/>
      <c r="G33" s="1"/>
      <c r="H33" s="1"/>
      <c r="I33" s="772" t="s">
        <v>1044</v>
      </c>
      <c r="J33" s="772"/>
      <c r="K33" s="772"/>
      <c r="L33" s="772"/>
      <c r="M33" s="772"/>
      <c r="N33" s="772"/>
      <c r="O33" s="1"/>
      <c r="P33" s="1" t="n">
        <f aca="false">'Exogenous tax and expenses'!P32+1</f>
        <v>1994</v>
      </c>
      <c r="Q33" s="773" t="n">
        <f aca="false">'Exogenous tax and expenses'!Q6/'PIB corriente base 1993'!V9/1000</f>
        <v>0.00452401493112597</v>
      </c>
      <c r="R33" s="773"/>
      <c r="S33" s="773"/>
      <c r="T33" s="773"/>
      <c r="U33" s="773"/>
      <c r="V33" s="773"/>
      <c r="W33" s="773" t="n">
        <f aca="false">'Exogenous tax and expenses'!W6/'PIB corriente base 1993'!$V9/1000</f>
        <v>0.0125330563795884</v>
      </c>
      <c r="X33" s="773" t="n">
        <f aca="false">'Exogenous tax and expenses'!X6/'PIB corriente base 1993'!$V9/1000</f>
        <v>0</v>
      </c>
      <c r="Y33" s="774" t="n">
        <f aca="false">'Exogenous tax and expenses'!Y6/'PIB corriente base 1993'!V9/1000</f>
        <v>0.00114109371918643</v>
      </c>
      <c r="Z33" s="774"/>
      <c r="AA33" s="774" t="n">
        <f aca="false">'Exogenous tax and expenses'!AA6/'PIB corriente base 1993'!V9/1000</f>
        <v>0.00500171357630564</v>
      </c>
      <c r="AB33" s="774" t="n">
        <f aca="false">'Exogenous tax and expenses'!AB6/'PIB corriente base 1993'!V9/1000</f>
        <v>0.00177359529305488</v>
      </c>
      <c r="AC33" s="774"/>
      <c r="AD33" s="774"/>
      <c r="AE33" s="774"/>
      <c r="AF33" s="774"/>
      <c r="AG33" s="547"/>
      <c r="AH33" s="547"/>
      <c r="AM33" s="1" t="n">
        <f aca="false">'Exogenous tax and expenses'!AM32+1</f>
        <v>1995</v>
      </c>
      <c r="AN33" s="456" t="n">
        <f aca="false">'Exogenous tax and expenses'!AN7/'PIB corriente base 1993'!V10/1000</f>
        <v>0.0241773221134824</v>
      </c>
      <c r="AO33" s="456" t="n">
        <f aca="false">'Exogenous tax and expenses'!AO7/'PIB corriente base 1993'!V10/1000</f>
        <v>0.0639688385715106</v>
      </c>
      <c r="AP33" s="456" t="n">
        <f aca="false">'Exogenous tax and expenses'!AP7/'PIB corriente base 1993'!V10/1000</f>
        <v>0.00694487814856095</v>
      </c>
      <c r="AQ33" s="456" t="n">
        <f aca="false">'Exogenous tax and expenses'!AQ7/'PIB corriente base 1993'!V10/1000</f>
        <v>0</v>
      </c>
      <c r="AR33" s="456" t="n">
        <f aca="false">'Exogenous tax and expenses'!AR7/'PIB corriente base 1993'!V10/1000</f>
        <v>0</v>
      </c>
      <c r="AS33" s="456" t="n">
        <f aca="false">'Exogenous tax and expenses'!AS7/'PIB corriente base 1993'!V10/1000</f>
        <v>0</v>
      </c>
      <c r="AT33" s="456" t="n">
        <f aca="false">'Exogenous tax and expenses'!AT7/'PIB corriente base 1993'!V10/1000</f>
        <v>0.011591546064283</v>
      </c>
      <c r="AU33" s="456" t="n">
        <v>0</v>
      </c>
      <c r="AV33" s="456" t="n">
        <v>0</v>
      </c>
    </row>
    <row r="34" customFormat="false" ht="13.8" hidden="false" customHeight="false" outlineLevel="0" collapsed="false">
      <c r="B34" s="1"/>
      <c r="C34" s="1"/>
      <c r="D34" s="1"/>
      <c r="E34" s="1"/>
      <c r="F34" s="1"/>
      <c r="G34" s="1"/>
      <c r="H34" s="1"/>
      <c r="I34" s="772"/>
      <c r="J34" s="772"/>
      <c r="K34" s="772"/>
      <c r="L34" s="772"/>
      <c r="M34" s="772"/>
      <c r="N34" s="772"/>
      <c r="O34" s="1"/>
      <c r="P34" s="1" t="n">
        <f aca="false">'Exogenous tax and expenses'!P33+1</f>
        <v>1995</v>
      </c>
      <c r="Q34" s="770" t="n">
        <f aca="false">'Exogenous tax and expenses'!Q7/'PIB corriente base 1993'!V10/1000</f>
        <v>0.00481810842810914</v>
      </c>
      <c r="R34" s="770"/>
      <c r="S34" s="770"/>
      <c r="T34" s="770"/>
      <c r="U34" s="770"/>
      <c r="V34" s="770"/>
      <c r="W34" s="770" t="n">
        <f aca="false">'Exogenous tax and expenses'!W7/'PIB corriente base 1993'!$V10/1000</f>
        <v>0.011591546064283</v>
      </c>
      <c r="X34" s="770" t="n">
        <f aca="false">'Exogenous tax and expenses'!X7/'PIB corriente base 1993'!$V10/1000</f>
        <v>0</v>
      </c>
      <c r="Y34" s="771" t="n">
        <f aca="false">'Exogenous tax and expenses'!Y7/'PIB corriente base 1993'!V10/1000</f>
        <v>0.00115074130920541</v>
      </c>
      <c r="Z34" s="771"/>
      <c r="AA34" s="771" t="n">
        <f aca="false">'Exogenous tax and expenses'!AA7/'PIB corriente base 1993'!V10/1000</f>
        <v>0.00460379512456971</v>
      </c>
      <c r="AB34" s="771" t="n">
        <f aca="false">'Exogenous tax and expenses'!AB7/'PIB corriente base 1993'!V10/1000</f>
        <v>0.00203456278278236</v>
      </c>
      <c r="AC34" s="771"/>
      <c r="AD34" s="771"/>
      <c r="AE34" s="771"/>
      <c r="AF34" s="771"/>
      <c r="AG34" s="775" t="n">
        <f aca="false">AG21/AH20</f>
        <v>0.0864056982098062</v>
      </c>
      <c r="AH34" s="763"/>
      <c r="AM34" s="1" t="n">
        <f aca="false">'Exogenous tax and expenses'!AM33+1</f>
        <v>1996</v>
      </c>
      <c r="AN34" s="456" t="n">
        <f aca="false">'Exogenous tax and expenses'!AN8/'PIB corriente base 1993'!V11/1000</f>
        <v>0.0249922213956769</v>
      </c>
      <c r="AO34" s="456" t="n">
        <f aca="false">'Exogenous tax and expenses'!AO8/'PIB corriente base 1993'!V11/1000</f>
        <v>0.0664794455284589</v>
      </c>
      <c r="AP34" s="456" t="n">
        <f aca="false">'Exogenous tax and expenses'!AP8/'PIB corriente base 1993'!V11/1000</f>
        <v>0.00859191284535789</v>
      </c>
      <c r="AQ34" s="456" t="n">
        <f aca="false">'Exogenous tax and expenses'!AQ8/'PIB corriente base 1993'!V11/1000</f>
        <v>0.000633122003803018</v>
      </c>
      <c r="AR34" s="456" t="n">
        <f aca="false">'Exogenous tax and expenses'!AR8/'PIB corriente base 1993'!V11/1000</f>
        <v>0</v>
      </c>
      <c r="AS34" s="456" t="n">
        <f aca="false">'Exogenous tax and expenses'!AS8/'PIB corriente base 1993'!V11/1000</f>
        <v>0</v>
      </c>
      <c r="AT34" s="456" t="n">
        <f aca="false">'Exogenous tax and expenses'!AT8/'PIB corriente base 1993'!V11/1000</f>
        <v>0.0118734138888743</v>
      </c>
      <c r="AU34" s="456" t="n">
        <v>0</v>
      </c>
      <c r="AV34" s="456" t="n">
        <v>0</v>
      </c>
    </row>
    <row r="35" customFormat="false" ht="13.8" hidden="false" customHeight="false" outlineLevel="0" collapsed="false">
      <c r="B35" s="1"/>
      <c r="C35" s="1"/>
      <c r="D35" s="1"/>
      <c r="E35" s="1"/>
      <c r="F35" s="1"/>
      <c r="G35" s="1"/>
      <c r="H35" s="1"/>
      <c r="I35" s="772"/>
      <c r="J35" s="772"/>
      <c r="K35" s="772"/>
      <c r="L35" s="772"/>
      <c r="M35" s="772"/>
      <c r="N35" s="772"/>
      <c r="O35" s="776" t="n">
        <v>351671158.42997</v>
      </c>
      <c r="P35" s="1" t="n">
        <f aca="false">'Exogenous tax and expenses'!P34+1</f>
        <v>1996</v>
      </c>
      <c r="Q35" s="773" t="n">
        <f aca="false">'Exogenous tax and expenses'!Q8/'PIB corriente base 1993'!$V11/1000</f>
        <v>0.00535119124011765</v>
      </c>
      <c r="R35" s="773"/>
      <c r="S35" s="773" t="n">
        <f aca="false">'Exogenous tax and expenses'!S8/'PIB corriente base 1993'!V11/1000</f>
        <v>0.00699555519367766</v>
      </c>
      <c r="T35" s="773" t="n">
        <f aca="false">'Exogenous tax and expenses'!T8/'PIB corriente base 1993'!V11/1000</f>
        <v>0.00859191284535789</v>
      </c>
      <c r="U35" s="773" t="n">
        <f aca="false">'Exogenous tax and expenses'!U8/'PIB corriente base 1993'!V11/1000</f>
        <v>0.000633122003803018</v>
      </c>
      <c r="V35" s="773"/>
      <c r="W35" s="773" t="n">
        <f aca="false">'Exogenous tax and expenses'!W8/'PIB corriente base 1993'!$V11/1000</f>
        <v>0.0118734138888744</v>
      </c>
      <c r="X35" s="773" t="n">
        <f aca="false">'Exogenous tax and expenses'!X8/'PIB corriente base 1993'!$V11/1000</f>
        <v>0.00189952184472796</v>
      </c>
      <c r="Y35" s="774" t="n">
        <f aca="false">'Exogenous tax and expenses'!Y8/'PIB corriente base 1993'!V11/1000</f>
        <v>0.00121581480233915</v>
      </c>
      <c r="Z35" s="774"/>
      <c r="AA35" s="774" t="n">
        <f aca="false">'Exogenous tax and expenses'!AA8/'PIB corriente base 1993'!V11/1000</f>
        <v>0.00371605977783452</v>
      </c>
      <c r="AB35" s="774" t="n">
        <f aca="false">'Exogenous tax and expenses'!AB8/'PIB corriente base 1993'!V11/1000</f>
        <v>0.00374469920475403</v>
      </c>
      <c r="AC35" s="774"/>
      <c r="AD35" s="774"/>
      <c r="AE35" s="774"/>
      <c r="AF35" s="774"/>
      <c r="AG35" s="774" t="n">
        <f aca="false">AG22/AH21</f>
        <v>0.0642240053573383</v>
      </c>
      <c r="AH35" s="547"/>
      <c r="AM35" s="1" t="n">
        <f aca="false">'Exogenous tax and expenses'!AM34+1</f>
        <v>1997</v>
      </c>
      <c r="AN35" s="456" t="n">
        <f aca="false">'Exogenous tax and expenses'!AN9/'PIB corriente base 1993'!V12/1000</f>
        <v>0.0284566412191163</v>
      </c>
      <c r="AO35" s="456" t="n">
        <f aca="false">'Exogenous tax and expenses'!AO9/'PIB corriente base 1993'!V12/1000</f>
        <v>0.0676788908730839</v>
      </c>
      <c r="AP35" s="456" t="n">
        <f aca="false">'Exogenous tax and expenses'!AP9/'PIB corriente base 1993'!V12/1000</f>
        <v>0.0133764802888043</v>
      </c>
      <c r="AQ35" s="456" t="n">
        <f aca="false">'Exogenous tax and expenses'!AQ9/'PIB corriente base 1993'!V12/1000</f>
        <v>0.000661837543623088</v>
      </c>
      <c r="AR35" s="456" t="n">
        <f aca="false">'Exogenous tax and expenses'!AR9/'PIB corriente base 1993'!V12/1000</f>
        <v>0</v>
      </c>
      <c r="AS35" s="456" t="n">
        <f aca="false">'Exogenous tax and expenses'!AS9/'PIB corriente base 1993'!V12/1000</f>
        <v>0</v>
      </c>
      <c r="AT35" s="456" t="n">
        <f aca="false">'Exogenous tax and expenses'!AT9/'PIB corriente base 1993'!V12/1000</f>
        <v>0.0122864231415156</v>
      </c>
      <c r="AU35" s="456" t="n">
        <v>0</v>
      </c>
      <c r="AV35" s="456" t="n">
        <v>0</v>
      </c>
    </row>
    <row r="36" customFormat="false" ht="13.8" hidden="false" customHeight="false" outlineLevel="0" collapsed="false">
      <c r="B36" s="1"/>
      <c r="C36" s="1"/>
      <c r="D36" s="1"/>
      <c r="E36" s="1"/>
      <c r="F36" s="1"/>
      <c r="G36" s="1"/>
      <c r="H36" s="1"/>
      <c r="I36" s="772"/>
      <c r="J36" s="772"/>
      <c r="K36" s="772"/>
      <c r="L36" s="772"/>
      <c r="M36" s="772"/>
      <c r="N36" s="772"/>
      <c r="O36" s="456" t="n">
        <f aca="false">O35/V30-1</f>
        <v>0.511970252539426</v>
      </c>
      <c r="P36" s="1" t="n">
        <f aca="false">'Exogenous tax and expenses'!P35+1</f>
        <v>1997</v>
      </c>
      <c r="Q36" s="770" t="n">
        <f aca="false">'Exogenous tax and expenses'!Q9/'PIB corriente base 1993'!V12/1000</f>
        <v>0.00569959755309632</v>
      </c>
      <c r="R36" s="770"/>
      <c r="S36" s="770" t="n">
        <f aca="false">'Exogenous tax and expenses'!S9/'PIB corriente base 1993'!V12/1000</f>
        <v>0.00697789668568757</v>
      </c>
      <c r="T36" s="770" t="n">
        <f aca="false">'Exogenous tax and expenses'!T9/'PIB corriente base 1993'!V12/1000</f>
        <v>0.0133764802888043</v>
      </c>
      <c r="U36" s="770" t="n">
        <f aca="false">'Exogenous tax and expenses'!U9/'PIB corriente base 1993'!V12/1000</f>
        <v>0.000661837543623088</v>
      </c>
      <c r="V36" s="770"/>
      <c r="W36" s="770" t="n">
        <f aca="false">'Exogenous tax and expenses'!W9/'PIB corriente base 1993'!$V12/1000</f>
        <v>0.0122864231415156</v>
      </c>
      <c r="X36" s="770" t="n">
        <f aca="false">'Exogenous tax and expenses'!X9/'PIB corriente base 1993'!$V12/1000</f>
        <v>0.00678417881034325</v>
      </c>
      <c r="Y36" s="771" t="n">
        <f aca="false">'Exogenous tax and expenses'!Y9/'PIB corriente base 1993'!V12/1000</f>
        <v>0.000840346028141977</v>
      </c>
      <c r="Z36" s="771"/>
      <c r="AA36" s="771" t="n">
        <f aca="false">'Exogenous tax and expenses'!AA9/'PIB corriente base 1993'!V12/1000</f>
        <v>0.00376518359499552</v>
      </c>
      <c r="AB36" s="771" t="n">
        <f aca="false">'Exogenous tax and expenses'!AB9/'PIB corriente base 1993'!V12/1000</f>
        <v>0.00345227651983493</v>
      </c>
      <c r="AC36" s="771"/>
      <c r="AD36" s="771"/>
      <c r="AE36" s="771"/>
      <c r="AF36" s="771"/>
      <c r="AG36" s="775" t="n">
        <f aca="false">AG23/AH22</f>
        <v>0.0620094775419625</v>
      </c>
      <c r="AH36" s="763"/>
      <c r="AM36" s="1" t="n">
        <f aca="false">'Exogenous tax and expenses'!AM35+1</f>
        <v>1998</v>
      </c>
      <c r="AN36" s="456" t="n">
        <f aca="false">'Exogenous tax and expenses'!AN10/'PIB corriente base 1993'!V13/1000</f>
        <v>0.0317107812394328</v>
      </c>
      <c r="AO36" s="456" t="n">
        <f aca="false">'Exogenous tax and expenses'!AO10/'PIB corriente base 1993'!V13/1000</f>
        <v>0.068057727757387</v>
      </c>
      <c r="AP36" s="456" t="n">
        <f aca="false">'Exogenous tax and expenses'!AP10/'PIB corriente base 1993'!V13/1000</f>
        <v>0.0123514108518862</v>
      </c>
      <c r="AQ36" s="456" t="n">
        <f aca="false">'Exogenous tax and expenses'!AQ10/'PIB corriente base 1993'!V13/1000</f>
        <v>0.000661539006122823</v>
      </c>
      <c r="AR36" s="456" t="n">
        <f aca="false">'Exogenous tax and expenses'!AR10/'PIB corriente base 1993'!V13/1000</f>
        <v>0</v>
      </c>
      <c r="AS36" s="456" t="n">
        <f aca="false">'Exogenous tax and expenses'!AS10/'PIB corriente base 1993'!V13/1000</f>
        <v>0.000333264917331648</v>
      </c>
      <c r="AT36" s="456" t="n">
        <f aca="false">'Exogenous tax and expenses'!AT10/'PIB corriente base 1993'!V13/1000</f>
        <v>0.0127033327129764</v>
      </c>
      <c r="AU36" s="456" t="n">
        <v>0</v>
      </c>
      <c r="AV36" s="456" t="n">
        <v>0</v>
      </c>
    </row>
    <row r="37" customFormat="false" ht="13.8" hidden="false" customHeight="false" outlineLevel="0" collapsed="false">
      <c r="B37" s="1"/>
      <c r="C37" s="1"/>
      <c r="D37" s="1"/>
      <c r="E37" s="1"/>
      <c r="F37" s="1"/>
      <c r="G37" s="1"/>
      <c r="H37" s="1"/>
      <c r="I37" s="772"/>
      <c r="J37" s="772"/>
      <c r="K37" s="772"/>
      <c r="L37" s="772"/>
      <c r="M37" s="772"/>
      <c r="N37" s="772"/>
      <c r="O37" s="1"/>
      <c r="P37" s="1" t="n">
        <f aca="false">'Exogenous tax and expenses'!P36+1</f>
        <v>1998</v>
      </c>
      <c r="Q37" s="773" t="n">
        <f aca="false">'Exogenous tax and expenses'!Q10/'PIB corriente base 1993'!V13/1000</f>
        <v>0.00636315131456079</v>
      </c>
      <c r="R37" s="773" t="n">
        <f aca="false">'Exogenous tax and expenses'!R10/'PIB corriente base 1993'!$V13/1000</f>
        <v>0.000145543197528915</v>
      </c>
      <c r="S37" s="773" t="n">
        <f aca="false">'Exogenous tax and expenses'!S10/'PIB corriente base 1993'!V13/1000</f>
        <v>0.00701695590496987</v>
      </c>
      <c r="T37" s="773" t="n">
        <f aca="false">'Exogenous tax and expenses'!T10/'PIB corriente base 1993'!V13/1000</f>
        <v>0.0123514108518862</v>
      </c>
      <c r="U37" s="773" t="n">
        <f aca="false">'Exogenous tax and expenses'!U10/'PIB corriente base 1993'!V13/1000</f>
        <v>0.000661539006122823</v>
      </c>
      <c r="V37" s="773"/>
      <c r="W37" s="773" t="n">
        <f aca="false">'Exogenous tax and expenses'!W10/'PIB corriente base 1993'!$V13/1000</f>
        <v>0.0127033327129764</v>
      </c>
      <c r="X37" s="773" t="n">
        <f aca="false">'Exogenous tax and expenses'!X10/'PIB corriente base 1993'!$V13/1000</f>
        <v>0.00620644167097362</v>
      </c>
      <c r="Y37" s="774" t="n">
        <f aca="false">'Exogenous tax and expenses'!Y10/'PIB corriente base 1993'!V13/1000</f>
        <v>0.000774999732363437</v>
      </c>
      <c r="Z37" s="774"/>
      <c r="AA37" s="774" t="n">
        <f aca="false">'Exogenous tax and expenses'!AA10/'PIB corriente base 1993'!V13/1000</f>
        <v>0.0044281736419033</v>
      </c>
      <c r="AB37" s="774" t="n">
        <f aca="false">'Exogenous tax and expenses'!AB10/'PIB corriente base 1993'!V13/1000</f>
        <v>0.00375256113602839</v>
      </c>
      <c r="AC37" s="774"/>
      <c r="AD37" s="774"/>
      <c r="AE37" s="774"/>
      <c r="AF37" s="774"/>
      <c r="AG37" s="774" t="n">
        <f aca="false">AG24/AH23</f>
        <v>0.0869682028119204</v>
      </c>
      <c r="AH37" s="547"/>
      <c r="AM37" s="1" t="n">
        <f aca="false">'Exogenous tax and expenses'!AM36+1</f>
        <v>1999</v>
      </c>
      <c r="AN37" s="456" t="n">
        <f aca="false">'Exogenous tax and expenses'!AN11/'PIB corriente base 1993'!V14/1000</f>
        <v>0.0325898294617152</v>
      </c>
      <c r="AO37" s="456" t="n">
        <f aca="false">'Exogenous tax and expenses'!AO11/'PIB corriente base 1993'!V14/1000</f>
        <v>0.0641814789660268</v>
      </c>
      <c r="AP37" s="456" t="n">
        <f aca="false">'Exogenous tax and expenses'!AP11/'PIB corriente base 1993'!V14/1000</f>
        <v>0.0126546160153983</v>
      </c>
      <c r="AQ37" s="456" t="n">
        <f aca="false">'Exogenous tax and expenses'!AQ11/'PIB corriente base 1993'!V14/1000</f>
        <v>0.000694807769874193</v>
      </c>
      <c r="AR37" s="456" t="n">
        <f aca="false">'Exogenous tax and expenses'!AR11/'PIB corriente base 1993'!V14/1000</f>
        <v>0</v>
      </c>
      <c r="AS37" s="456" t="n">
        <f aca="false">'Exogenous tax and expenses'!AS11/'PIB corriente base 1993'!V14/1000</f>
        <v>0.00135935697421974</v>
      </c>
      <c r="AT37" s="456" t="n">
        <f aca="false">'Exogenous tax and expenses'!AT11/'PIB corriente base 1993'!V14/1000</f>
        <v>0.0130590610333592</v>
      </c>
      <c r="AU37" s="456" t="n">
        <v>0</v>
      </c>
      <c r="AV37" s="456" t="n">
        <v>0</v>
      </c>
    </row>
    <row r="38" customFormat="false" ht="13.8" hidden="false" customHeight="false" outlineLevel="0" collapsed="false">
      <c r="B38" s="1"/>
      <c r="C38" s="1"/>
      <c r="D38" s="1"/>
      <c r="E38" s="1"/>
      <c r="F38" s="1"/>
      <c r="G38" s="1"/>
      <c r="H38" s="1"/>
      <c r="I38" s="772"/>
      <c r="J38" s="772"/>
      <c r="K38" s="772"/>
      <c r="L38" s="772"/>
      <c r="M38" s="772"/>
      <c r="N38" s="772"/>
      <c r="O38" s="1"/>
      <c r="P38" s="1" t="n">
        <f aca="false">'Exogenous tax and expenses'!P37+1</f>
        <v>1999</v>
      </c>
      <c r="Q38" s="770" t="n">
        <f aca="false">'Exogenous tax and expenses'!Q11/'PIB corriente base 1993'!V14/1000</f>
        <v>0.00652843236193813</v>
      </c>
      <c r="R38" s="770" t="n">
        <f aca="false">'Exogenous tax and expenses'!R11/'PIB corriente base 1993'!$V14/1000</f>
        <v>0.000682065594832189</v>
      </c>
      <c r="S38" s="770" t="n">
        <f aca="false">'Exogenous tax and expenses'!S11/'PIB corriente base 1993'!V14/1000</f>
        <v>0.00661730302583426</v>
      </c>
      <c r="T38" s="770" t="n">
        <f aca="false">'Exogenous tax and expenses'!T11/'PIB corriente base 1993'!V14/1000</f>
        <v>0.0126546160153983</v>
      </c>
      <c r="U38" s="770" t="n">
        <f aca="false">'Exogenous tax and expenses'!U11/'PIB corriente base 1993'!V14/1000</f>
        <v>0.000694807769874193</v>
      </c>
      <c r="V38" s="770"/>
      <c r="W38" s="770" t="n">
        <f aca="false">'Exogenous tax and expenses'!W11/'PIB corriente base 1993'!$V14/1000</f>
        <v>0.0130590610333592</v>
      </c>
      <c r="X38" s="770" t="n">
        <f aca="false">'Exogenous tax and expenses'!X11/'PIB corriente base 1993'!$V14/1000</f>
        <v>0.00659006201248528</v>
      </c>
      <c r="Y38" s="771" t="n">
        <f aca="false">'Exogenous tax and expenses'!Y11/'PIB corriente base 1993'!V14/1000</f>
        <v>0.000844821419816424</v>
      </c>
      <c r="Z38" s="771"/>
      <c r="AA38" s="771" t="n">
        <f aca="false">'Exogenous tax and expenses'!AA11/'PIB corriente base 1993'!V14/1000</f>
        <v>0.00496732786232554</v>
      </c>
      <c r="AB38" s="771" t="n">
        <f aca="false">'Exogenous tax and expenses'!AB11/'PIB corriente base 1993'!V14/1000</f>
        <v>0.00371425044292621</v>
      </c>
      <c r="AC38" s="771"/>
      <c r="AD38" s="771"/>
      <c r="AE38" s="771"/>
      <c r="AF38" s="771"/>
      <c r="AG38" s="775" t="n">
        <f aca="false">AG25/AH24</f>
        <v>0.0934363354603573</v>
      </c>
      <c r="AH38" s="763"/>
      <c r="AM38" s="1" t="n">
        <f aca="false">'Exogenous tax and expenses'!AM37+1</f>
        <v>2000</v>
      </c>
      <c r="AN38" s="456" t="n">
        <f aca="false">'Exogenous tax and expenses'!AN12/'PIB corriente base 1993'!V15/1000</f>
        <v>0.0367874987490078</v>
      </c>
      <c r="AO38" s="456" t="n">
        <f aca="false">'Exogenous tax and expenses'!AO12/'PIB corriente base 1993'!V15/1000</f>
        <v>0.0668835092793307</v>
      </c>
      <c r="AP38" s="456" t="n">
        <f aca="false">'Exogenous tax and expenses'!AP12/'PIB corriente base 1993'!V15/1000</f>
        <v>0.0122384068851027</v>
      </c>
      <c r="AQ38" s="456" t="n">
        <f aca="false">'Exogenous tax and expenses'!AQ12/'PIB corriente base 1993'!V15/1000</f>
        <v>0.00171445582114806</v>
      </c>
      <c r="AR38" s="456" t="n">
        <f aca="false">'Exogenous tax and expenses'!AR12/'PIB corriente base 1993'!V15/1000</f>
        <v>0</v>
      </c>
      <c r="AS38" s="456" t="n">
        <f aca="false">'Exogenous tax and expenses'!AS12/'PIB corriente base 1993'!V15/1000</f>
        <v>0.00124400896642886</v>
      </c>
      <c r="AT38" s="456" t="n">
        <f aca="false">'Exogenous tax and expenses'!AT12/'PIB corriente base 1993'!V15/1000</f>
        <v>0.0132482904466693</v>
      </c>
      <c r="AU38" s="456" t="n">
        <v>0</v>
      </c>
      <c r="AV38" s="456" t="n">
        <v>0</v>
      </c>
    </row>
    <row r="39" customFormat="false" ht="13.8" hidden="false" customHeight="false" outlineLevel="0" collapsed="false">
      <c r="B39" s="1"/>
      <c r="D39" s="698" t="s">
        <v>1045</v>
      </c>
      <c r="E39" s="698" t="s">
        <v>1046</v>
      </c>
      <c r="F39" s="1"/>
      <c r="G39" s="1"/>
      <c r="H39" s="1"/>
      <c r="I39" s="772"/>
      <c r="J39" s="772"/>
      <c r="K39" s="772"/>
      <c r="L39" s="772"/>
      <c r="M39" s="772"/>
      <c r="N39" s="772"/>
      <c r="O39" s="1"/>
      <c r="P39" s="1" t="n">
        <f aca="false">'Exogenous tax and expenses'!P38+1</f>
        <v>2000</v>
      </c>
      <c r="Q39" s="773" t="n">
        <f aca="false">'Exogenous tax and expenses'!Q12/'PIB corriente base 1993'!V15/1000</f>
        <v>0.00737482979989829</v>
      </c>
      <c r="R39" s="773" t="n">
        <f aca="false">'Exogenous tax and expenses'!R12/'PIB corriente base 1993'!$V15/1000</f>
        <v>0.000792131724972759</v>
      </c>
      <c r="S39" s="773" t="n">
        <f aca="false">'Exogenous tax and expenses'!S12/'PIB corriente base 1993'!V15/1000</f>
        <v>0.00689589045722683</v>
      </c>
      <c r="T39" s="773" t="n">
        <f aca="false">'Exogenous tax and expenses'!T12/'PIB corriente base 1993'!V15/1000</f>
        <v>0.0122384068851027</v>
      </c>
      <c r="U39" s="773" t="n">
        <f aca="false">'Exogenous tax and expenses'!U12/'PIB corriente base 1993'!V15/1000</f>
        <v>0.00171445582114806</v>
      </c>
      <c r="V39" s="773"/>
      <c r="W39" s="773" t="n">
        <f aca="false">'Exogenous tax and expenses'!W12/'PIB corriente base 1993'!$V15/1000</f>
        <v>0.0132482904466693</v>
      </c>
      <c r="X39" s="773" t="n">
        <f aca="false">'Exogenous tax and expenses'!X12/'PIB corriente base 1993'!$V15/1000</f>
        <v>0.00625201275153695</v>
      </c>
      <c r="Y39" s="774" t="n">
        <f aca="false">'Exogenous tax and expenses'!Y12/'PIB corriente base 1993'!V15/1000</f>
        <v>0.000757917523110217</v>
      </c>
      <c r="Z39" s="774"/>
      <c r="AA39" s="774" t="n">
        <f aca="false">'Exogenous tax and expenses'!AA12/'PIB corriente base 1993'!V15/1000</f>
        <v>0.00457708734050099</v>
      </c>
      <c r="AB39" s="774" t="n">
        <f aca="false">'Exogenous tax and expenses'!AB12/'PIB corriente base 1993'!V15/1000</f>
        <v>0.00384670608858436</v>
      </c>
      <c r="AC39" s="774"/>
      <c r="AD39" s="774"/>
      <c r="AE39" s="774"/>
      <c r="AF39" s="774"/>
      <c r="AG39" s="774" t="n">
        <f aca="false">AG26/AH25</f>
        <v>0.116500959049965</v>
      </c>
      <c r="AH39" s="547"/>
      <c r="AM39" s="1" t="n">
        <f aca="false">'Exogenous tax and expenses'!AM38+1</f>
        <v>2001</v>
      </c>
      <c r="AN39" s="456" t="n">
        <f aca="false">'Exogenous tax and expenses'!AN13/'PIB corriente base 1993'!V16/1000</f>
        <v>0.0375563949409347</v>
      </c>
      <c r="AO39" s="456" t="n">
        <f aca="false">'Exogenous tax and expenses'!AO13/'PIB corriente base 1993'!V16/1000</f>
        <v>0.0571313538093506</v>
      </c>
      <c r="AP39" s="456" t="n">
        <f aca="false">'Exogenous tax and expenses'!AP13/'PIB corriente base 1993'!V16/1000</f>
        <v>0.012726717103591</v>
      </c>
      <c r="AQ39" s="456" t="n">
        <f aca="false">'Exogenous tax and expenses'!AQ13/'PIB corriente base 1993'!V16/1000</f>
        <v>0.000840551046084029</v>
      </c>
      <c r="AR39" s="456" t="n">
        <f aca="false">'Exogenous tax and expenses'!AR13/'PIB corriente base 1993'!V16/1000</f>
        <v>0.0109159580432705</v>
      </c>
      <c r="AS39" s="456" t="n">
        <f aca="false">'Exogenous tax and expenses'!AS13/'PIB corriente base 1993'!V16/1000</f>
        <v>0.00112526127064126</v>
      </c>
      <c r="AT39" s="456" t="n">
        <f aca="false">'Exogenous tax and expenses'!AT13/'PIB corriente base 1993'!V16/1000</f>
        <v>0.0124450443431941</v>
      </c>
      <c r="AU39" s="456" t="n">
        <v>0</v>
      </c>
      <c r="AV39" s="456" t="n">
        <v>0</v>
      </c>
    </row>
    <row r="40" customFormat="false" ht="13.8" hidden="false" customHeight="false" outlineLevel="0" collapsed="false">
      <c r="B40" s="1"/>
      <c r="C40" s="777"/>
      <c r="D40" s="698"/>
      <c r="E40" s="698"/>
      <c r="F40" s="1"/>
      <c r="G40" s="1"/>
      <c r="H40" s="1"/>
      <c r="I40" s="772"/>
      <c r="J40" s="772"/>
      <c r="K40" s="772"/>
      <c r="L40" s="772"/>
      <c r="M40" s="772"/>
      <c r="N40" s="772"/>
      <c r="P40" s="1" t="n">
        <f aca="false">'Exogenous tax and expenses'!P39+1</f>
        <v>2001</v>
      </c>
      <c r="Q40" s="770" t="n">
        <f aca="false">'Exogenous tax and expenses'!Q13/'PIB corriente base 1993'!V16/1000</f>
        <v>0.00742320990503864</v>
      </c>
      <c r="R40" s="770" t="n">
        <f aca="false">'Exogenous tax and expenses'!R13/'PIB corriente base 1993'!$V16/1000</f>
        <v>0.000792725123110313</v>
      </c>
      <c r="S40" s="770" t="n">
        <f aca="false">'Exogenous tax and expenses'!S13/'PIB corriente base 1993'!V16/1000</f>
        <v>0.00589041397180548</v>
      </c>
      <c r="T40" s="770" t="n">
        <f aca="false">'Exogenous tax and expenses'!T13/'PIB corriente base 1993'!V16/1000</f>
        <v>0.012726717103591</v>
      </c>
      <c r="U40" s="770" t="n">
        <f aca="false">'Exogenous tax and expenses'!U13/'PIB corriente base 1993'!V16/1000</f>
        <v>0.000840551046084029</v>
      </c>
      <c r="V40" s="770" t="n">
        <f aca="false">'Exogenous tax and expenses'!V13/'PIB corriente base 1993'!V16/1000</f>
        <v>0.0109159580432705</v>
      </c>
      <c r="W40" s="770" t="n">
        <f aca="false">'Exogenous tax and expenses'!W13/'PIB corriente base 1993'!$V16/1000</f>
        <v>0.0124450443431941</v>
      </c>
      <c r="X40" s="770" t="n">
        <f aca="false">'Exogenous tax and expenses'!X13/'PIB corriente base 1993'!$V16/1000</f>
        <v>0.006473913242637</v>
      </c>
      <c r="Y40" s="771" t="n">
        <f aca="false">'Exogenous tax and expenses'!Y13/'PIB corriente base 1993'!V16/1000</f>
        <v>0.000688420104483218</v>
      </c>
      <c r="Z40" s="771"/>
      <c r="AA40" s="771" t="n">
        <f aca="false">'Exogenous tax and expenses'!AA13/'PIB corriente base 1993'!V16/1000</f>
        <v>0.00458720783308938</v>
      </c>
      <c r="AB40" s="771" t="n">
        <f aca="false">'Exogenous tax and expenses'!AB13/'PIB corriente base 1993'!V16/1000</f>
        <v>0.00391896562603379</v>
      </c>
      <c r="AC40" s="771"/>
      <c r="AD40" s="771"/>
      <c r="AE40" s="771"/>
      <c r="AF40" s="771"/>
      <c r="AG40" s="775" t="n">
        <f aca="false">AG27/AH26</f>
        <v>0.112608351744783</v>
      </c>
      <c r="AH40" s="763"/>
      <c r="AM40" s="1" t="n">
        <f aca="false">'Exogenous tax and expenses'!AM39+1</f>
        <v>2002</v>
      </c>
      <c r="AN40" s="456" t="n">
        <f aca="false">'Exogenous tax and expenses'!AN14/'PIB corriente base 1993'!V17/1000</f>
        <v>0.0285345663066953</v>
      </c>
      <c r="AO40" s="456" t="n">
        <f aca="false">'Exogenous tax and expenses'!AO14/'PIB corriente base 1993'!V17/1000</f>
        <v>0.0487624518556394</v>
      </c>
      <c r="AP40" s="456" t="n">
        <f aca="false">'Exogenous tax and expenses'!AP14/'PIB corriente base 1993'!V17/1000</f>
        <v>0.014342468925354</v>
      </c>
      <c r="AQ40" s="456" t="n">
        <f aca="false">'Exogenous tax and expenses'!AQ14/'PIB corriente base 1993'!V17/1000</f>
        <v>0.000696250533678235</v>
      </c>
      <c r="AR40" s="456" t="n">
        <f aca="false">'Exogenous tax and expenses'!AR14/'PIB corriente base 1993'!V17/1000</f>
        <v>0.0155394867377431</v>
      </c>
      <c r="AS40" s="456" t="n">
        <f aca="false">'Exogenous tax and expenses'!AS14/'PIB corriente base 1993'!V17/1000</f>
        <v>0.00071423922595586</v>
      </c>
      <c r="AT40" s="456" t="n">
        <f aca="false">'Exogenous tax and expenses'!AT14/'PIB corriente base 1993'!V17/1000</f>
        <v>0.00963695804700716</v>
      </c>
      <c r="AU40" s="456" t="n">
        <v>0</v>
      </c>
      <c r="AV40" s="456" t="n">
        <v>0</v>
      </c>
    </row>
    <row r="41" customFormat="false" ht="13.8" hidden="false" customHeight="false" outlineLevel="0" collapsed="false">
      <c r="A41" s="0" t="n">
        <f aca="false">'Cuenta Ahorro-Inversión-Financi'!AV81</f>
        <v>1993</v>
      </c>
      <c r="B41" s="1"/>
      <c r="C41" s="1"/>
      <c r="D41" s="744" t="n">
        <f aca="false">'Cuenta Ahorro-Inversión-Financi'!AW42</f>
        <v>-0.0176975770327058</v>
      </c>
      <c r="E41" s="744" t="n">
        <f aca="false">'Cuenta Ahorro-Inversión-Financi'!AX81</f>
        <v>-0.000446069275463893</v>
      </c>
      <c r="F41" s="1"/>
      <c r="G41" s="1"/>
      <c r="H41" s="1"/>
      <c r="I41" s="772"/>
      <c r="J41" s="772"/>
      <c r="K41" s="772"/>
      <c r="L41" s="772"/>
      <c r="M41" s="772"/>
      <c r="N41" s="772"/>
      <c r="O41" s="1"/>
      <c r="P41" s="1" t="n">
        <f aca="false">'Exogenous tax and expenses'!P40+1</f>
        <v>2002</v>
      </c>
      <c r="Q41" s="773" t="n">
        <f aca="false">'Exogenous tax and expenses'!Q14/'PIB corriente base 1993'!V17/1000</f>
        <v>0.00550732676330524</v>
      </c>
      <c r="R41" s="773" t="n">
        <f aca="false">'Exogenous tax and expenses'!R14/'PIB corriente base 1993'!$V17/1000</f>
        <v>0.000517949435432862</v>
      </c>
      <c r="S41" s="773" t="n">
        <f aca="false">'Exogenous tax and expenses'!S14/'PIB corriente base 1993'!V17/1000</f>
        <v>0.005027555073672</v>
      </c>
      <c r="T41" s="773" t="n">
        <f aca="false">'Exogenous tax and expenses'!T14/'PIB corriente base 1993'!V17/1000</f>
        <v>0.014342468925354</v>
      </c>
      <c r="U41" s="773" t="n">
        <f aca="false">'Exogenous tax and expenses'!U14/'PIB corriente base 1993'!V17/1000</f>
        <v>0.000696250533678235</v>
      </c>
      <c r="V41" s="773" t="n">
        <f aca="false">'Exogenous tax and expenses'!V14/'PIB corriente base 1993'!V17/1000</f>
        <v>0.0155394867377431</v>
      </c>
      <c r="W41" s="773" t="n">
        <f aca="false">'Exogenous tax and expenses'!W14/'PIB corriente base 1993'!$V17/1000</f>
        <v>0.00963695804700716</v>
      </c>
      <c r="X41" s="773" t="n">
        <f aca="false">'Exogenous tax and expenses'!X14/'PIB corriente base 1993'!$V17/1000</f>
        <v>0.00578721074243246</v>
      </c>
      <c r="Y41" s="774" t="n">
        <f aca="false">'Exogenous tax and expenses'!Y14/'PIB corriente base 1993'!V17/1000</f>
        <v>0.000674115579920293</v>
      </c>
      <c r="Z41" s="774"/>
      <c r="AA41" s="774" t="n">
        <f aca="false">'Exogenous tax and expenses'!AA14/'PIB corriente base 1993'!V17/1000</f>
        <v>0.00393016113979006</v>
      </c>
      <c r="AB41" s="774" t="n">
        <f aca="false">'Exogenous tax and expenses'!AB14/'PIB corriente base 1993'!V17/1000</f>
        <v>0.00286856679917758</v>
      </c>
      <c r="AC41" s="774"/>
      <c r="AD41" s="774"/>
      <c r="AE41" s="774"/>
      <c r="AF41" s="774"/>
      <c r="AG41" s="774" t="n">
        <f aca="false">AG28/AH27</f>
        <v>0.109137122682277</v>
      </c>
      <c r="AH41" s="547"/>
      <c r="AM41" s="1" t="n">
        <f aca="false">'Exogenous tax and expenses'!AM40+1</f>
        <v>2003</v>
      </c>
      <c r="AN41" s="456" t="n">
        <f aca="false">'Exogenous tax and expenses'!AN15/'PIB corriente base 1993'!V18/1000</f>
        <v>0.0392401417348195</v>
      </c>
      <c r="AO41" s="456" t="n">
        <f aca="false">'Exogenous tax and expenses'!AO15/'PIB corriente base 1993'!V18/1000</f>
        <v>0.0557250628078845</v>
      </c>
      <c r="AP41" s="456" t="n">
        <f aca="false">'Exogenous tax and expenses'!AP15/'PIB corriente base 1993'!V18/1000</f>
        <v>0.0132297237331965</v>
      </c>
      <c r="AQ41" s="456" t="n">
        <f aca="false">'Exogenous tax and expenses'!AQ15/'PIB corriente base 1993'!V18/1000</f>
        <v>0.000681825883738911</v>
      </c>
      <c r="AR41" s="456" t="n">
        <f aca="false">'Exogenous tax and expenses'!AR15/'PIB corriente base 1993'!V18/1000</f>
        <v>0.0156959033371192</v>
      </c>
      <c r="AS41" s="456" t="n">
        <f aca="false">'Exogenous tax and expenses'!AS15/'PIB corriente base 1993'!V18/1000</f>
        <v>0.000752152058542803</v>
      </c>
      <c r="AT41" s="456" t="n">
        <f aca="false">'Exogenous tax and expenses'!AT15/'PIB corriente base 1993'!V18/1000</f>
        <v>0.0118026727120887</v>
      </c>
      <c r="AU41" s="456" t="n">
        <v>0</v>
      </c>
      <c r="AV41" s="456" t="n">
        <v>0</v>
      </c>
    </row>
    <row r="42" customFormat="false" ht="13.8" hidden="false" customHeight="false" outlineLevel="0" collapsed="false">
      <c r="A42" s="0" t="n">
        <f aca="false">'Cuenta Ahorro-Inversión-Financi'!AV82</f>
        <v>1994</v>
      </c>
      <c r="B42" s="1"/>
      <c r="C42" s="1"/>
      <c r="D42" s="745" t="n">
        <f aca="false">'Cuenta Ahorro-Inversión-Financi'!AW43</f>
        <v>-0.0265706733334723</v>
      </c>
      <c r="E42" s="745" t="n">
        <f aca="false">'Cuenta Ahorro-Inversión-Financi'!AX82</f>
        <v>-0.0130853294610615</v>
      </c>
      <c r="F42" s="1"/>
      <c r="G42" s="1"/>
      <c r="H42" s="1"/>
      <c r="I42" s="772"/>
      <c r="J42" s="772"/>
      <c r="K42" s="772"/>
      <c r="L42" s="772"/>
      <c r="M42" s="772"/>
      <c r="N42" s="772"/>
      <c r="O42" s="1"/>
      <c r="P42" s="1" t="n">
        <f aca="false">'Exogenous tax and expenses'!P41+1</f>
        <v>2003</v>
      </c>
      <c r="Q42" s="770" t="n">
        <f aca="false">'Exogenous tax and expenses'!Q15/'PIB corriente base 1993'!V18/1000</f>
        <v>0.00778608650355386</v>
      </c>
      <c r="R42" s="770" t="n">
        <f aca="false">'Exogenous tax and expenses'!R15/'PIB corriente base 1993'!$V18/1000</f>
        <v>0.000548714663773305</v>
      </c>
      <c r="S42" s="770" t="n">
        <f aca="false">'Exogenous tax and expenses'!S15/'PIB corriente base 1993'!V18/1000</f>
        <v>0.00574542115068131</v>
      </c>
      <c r="T42" s="770" t="n">
        <f aca="false">'Exogenous tax and expenses'!T15/'PIB corriente base 1993'!V18/1000</f>
        <v>0.0132297237331965</v>
      </c>
      <c r="U42" s="770" t="n">
        <f aca="false">'Exogenous tax and expenses'!U15/'PIB corriente base 1993'!V18/1000</f>
        <v>0.000681825883738911</v>
      </c>
      <c r="V42" s="770" t="n">
        <f aca="false">'Exogenous tax and expenses'!V15/'PIB corriente base 1993'!V18/1000</f>
        <v>0.0156959033371192</v>
      </c>
      <c r="W42" s="770" t="n">
        <f aca="false">'Exogenous tax and expenses'!W15/'PIB corriente base 1993'!$V18/1000</f>
        <v>0.0118026727120887</v>
      </c>
      <c r="X42" s="770" t="n">
        <f aca="false">'Exogenous tax and expenses'!X15/'PIB corriente base 1993'!$V18/1000</f>
        <v>0.00496580829870134</v>
      </c>
      <c r="Y42" s="771" t="n">
        <f aca="false">'Exogenous tax and expenses'!Y15/'PIB corriente base 1993'!V18/1000</f>
        <v>0.000682558068297916</v>
      </c>
      <c r="Z42" s="771"/>
      <c r="AA42" s="771" t="n">
        <f aca="false">'Exogenous tax and expenses'!AA15/'PIB corriente base 1993'!V18/1000</f>
        <v>0.00392285240873266</v>
      </c>
      <c r="AB42" s="771" t="n">
        <f aca="false">'Exogenous tax and expenses'!AB15/'PIB corriente base 1993'!V18/1000</f>
        <v>0.00287332305220327</v>
      </c>
      <c r="AC42" s="771"/>
      <c r="AD42" s="771"/>
      <c r="AE42" s="771"/>
      <c r="AF42" s="771"/>
      <c r="AG42" s="775" t="n">
        <f aca="false">AG29/AH28</f>
        <v>0.125975670336094</v>
      </c>
      <c r="AH42" s="763"/>
      <c r="AM42" s="1" t="n">
        <f aca="false">'Exogenous tax and expenses'!AM41+1</f>
        <v>2004</v>
      </c>
      <c r="AN42" s="456" t="n">
        <f aca="false">'Exogenous tax and expenses'!AN16/1000/'PIB corriente base 2004'!X8</f>
        <v>0.0459459821994371</v>
      </c>
      <c r="AO42" s="456" t="n">
        <f aca="false">'Exogenous tax and expenses'!AO16/1000/'PIB corriente base 2004'!X8</f>
        <v>0.0638548317195585</v>
      </c>
      <c r="AP42" s="456" t="n">
        <f aca="false">'Exogenous tax and expenses'!AP16/1000/'PIB corriente base 2004'!X8</f>
        <v>0.0110870883008554</v>
      </c>
      <c r="AQ42" s="456" t="n">
        <f aca="false">'Exogenous tax and expenses'!AQ16/1000/'PIB corriente base 2004'!X8</f>
        <v>0.000707872826421855</v>
      </c>
      <c r="AR42" s="456" t="n">
        <f aca="false">'Exogenous tax and expenses'!AR16/1000/'PIB corriente base 2004'!X8</f>
        <v>0.015835129642473</v>
      </c>
      <c r="AS42" s="456" t="n">
        <f aca="false">'Exogenous tax and expenses'!AS16/1000/'PIB corriente base 2004'!X8</f>
        <v>0.0010293988014194</v>
      </c>
      <c r="AT42" s="456" t="n">
        <f aca="false">'Exogenous tax and expenses'!AT16/1000/'PIB corriente base 2004'!X8</f>
        <v>0.0136326919048979</v>
      </c>
      <c r="AU42" s="456" t="n">
        <v>0</v>
      </c>
      <c r="AV42" s="456" t="n">
        <v>0</v>
      </c>
    </row>
    <row r="43" customFormat="false" ht="13.8" hidden="false" customHeight="false" outlineLevel="0" collapsed="false">
      <c r="A43" s="0" t="n">
        <f aca="false">'Cuenta Ahorro-Inversión-Financi'!AV83</f>
        <v>1995</v>
      </c>
      <c r="B43" s="1"/>
      <c r="C43" s="1"/>
      <c r="D43" s="744" t="n">
        <f aca="false">'Cuenta Ahorro-Inversión-Financi'!AW44</f>
        <v>-0.0223256780195043</v>
      </c>
      <c r="E43" s="744" t="n">
        <f aca="false">'Cuenta Ahorro-Inversión-Financi'!AX83</f>
        <v>-0.00637934959758819</v>
      </c>
      <c r="F43" s="1"/>
      <c r="G43" s="1"/>
      <c r="H43" s="1"/>
      <c r="I43" s="772"/>
      <c r="J43" s="772"/>
      <c r="K43" s="772"/>
      <c r="L43" s="772"/>
      <c r="M43" s="772"/>
      <c r="N43" s="772"/>
      <c r="O43" s="1"/>
      <c r="P43" s="1" t="n">
        <f aca="false">'Exogenous tax and expenses'!P42+1</f>
        <v>2004</v>
      </c>
      <c r="Q43" s="773" t="n">
        <f aca="false">'Exogenous tax and expenses'!Q16/1000/'PIB corriente base 2004'!$X8</f>
        <v>0.0091641635742257</v>
      </c>
      <c r="R43" s="773" t="n">
        <f aca="false">'Exogenous tax and expenses'!R16/1000/'PIB corriente base 2004'!$X8</f>
        <v>0.000657963741379203</v>
      </c>
      <c r="S43" s="773" t="n">
        <f aca="false">'Exogenous tax and expenses'!S16/1000/'PIB corriente base 2004'!X8</f>
        <v>0.00658362471478163</v>
      </c>
      <c r="T43" s="773" t="n">
        <f aca="false">'Exogenous tax and expenses'!T16/1000/'PIB corriente base 2004'!X8</f>
        <v>0.0110870883008554</v>
      </c>
      <c r="U43" s="773" t="n">
        <f aca="false">'Exogenous tax and expenses'!U16/1000/'PIB corriente base 2004'!X8</f>
        <v>0.000707872826421854</v>
      </c>
      <c r="V43" s="773" t="n">
        <f aca="false">'Exogenous tax and expenses'!V16/1000/'PIB corriente base 2004'!X8</f>
        <v>0.015835129642473</v>
      </c>
      <c r="W43" s="773" t="n">
        <f aca="false">'Exogenous tax and expenses'!W16/1000/'PIB corriente base 2004'!$X8</f>
        <v>0.0136326919048979</v>
      </c>
      <c r="X43" s="773" t="n">
        <f aca="false">'Exogenous tax and expenses'!X16/1000/'PIB corriente base 2004'!$X8</f>
        <v>0.00417343120345224</v>
      </c>
      <c r="Y43" s="774" t="n">
        <f aca="false">'Exogenous tax and expenses'!Y16/1000/'PIB corriente base 2004'!X8</f>
        <v>0.000602714526981359</v>
      </c>
      <c r="Z43" s="774"/>
      <c r="AA43" s="774" t="n">
        <f aca="false">'Exogenous tax and expenses'!AA16/1000/'PIB corriente base 2004'!X8</f>
        <v>0.00302886361525675</v>
      </c>
      <c r="AB43" s="774" t="n">
        <f aca="false">'Exogenous tax and expenses'!AB16/1000/'PIB corriente base 2004'!X8</f>
        <v>0.00321336233585605</v>
      </c>
      <c r="AC43" s="774"/>
      <c r="AD43" s="774"/>
      <c r="AE43" s="774"/>
      <c r="AF43" s="774"/>
      <c r="AG43" s="547"/>
      <c r="AH43" s="547"/>
      <c r="AM43" s="1" t="n">
        <f aca="false">'Exogenous tax and expenses'!AM42+1</f>
        <v>2005</v>
      </c>
      <c r="AN43" s="456" t="n">
        <f aca="false">'Exogenous tax and expenses'!AN17/1000/'PIB corriente base 2004'!X9</f>
        <v>0.0481434528335362</v>
      </c>
      <c r="AO43" s="456" t="n">
        <f aca="false">'Exogenous tax and expenses'!AO17/1000/'PIB corriente base 2004'!X9</f>
        <v>0.0632630282593313</v>
      </c>
      <c r="AP43" s="456" t="n">
        <f aca="false">'Exogenous tax and expenses'!AP17/1000/'PIB corriente base 2004'!X9</f>
        <v>0.0103295874494527</v>
      </c>
      <c r="AQ43" s="456" t="n">
        <f aca="false">'Exogenous tax and expenses'!AQ17/1000/'PIB corriente base 2004'!X9</f>
        <v>0.000673064923836706</v>
      </c>
      <c r="AR43" s="456" t="n">
        <f aca="false">'Exogenous tax and expenses'!AR17/1000/'PIB corriente base 2004'!X9</f>
        <v>0.0161951464097716</v>
      </c>
      <c r="AS43" s="456" t="n">
        <f aca="false">'Exogenous tax and expenses'!AS17/1000/'PIB corriente base 2004'!X9</f>
        <v>0.00129935175953096</v>
      </c>
      <c r="AT43" s="456" t="n">
        <f aca="false">'Exogenous tax and expenses'!AT17/1000/'PIB corriente base 2004'!X9</f>
        <v>0.0139841677041514</v>
      </c>
      <c r="AU43" s="456" t="n">
        <v>0</v>
      </c>
      <c r="AV43" s="456" t="n">
        <v>0</v>
      </c>
    </row>
    <row r="44" customFormat="false" ht="13.8" hidden="false" customHeight="false" outlineLevel="0" collapsed="false">
      <c r="A44" s="0" t="n">
        <f aca="false">'Cuenta Ahorro-Inversión-Financi'!AV84</f>
        <v>1996</v>
      </c>
      <c r="B44" s="1"/>
      <c r="C44" s="1"/>
      <c r="D44" s="745" t="n">
        <f aca="false">'Cuenta Ahorro-Inversión-Financi'!AW45</f>
        <v>-0.0232748001171907</v>
      </c>
      <c r="E44" s="745" t="n">
        <f aca="false">'Cuenta Ahorro-Inversión-Financi'!AX84</f>
        <v>-0.00528730473079139</v>
      </c>
      <c r="F44" s="1"/>
      <c r="G44" s="1"/>
      <c r="H44" s="1"/>
      <c r="I44" s="1"/>
      <c r="J44" s="1"/>
      <c r="K44" s="1"/>
      <c r="L44" s="1"/>
      <c r="M44" s="1"/>
      <c r="N44" s="1"/>
      <c r="O44" s="1"/>
      <c r="P44" s="1" t="n">
        <f aca="false">'Exogenous tax and expenses'!P43+1</f>
        <v>2005</v>
      </c>
      <c r="Q44" s="770" t="n">
        <f aca="false">'Exogenous tax and expenses'!Q17/1000/'PIB corriente base 2004'!X9</f>
        <v>0.00961880222981258</v>
      </c>
      <c r="R44" s="770" t="n">
        <f aca="false">'Exogenous tax and expenses'!R17/1000/'PIB corriente base 2004'!$X9</f>
        <v>0.000710855766254804</v>
      </c>
      <c r="S44" s="770" t="n">
        <f aca="false">'Exogenous tax and expenses'!S17/1000/'PIB corriente base 2004'!X9</f>
        <v>0.00652260800262183</v>
      </c>
      <c r="T44" s="770" t="n">
        <f aca="false">'Exogenous tax and expenses'!T17/1000/'PIB corriente base 2004'!X9</f>
        <v>0.0103295874494527</v>
      </c>
      <c r="U44" s="770" t="n">
        <f aca="false">'Exogenous tax and expenses'!U17/1000/'PIB corriente base 2004'!X9</f>
        <v>0.000673064923836705</v>
      </c>
      <c r="V44" s="770" t="n">
        <f aca="false">'Exogenous tax and expenses'!V17/1000/'PIB corriente base 2004'!X9</f>
        <v>0.0161951464097716</v>
      </c>
      <c r="W44" s="770" t="n">
        <f aca="false">'Exogenous tax and expenses'!W17/1000/'PIB corriente base 2004'!$X9</f>
        <v>0.0139841677041514</v>
      </c>
      <c r="X44" s="770" t="n">
        <f aca="false">'Exogenous tax and expenses'!X17/1000/'PIB corriente base 2004'!$X9</f>
        <v>0.00391930834033625</v>
      </c>
      <c r="Y44" s="771" t="n">
        <f aca="false">'Exogenous tax and expenses'!Y17/1000/'PIB corriente base 2004'!X9</f>
        <v>0.000760956650522766</v>
      </c>
      <c r="Z44" s="771"/>
      <c r="AA44" s="771" t="n">
        <f aca="false">'Exogenous tax and expenses'!AA17/1000/'PIB corriente base 2004'!X9</f>
        <v>0.00264026760171751</v>
      </c>
      <c r="AB44" s="771" t="n">
        <f aca="false">'Exogenous tax and expenses'!AB17/1000/'PIB corriente base 2004'!X9</f>
        <v>0.00333084778169366</v>
      </c>
      <c r="AC44" s="771"/>
      <c r="AD44" s="771"/>
      <c r="AE44" s="771"/>
      <c r="AF44" s="771"/>
      <c r="AG44" s="763"/>
      <c r="AH44" s="763"/>
      <c r="AM44" s="1" t="n">
        <f aca="false">'Exogenous tax and expenses'!AM43+1</f>
        <v>2006</v>
      </c>
      <c r="AN44" s="456" t="n">
        <f aca="false">'Exogenous tax and expenses'!AN18/1000/'PIB corriente base 2004'!X10</f>
        <v>0.0469547304071501</v>
      </c>
      <c r="AO44" s="456" t="n">
        <f aca="false">'Exogenous tax and expenses'!AO18/1000/'PIB corriente base 2004'!X10</f>
        <v>0.0657969380175761</v>
      </c>
      <c r="AP44" s="456" t="n">
        <f aca="false">'Exogenous tax and expenses'!AP18/1000/'PIB corriente base 2004'!X10</f>
        <v>0.00918087272210537</v>
      </c>
      <c r="AQ44" s="456" t="n">
        <f aca="false">'Exogenous tax and expenses'!AQ18/1000/'PIB corriente base 2004'!X10</f>
        <v>0.000556280415991224</v>
      </c>
      <c r="AR44" s="456" t="n">
        <f aca="false">'Exogenous tax and expenses'!AR18/1000/'PIB corriente base 2004'!X10</f>
        <v>0.0163229714661409</v>
      </c>
      <c r="AS44" s="456" t="n">
        <f aca="false">'Exogenous tax and expenses'!AS18/1000/'PIB corriente base 2004'!X10</f>
        <v>0.00121349464488595</v>
      </c>
      <c r="AT44" s="456" t="n">
        <f aca="false">'Exogenous tax and expenses'!AT18/1000/'PIB corriente base 2004'!X10</f>
        <v>0.0141131235333868</v>
      </c>
      <c r="AU44" s="456" t="n">
        <v>0</v>
      </c>
      <c r="AV44" s="456" t="n">
        <v>0</v>
      </c>
    </row>
    <row r="45" customFormat="false" ht="13.8" hidden="false" customHeight="false" outlineLevel="0" collapsed="false">
      <c r="A45" s="0" t="n">
        <f aca="false">'Cuenta Ahorro-Inversión-Financi'!AV85</f>
        <v>1997</v>
      </c>
      <c r="B45" s="1"/>
      <c r="C45" s="1"/>
      <c r="D45" s="744" t="n">
        <f aca="false">'Cuenta Ahorro-Inversión-Financi'!AW46</f>
        <v>-0.0208020897656273</v>
      </c>
      <c r="E45" s="744" t="n">
        <f aca="false">'Cuenta Ahorro-Inversión-Financi'!AX85</f>
        <v>-0.00315594528811225</v>
      </c>
      <c r="F45" s="1"/>
      <c r="G45" s="456"/>
      <c r="H45" s="1"/>
      <c r="I45" s="1"/>
      <c r="J45" s="1"/>
      <c r="K45" s="1"/>
      <c r="L45" s="1"/>
      <c r="M45" s="1"/>
      <c r="N45" s="1"/>
      <c r="O45" s="1"/>
      <c r="P45" s="1" t="n">
        <f aca="false">'Exogenous tax and expenses'!P44+1</f>
        <v>2006</v>
      </c>
      <c r="Q45" s="773" t="n">
        <f aca="false">'Exogenous tax and expenses'!Q18/1000/'PIB corriente base 2004'!X10</f>
        <v>0.00940560535877528</v>
      </c>
      <c r="R45" s="773" t="n">
        <f aca="false">'Exogenous tax and expenses'!R18/1000/'PIB corriente base 2004'!$X10</f>
        <v>0.000646805566494997</v>
      </c>
      <c r="S45" s="773" t="n">
        <f aca="false">'Exogenous tax and expenses'!S18/1000/'PIB corriente base 2004'!X10</f>
        <v>0.00678386170042615</v>
      </c>
      <c r="T45" s="773" t="n">
        <f aca="false">'Exogenous tax and expenses'!T18/1000/'PIB corriente base 2004'!X10</f>
        <v>0.00918087272210537</v>
      </c>
      <c r="U45" s="773" t="n">
        <f aca="false">'Exogenous tax and expenses'!U18/1000/'PIB corriente base 2004'!X10</f>
        <v>0.000556280415991225</v>
      </c>
      <c r="V45" s="773" t="n">
        <f aca="false">'Exogenous tax and expenses'!V18/1000/'PIB corriente base 2004'!X10</f>
        <v>0.0163229714661409</v>
      </c>
      <c r="W45" s="773" t="n">
        <f aca="false">'Exogenous tax and expenses'!W18/1000/'PIB corriente base 2004'!$X10</f>
        <v>0.0141131235333867</v>
      </c>
      <c r="X45" s="773" t="n">
        <f aca="false">'Exogenous tax and expenses'!X18/1000/'PIB corriente base 2004'!$X10</f>
        <v>0.00340537699689386</v>
      </c>
      <c r="Y45" s="774" t="n">
        <f aca="false">'Exogenous tax and expenses'!Y18/1000/'PIB corriente base 2004'!X10</f>
        <v>0.000833500270706357</v>
      </c>
      <c r="Z45" s="774"/>
      <c r="AA45" s="774" t="n">
        <f aca="false">'Exogenous tax and expenses'!AA18/1000/'PIB corriente base 2004'!X10</f>
        <v>0.00235497081001743</v>
      </c>
      <c r="AB45" s="774" t="n">
        <f aca="false">'Exogenous tax and expenses'!AB18/1000/'PIB corriente base 2004'!X10</f>
        <v>0.0039087534319118</v>
      </c>
      <c r="AC45" s="774"/>
      <c r="AD45" s="774"/>
      <c r="AE45" s="774"/>
      <c r="AF45" s="774"/>
      <c r="AG45" s="547"/>
      <c r="AH45" s="547"/>
      <c r="AM45" s="1" t="n">
        <f aca="false">'Exogenous tax and expenses'!AM44+1</f>
        <v>2007</v>
      </c>
      <c r="AN45" s="456" t="n">
        <f aca="false">'Exogenous tax and expenses'!AN19/1000/'PIB corriente base 2004'!X11</f>
        <v>0.0477768702872185</v>
      </c>
      <c r="AO45" s="456" t="n">
        <f aca="false">'Exogenous tax and expenses'!AO19/1000/'PIB corriente base 2004'!X11</f>
        <v>0.0698670042263012</v>
      </c>
      <c r="AP45" s="456" t="n">
        <f aca="false">'Exogenous tax and expenses'!AP19/1000/'PIB corriente base 2004'!X11</f>
        <v>0.00832312264618855</v>
      </c>
      <c r="AQ45" s="456" t="n">
        <f aca="false">'Exogenous tax and expenses'!AQ19/1000/'PIB corriente base 2004'!X11</f>
        <v>0.000498422632844237</v>
      </c>
      <c r="AR45" s="456" t="n">
        <f aca="false">'Exogenous tax and expenses'!AR19/1000/'PIB corriente base 2004'!X11</f>
        <v>0.0167951995322389</v>
      </c>
      <c r="AS45" s="456" t="n">
        <f aca="false">'Exogenous tax and expenses'!AS19/1000/'PIB corriente base 2004'!X11</f>
        <v>0.00118545318027817</v>
      </c>
      <c r="AT45" s="456" t="n">
        <f aca="false">'Exogenous tax and expenses'!AT19/1000/'PIB corriente base 2004'!X11</f>
        <v>0.0149072962567154</v>
      </c>
      <c r="AU45" s="456" t="n">
        <v>0</v>
      </c>
      <c r="AV45" s="456" t="n">
        <v>0</v>
      </c>
    </row>
    <row r="46" customFormat="false" ht="13.8" hidden="false" customHeight="false" outlineLevel="0" collapsed="false">
      <c r="A46" s="0" t="n">
        <f aca="false">'Cuenta Ahorro-Inversión-Financi'!AV86</f>
        <v>1998</v>
      </c>
      <c r="B46" s="1"/>
      <c r="C46" s="1"/>
      <c r="D46" s="745" t="n">
        <f aca="false">'Cuenta Ahorro-Inversión-Financi'!AW47</f>
        <v>-0.0271450823041349</v>
      </c>
      <c r="E46" s="745" t="n">
        <f aca="false">'Cuenta Ahorro-Inversión-Financi'!AX86</f>
        <v>-0.00266006212398561</v>
      </c>
      <c r="F46" s="1"/>
      <c r="G46" s="28"/>
      <c r="H46" s="1"/>
      <c r="I46" s="1"/>
      <c r="J46" s="1"/>
      <c r="K46" s="1"/>
      <c r="L46" s="1"/>
      <c r="M46" s="1"/>
      <c r="N46" s="456" t="n">
        <f aca="false">Q44+R44+T44+U44+X44</f>
        <v>0.025251618709693</v>
      </c>
      <c r="O46" s="1"/>
      <c r="P46" s="1" t="n">
        <f aca="false">'Exogenous tax and expenses'!P45+1</f>
        <v>2007</v>
      </c>
      <c r="Q46" s="770" t="n">
        <f aca="false">'Exogenous tax and expenses'!Q19/1000/'PIB corriente base 2004'!X11</f>
        <v>0.00946369367588668</v>
      </c>
      <c r="R46" s="770" t="n">
        <f aca="false">'Exogenous tax and expenses'!R19/1000/'PIB corriente base 2004'!$X11</f>
        <v>0.000585475875391982</v>
      </c>
      <c r="S46" s="770" t="n">
        <f aca="false">'Exogenous tax and expenses'!S19/1000/'PIB corriente base 2004'!X11</f>
        <v>0.00720349773674433</v>
      </c>
      <c r="T46" s="770" t="n">
        <f aca="false">'Exogenous tax and expenses'!T19/1000/'PIB corriente base 2004'!X11</f>
        <v>0.00832312264618854</v>
      </c>
      <c r="U46" s="770" t="n">
        <f aca="false">'Exogenous tax and expenses'!U19/1000/'PIB corriente base 2004'!X11</f>
        <v>0.000498422632844237</v>
      </c>
      <c r="V46" s="770" t="n">
        <f aca="false">'Exogenous tax and expenses'!V19/1000/'PIB corriente base 2004'!X11</f>
        <v>0.0167951995322389</v>
      </c>
      <c r="W46" s="770" t="n">
        <f aca="false">'Exogenous tax and expenses'!W19/1000/'PIB corriente base 2004'!$X11</f>
        <v>0.0149072962567154</v>
      </c>
      <c r="X46" s="770" t="n">
        <f aca="false">'Exogenous tax and expenses'!X19/1000/'PIB corriente base 2004'!$X11</f>
        <v>0.00301491612895818</v>
      </c>
      <c r="Y46" s="771" t="n">
        <f aca="false">'Exogenous tax and expenses'!Y19/1000/'PIB corriente base 2004'!X11</f>
        <v>0.000934433666315139</v>
      </c>
      <c r="Z46" s="771"/>
      <c r="AA46" s="771" t="n">
        <f aca="false">'Exogenous tax and expenses'!AA19/1000/'PIB corriente base 2004'!X11</f>
        <v>0.00229652373770847</v>
      </c>
      <c r="AB46" s="771" t="n">
        <f aca="false">'Exogenous tax and expenses'!AB19/1000/'PIB corriente base 2004'!X11</f>
        <v>0.00464810842100707</v>
      </c>
      <c r="AC46" s="771"/>
      <c r="AD46" s="771"/>
      <c r="AE46" s="771"/>
      <c r="AF46" s="771"/>
      <c r="AG46" s="763"/>
      <c r="AH46" s="763"/>
      <c r="AM46" s="1" t="n">
        <f aca="false">'Exogenous tax and expenses'!AM45+1</f>
        <v>2008</v>
      </c>
      <c r="AN46" s="456" t="n">
        <f aca="false">'Exogenous tax and expenses'!AN20/1000/'PIB corriente base 2004'!X12</f>
        <v>0.0466630564489421</v>
      </c>
      <c r="AO46" s="456" t="n">
        <f aca="false">'Exogenous tax and expenses'!AO20/1000/'PIB corriente base 2004'!X12</f>
        <v>0.069785741435471</v>
      </c>
      <c r="AP46" s="456" t="n">
        <f aca="false">'Exogenous tax and expenses'!AP20/1000/'PIB corriente base 2004'!X12</f>
        <v>0.00843202971714428</v>
      </c>
      <c r="AQ46" s="456" t="n">
        <f aca="false">'Exogenous tax and expenses'!AQ20/1000/'PIB corriente base 2004'!X12</f>
        <v>0.000482842659516368</v>
      </c>
      <c r="AR46" s="456" t="n">
        <f aca="false">'Exogenous tax and expenses'!AR20/1000/'PIB corriente base 2004'!X12</f>
        <v>0.0169575290688832</v>
      </c>
      <c r="AS46" s="456" t="n">
        <f aca="false">'Exogenous tax and expenses'!AS20/1000/'PIB corriente base 2004'!X12</f>
        <v>0.00117837046643829</v>
      </c>
      <c r="AT46" s="456" t="n">
        <f aca="false">'Exogenous tax and expenses'!AT20/1000/'PIB corriente base 2004'!X12</f>
        <v>0.0145730376476074</v>
      </c>
      <c r="AU46" s="456" t="n">
        <f aca="false">'Exogenous tax and expenses'!AU20/1000/'PIB corriente base 2004'!X12</f>
        <v>0.000971980550364603</v>
      </c>
      <c r="AV46" s="456" t="n">
        <f aca="false">'Exogenous tax and expenses'!AV20/1000/'PIB corriente base 2004'!X12</f>
        <v>0.0854384673722804</v>
      </c>
    </row>
    <row r="47" customFormat="false" ht="13.8" hidden="false" customHeight="false" outlineLevel="0" collapsed="false">
      <c r="A47" s="0" t="n">
        <f aca="false">'Cuenta Ahorro-Inversión-Financi'!AV87</f>
        <v>1999</v>
      </c>
      <c r="B47" s="1"/>
      <c r="C47" s="1"/>
      <c r="D47" s="744" t="n">
        <f aca="false">'Cuenta Ahorro-Inversión-Financi'!AW48</f>
        <v>-0.0321516368666459</v>
      </c>
      <c r="E47" s="744" t="n">
        <f aca="false">'Cuenta Ahorro-Inversión-Financi'!AX87</f>
        <v>-0.0077596880146275</v>
      </c>
      <c r="F47" s="28"/>
      <c r="G47" s="28"/>
      <c r="H47" s="28"/>
      <c r="I47" s="28"/>
      <c r="J47" s="28"/>
      <c r="K47" s="28"/>
      <c r="L47" s="28"/>
      <c r="M47" s="1"/>
      <c r="N47" s="456" t="n">
        <f aca="false">Q45+R45+T45+U45+X45</f>
        <v>0.0231949410602607</v>
      </c>
      <c r="O47" s="1"/>
      <c r="P47" s="1" t="n">
        <f aca="false">'Exogenous tax and expenses'!P46+1</f>
        <v>2008</v>
      </c>
      <c r="Q47" s="773" t="n">
        <f aca="false">'Exogenous tax and expenses'!Q20/1000/'PIB corriente base 2004'!X12</f>
        <v>0.00933824001867381</v>
      </c>
      <c r="R47" s="773" t="n">
        <f aca="false">'Exogenous tax and expenses'!R20/1000/'PIB corriente base 2004'!$X12</f>
        <v>0.000617660986798565</v>
      </c>
      <c r="S47" s="773" t="n">
        <f aca="false">'Exogenous tax and expenses'!S20/1000/'PIB corriente base 2004'!X12</f>
        <v>0.0071951192992214</v>
      </c>
      <c r="T47" s="773" t="n">
        <f aca="false">'Exogenous tax and expenses'!T20/1000/'PIB corriente base 2004'!X12</f>
        <v>0.00843202971714432</v>
      </c>
      <c r="U47" s="773" t="n">
        <f aca="false">'Exogenous tax and expenses'!U20/1000/'PIB corriente base 2004'!X12</f>
        <v>0.00048284265951637</v>
      </c>
      <c r="V47" s="773" t="n">
        <f aca="false">'Exogenous tax and expenses'!V20/1000/'PIB corriente base 2004'!X12</f>
        <v>0.0169575290688833</v>
      </c>
      <c r="W47" s="773" t="n">
        <f aca="false">'Exogenous tax and expenses'!W20/1000/'PIB corriente base 2004'!$X12</f>
        <v>0.0145730376476074</v>
      </c>
      <c r="X47" s="773" t="n">
        <f aca="false">'Exogenous tax and expenses'!X20/1000/'PIB corriente base 2004'!$X12</f>
        <v>0.00284428582324503</v>
      </c>
      <c r="Y47" s="774" t="n">
        <f aca="false">'Exogenous tax and expenses'!Y20/1000/'PIB corriente base 2004'!X12</f>
        <v>0.00110112913760037</v>
      </c>
      <c r="Z47" s="774"/>
      <c r="AA47" s="774" t="n">
        <f aca="false">'Exogenous tax and expenses'!AA20/1000/'PIB corriente base 2004'!X12</f>
        <v>0.00219840306175176</v>
      </c>
      <c r="AB47" s="774" t="n">
        <f aca="false">'Exogenous tax and expenses'!AB20/1000/'PIB corriente base 2004'!X12</f>
        <v>0.00535631443145592</v>
      </c>
      <c r="AC47" s="774" t="n">
        <f aca="false">'Exogenous tax and expenses'!AC20/1000/'PIB corriente base 2004'!X12</f>
        <v>0.00116689653702815</v>
      </c>
      <c r="AD47" s="774"/>
      <c r="AE47" s="774"/>
      <c r="AF47" s="774"/>
      <c r="AG47" s="774" t="n">
        <f aca="false">'Exogenous tax and expenses'!AG20/1000/'PIB corriente base 2004'!X11</f>
        <v>0.00124577295256966</v>
      </c>
      <c r="AH47" s="774" t="n">
        <f aca="false">'Exogenous tax and expenses'!AH20/1000/'PIB corriente base 2004'!X11</f>
        <v>0.109505207405093</v>
      </c>
      <c r="AM47" s="1" t="n">
        <f aca="false">'Exogenous tax and expenses'!AM46+1</f>
        <v>2009</v>
      </c>
      <c r="AN47" s="456" t="n">
        <f aca="false">'Exogenous tax and expenses'!AN21/1000/'PIB corriente base 2004'!X13</f>
        <v>0.0445155485838178</v>
      </c>
      <c r="AO47" s="456" t="n">
        <f aca="false">'Exogenous tax and expenses'!AO21/1000/'PIB corriente base 2004'!X13</f>
        <v>0.0700245880724274</v>
      </c>
      <c r="AP47" s="456" t="n">
        <f aca="false">'Exogenous tax and expenses'!AP21/1000/'PIB corriente base 2004'!X13</f>
        <v>0.00929001289471043</v>
      </c>
      <c r="AQ47" s="456" t="n">
        <f aca="false">'Exogenous tax and expenses'!AQ21/1000/'PIB corriente base 2004'!X13</f>
        <v>0.000527581984327637</v>
      </c>
      <c r="AR47" s="456" t="n">
        <f aca="false">'Exogenous tax and expenses'!AR21/1000/'PIB corriente base 2004'!X13</f>
        <v>0.0164764714731884</v>
      </c>
      <c r="AS47" s="456" t="n">
        <f aca="false">'Exogenous tax and expenses'!AS21/1000/'PIB corriente base 2004'!X13</f>
        <v>0.00124193336801456</v>
      </c>
      <c r="AT47" s="456" t="n">
        <f aca="false">'Exogenous tax and expenses'!AT21/1000/'PIB corriente base 2004'!X13</f>
        <v>0.0146173597980544</v>
      </c>
      <c r="AU47" s="456" t="n">
        <f aca="false">'Exogenous tax and expenses'!AU21/1000/'PIB corriente base 2004'!X13</f>
        <v>0.00680095700317286</v>
      </c>
      <c r="AV47" s="456" t="n">
        <f aca="false">'Exogenous tax and expenses'!AV21/1000/'PIB corriente base 2004'!X13</f>
        <v>0.108734273330961</v>
      </c>
    </row>
    <row r="48" customFormat="false" ht="13.8" hidden="false" customHeight="false" outlineLevel="0" collapsed="false">
      <c r="A48" s="0" t="n">
        <f aca="false">'Cuenta Ahorro-Inversión-Financi'!AV88</f>
        <v>2000</v>
      </c>
      <c r="B48" s="1"/>
      <c r="C48" s="1"/>
      <c r="D48" s="745" t="n">
        <f aca="false">'Cuenta Ahorro-Inversión-Financi'!AW49</f>
        <v>-0.0337754965366008</v>
      </c>
      <c r="E48" s="745" t="n">
        <f aca="false">'Cuenta Ahorro-Inversión-Financi'!AX88</f>
        <v>-0.00673854445377408</v>
      </c>
      <c r="F48" s="456"/>
      <c r="G48" s="456"/>
      <c r="H48" s="456"/>
      <c r="I48" s="456"/>
      <c r="J48" s="456"/>
      <c r="K48" s="456"/>
      <c r="L48" s="456"/>
      <c r="M48" s="28"/>
      <c r="N48" s="456" t="n">
        <f aca="false">Q46+R46+T46+U46+X46</f>
        <v>0.0218856309592696</v>
      </c>
      <c r="O48" s="1"/>
      <c r="P48" s="1" t="n">
        <f aca="false">'Exogenous tax and expenses'!P47+1</f>
        <v>2009</v>
      </c>
      <c r="Q48" s="770" t="n">
        <f aca="false">'Exogenous tax and expenses'!Q21/1000/'PIB corriente base 2004'!X13</f>
        <v>0.00889702416448981</v>
      </c>
      <c r="R48" s="770" t="n">
        <f aca="false">'Exogenous tax and expenses'!R21/1000/'PIB corriente base 2004'!$X13</f>
        <v>0.000721273651010169</v>
      </c>
      <c r="S48" s="770" t="n">
        <f aca="false">'Exogenous tax and expenses'!S21/1000/'PIB corriente base 2004'!X13</f>
        <v>0.00721974510403148</v>
      </c>
      <c r="T48" s="770" t="n">
        <f aca="false">'Exogenous tax and expenses'!T21/1000/'PIB corriente base 2004'!X13</f>
        <v>0.00929001289471043</v>
      </c>
      <c r="U48" s="770" t="n">
        <f aca="false">'Exogenous tax and expenses'!U21/1000/'PIB corriente base 2004'!X13</f>
        <v>0.000527581984327637</v>
      </c>
      <c r="V48" s="770" t="n">
        <f aca="false">'Exogenous tax and expenses'!V21/1000/'PIB corriente base 2004'!X13</f>
        <v>0.0164764714731884</v>
      </c>
      <c r="W48" s="770" t="n">
        <f aca="false">'Exogenous tax and expenses'!W21/1000/'PIB corriente base 2004'!$X13</f>
        <v>0.0146173597980544</v>
      </c>
      <c r="X48" s="770" t="n">
        <f aca="false">'Exogenous tax and expenses'!X21/1000/'PIB corriente base 2004'!$X13</f>
        <v>0.00305021267213239</v>
      </c>
      <c r="Y48" s="771" t="n">
        <f aca="false">'Exogenous tax and expenses'!Y21/1000/'PIB corriente base 2004'!$X13</f>
        <v>0.00177774684905904</v>
      </c>
      <c r="Z48" s="771"/>
      <c r="AA48" s="771" t="n">
        <f aca="false">'Exogenous tax and expenses'!AA21/1000/'PIB corriente base 2004'!X13</f>
        <v>0.00276402623901215</v>
      </c>
      <c r="AB48" s="771" t="n">
        <f aca="false">'Exogenous tax and expenses'!AB21/1000/'PIB corriente base 2004'!X13</f>
        <v>0.00686863836330536</v>
      </c>
      <c r="AC48" s="771" t="n">
        <f aca="false">'Exogenous tax and expenses'!AC21/1000/'PIB corriente base 2004'!X13</f>
        <v>0.00167502693461996</v>
      </c>
      <c r="AD48" s="771"/>
      <c r="AE48" s="771"/>
      <c r="AF48" s="771"/>
      <c r="AG48" s="775" t="n">
        <f aca="false">'Exogenous tax and expenses'!AG21/1000/'PIB corriente base 2004'!X12</f>
        <v>0.00738237042727766</v>
      </c>
      <c r="AH48" s="775" t="n">
        <f aca="false">'Exogenous tax and expenses'!AH21/1000/'PIB corriente base 2004'!X12</f>
        <v>0.11802996012113</v>
      </c>
      <c r="AM48" s="1" t="n">
        <f aca="false">'Exogenous tax and expenses'!AM47+1</f>
        <v>2010</v>
      </c>
      <c r="AN48" s="456" t="n">
        <f aca="false">'Exogenous tax and expenses'!AN22/1000/'PIB corriente base 2004'!X14</f>
        <v>0.0461278586573907</v>
      </c>
      <c r="AO48" s="456" t="n">
        <f aca="false">'Exogenous tax and expenses'!AO22/1000/'PIB corriente base 2004'!X14</f>
        <v>0.0700394303176041</v>
      </c>
      <c r="AP48" s="456" t="n">
        <f aca="false">'Exogenous tax and expenses'!AP22/1000/'PIB corriente base 2004'!X14</f>
        <v>0.00918867167260385</v>
      </c>
      <c r="AQ48" s="456" t="n">
        <f aca="false">'Exogenous tax and expenses'!AQ22/1000/'PIB corriente base 2004'!X14</f>
        <v>0.000464277718330744</v>
      </c>
      <c r="AR48" s="456" t="n">
        <f aca="false">'Exogenous tax and expenses'!AR22/1000/'PIB corriente base 2004'!X14</f>
        <v>0.0161788496372926</v>
      </c>
      <c r="AS48" s="456" t="n">
        <f aca="false">'Exogenous tax and expenses'!AS22/1000/'PIB corriente base 2004'!X14</f>
        <v>0.0012592686096256</v>
      </c>
      <c r="AT48" s="456" t="n">
        <f aca="false">'Exogenous tax and expenses'!AT22/1000/'PIB corriente base 2004'!X14</f>
        <v>0.0147442218942046</v>
      </c>
      <c r="AU48" s="456" t="n">
        <f aca="false">'Exogenous tax and expenses'!AU22/1000/'PIB corriente base 2004'!X14</f>
        <v>0.00524439899269864</v>
      </c>
      <c r="AV48" s="456" t="n">
        <f aca="false">'Exogenous tax and expenses'!AV22/1000/'PIB corriente base 2004'!X14</f>
        <v>0.107127494888355</v>
      </c>
    </row>
    <row r="49" customFormat="false" ht="13.8" hidden="false" customHeight="false" outlineLevel="0" collapsed="false">
      <c r="A49" s="0" t="n">
        <f aca="false">'Cuenta Ahorro-Inversión-Financi'!AV89</f>
        <v>2001</v>
      </c>
      <c r="B49" s="1"/>
      <c r="C49" s="1"/>
      <c r="D49" s="744" t="n">
        <f aca="false">'Cuenta Ahorro-Inversión-Financi'!AW50</f>
        <v>-0.0343324976529175</v>
      </c>
      <c r="E49" s="744" t="n">
        <f aca="false">'Cuenta Ahorro-Inversión-Financi'!AX89</f>
        <v>-0.0101649287372602</v>
      </c>
      <c r="F49" s="1"/>
      <c r="G49" s="456"/>
      <c r="H49" s="1"/>
      <c r="I49" s="1"/>
      <c r="J49" s="1"/>
      <c r="K49" s="1"/>
      <c r="L49" s="1"/>
      <c r="M49" s="1"/>
      <c r="N49" s="456" t="n">
        <f aca="false">Q47+R47+T47+U47+X47</f>
        <v>0.0217150592053781</v>
      </c>
      <c r="O49" s="1"/>
      <c r="P49" s="1" t="n">
        <f aca="false">'Exogenous tax and expenses'!P48+1</f>
        <v>2010</v>
      </c>
      <c r="Q49" s="773" t="n">
        <f aca="false">'Exogenous tax and expenses'!Q22/1000/'PIB corriente base 2004'!X14</f>
        <v>0.00918548780578398</v>
      </c>
      <c r="R49" s="773" t="n">
        <f aca="false">'Exogenous tax and expenses'!R22/1000/'PIB corriente base 2004'!$X14</f>
        <v>0.000880412575395823</v>
      </c>
      <c r="S49" s="773" t="n">
        <f aca="false">'Exogenous tax and expenses'!S22/1000/'PIB corriente base 2004'!X14</f>
        <v>0.00706586756938487</v>
      </c>
      <c r="T49" s="773" t="n">
        <f aca="false">'Exogenous tax and expenses'!T22/1000/'PIB corriente base 2004'!X14</f>
        <v>0.00918867167260385</v>
      </c>
      <c r="U49" s="773" t="n">
        <f aca="false">'Exogenous tax and expenses'!U22/1000/'PIB corriente base 2004'!X14</f>
        <v>0.000464277718330744</v>
      </c>
      <c r="V49" s="773" t="n">
        <f aca="false">'Exogenous tax and expenses'!V22/1000/'PIB corriente base 2004'!X14</f>
        <v>0.0161788496372926</v>
      </c>
      <c r="W49" s="773" t="n">
        <f aca="false">'Exogenous tax and expenses'!W22/1000/'PIB corriente base 2004'!$X14</f>
        <v>0.0147442218942046</v>
      </c>
      <c r="X49" s="773" t="n">
        <f aca="false">'Exogenous tax and expenses'!X22/1000/'PIB corriente base 2004'!$X14</f>
        <v>0.0029853388270838</v>
      </c>
      <c r="Y49" s="774" t="n">
        <f aca="false">'Exogenous tax and expenses'!Y22/1000/'PIB corriente base 2004'!X14</f>
        <v>0.00192822845700678</v>
      </c>
      <c r="Z49" s="774"/>
      <c r="AA49" s="774" t="n">
        <f aca="false">'Exogenous tax and expenses'!AA22/1000/'PIB corriente base 2004'!X14</f>
        <v>0.00275355246129494</v>
      </c>
      <c r="AB49" s="774" t="n">
        <f aca="false">'Exogenous tax and expenses'!AB22/1000/'PIB corriente base 2004'!X14</f>
        <v>0.00721003836197678</v>
      </c>
      <c r="AC49" s="774" t="n">
        <f aca="false">'Exogenous tax and expenses'!AC22/1000/'PIB corriente base 2004'!X14</f>
        <v>0.00129161278918117</v>
      </c>
      <c r="AD49" s="774"/>
      <c r="AE49" s="774"/>
      <c r="AF49" s="774"/>
      <c r="AG49" s="774" t="n">
        <f aca="false">'Exogenous tax and expenses'!AG22/1000/'PIB corriente base 2004'!X13</f>
        <v>0.00698335055293395</v>
      </c>
      <c r="AH49" s="774" t="n">
        <f aca="false">'Exogenous tax and expenses'!AH22/1000/'PIB corriente base 2004'!X13</f>
        <v>0.142649110356507</v>
      </c>
      <c r="AM49" s="1" t="n">
        <f aca="false">'Exogenous tax and expenses'!AM48+1</f>
        <v>2011</v>
      </c>
      <c r="AN49" s="456" t="n">
        <f aca="false">'Exogenous tax and expenses'!AN23/1000/'PIB corriente base 2004'!X15</f>
        <v>0.0498378511825774</v>
      </c>
      <c r="AO49" s="456" t="n">
        <f aca="false">'Exogenous tax and expenses'!AO23/1000/'PIB corriente base 2004'!X15</f>
        <v>0.0707825433151493</v>
      </c>
      <c r="AP49" s="456" t="n">
        <f aca="false">'Exogenous tax and expenses'!AP23/1000/'PIB corriente base 2004'!X15</f>
        <v>0.00832091621647901</v>
      </c>
      <c r="AQ49" s="456" t="n">
        <f aca="false">'Exogenous tax and expenses'!AQ23/1000/'PIB corriente base 2004'!X15</f>
        <v>0.000464932901986688</v>
      </c>
      <c r="AR49" s="456" t="n">
        <f aca="false">'Exogenous tax and expenses'!AR23/1000/'PIB corriente base 2004'!X15</f>
        <v>0.0166034992177078</v>
      </c>
      <c r="AS49" s="456" t="n">
        <f aca="false">'Exogenous tax and expenses'!AS23/1000/'PIB corriente base 2004'!X15</f>
        <v>0.00136897843168854</v>
      </c>
      <c r="AT49" s="456" t="n">
        <f aca="false">'Exogenous tax and expenses'!AT23/1000/'PIB corriente base 2004'!X15</f>
        <v>0.0148856065446608</v>
      </c>
      <c r="AU49" s="456" t="n">
        <f aca="false">'Exogenous tax and expenses'!AU23/1000/'PIB corriente base 2004'!X15</f>
        <v>0.00506588207799854</v>
      </c>
      <c r="AV49" s="456" t="n">
        <f aca="false">'Exogenous tax and expenses'!AV23/1000/'PIB corriente base 2004'!X15</f>
        <v>0.0915501575533752</v>
      </c>
    </row>
    <row r="50" customFormat="false" ht="13.8" hidden="false" customHeight="false" outlineLevel="0" collapsed="false">
      <c r="A50" s="0" t="n">
        <f aca="false">'Cuenta Ahorro-Inversión-Financi'!AV90</f>
        <v>2002</v>
      </c>
      <c r="B50" s="1"/>
      <c r="C50" s="1"/>
      <c r="D50" s="745" t="n">
        <f aca="false">'Cuenta Ahorro-Inversión-Financi'!AW51</f>
        <v>-0.0297003395722639</v>
      </c>
      <c r="E50" s="745" t="n">
        <f aca="false">'Cuenta Ahorro-Inversión-Financi'!AX90</f>
        <v>-0.0114398617982835</v>
      </c>
      <c r="F50" s="1"/>
      <c r="G50" s="1"/>
      <c r="H50" s="1"/>
      <c r="I50" s="1"/>
      <c r="J50" s="1"/>
      <c r="K50" s="1"/>
      <c r="L50" s="1"/>
      <c r="M50" s="1"/>
      <c r="N50" s="456" t="n">
        <f aca="false">Q48+R48+T48+U48+X48</f>
        <v>0.0224861053666704</v>
      </c>
      <c r="O50" s="1"/>
      <c r="P50" s="1" t="n">
        <f aca="false">'Exogenous tax and expenses'!P49+1</f>
        <v>2011</v>
      </c>
      <c r="Q50" s="770" t="n">
        <f aca="false">'Exogenous tax and expenses'!Q23/1000/'PIB corriente base 2004'!X15</f>
        <v>0.00989536698334916</v>
      </c>
      <c r="R50" s="770" t="n">
        <f aca="false">'Exogenous tax and expenses'!R23/1000/'PIB corriente base 2004'!$X15</f>
        <v>0.000957125713536114</v>
      </c>
      <c r="S50" s="770" t="n">
        <f aca="false">'Exogenous tax and expenses'!S23/1000/'PIB corriente base 2004'!X15</f>
        <v>0.00698913792400185</v>
      </c>
      <c r="T50" s="770" t="n">
        <f aca="false">'Exogenous tax and expenses'!T23/1000/'PIB corriente base 2004'!X15</f>
        <v>0.00832091621647902</v>
      </c>
      <c r="U50" s="770" t="n">
        <f aca="false">'Exogenous tax and expenses'!U23/1000/'PIB corriente base 2004'!X15</f>
        <v>0.000464932901986689</v>
      </c>
      <c r="V50" s="770" t="n">
        <f aca="false">'Exogenous tax and expenses'!V23/1000/'PIB corriente base 2004'!X15</f>
        <v>0.0166034992177078</v>
      </c>
      <c r="W50" s="770" t="n">
        <f aca="false">'Exogenous tax and expenses'!W23/1000/'PIB corriente base 2004'!$X15</f>
        <v>0.0148856065446608</v>
      </c>
      <c r="X50" s="770" t="n">
        <f aca="false">'Exogenous tax and expenses'!X23/1000/'PIB corriente base 2004'!$X15</f>
        <v>0.00262273372308156</v>
      </c>
      <c r="Y50" s="771" t="n">
        <f aca="false">'Exogenous tax and expenses'!Y23/1000/'PIB corriente base 2004'!X15</f>
        <v>0.00218872405220907</v>
      </c>
      <c r="Z50" s="771" t="n">
        <f aca="false">'Exogenous tax and expenses'!Z23/1000/'PIB corriente base 2004'!$X15</f>
        <v>0.000334864926640407</v>
      </c>
      <c r="AA50" s="771" t="n">
        <f aca="false">'Exogenous tax and expenses'!AA23/1000/'PIB corriente base 2004'!X15</f>
        <v>0.00246448878022597</v>
      </c>
      <c r="AB50" s="771" t="n">
        <f aca="false">'Exogenous tax and expenses'!AB23/1000/'PIB corriente base 2004'!X15</f>
        <v>0.00805996363631594</v>
      </c>
      <c r="AC50" s="771" t="n">
        <f aca="false">'Exogenous tax and expenses'!AC23/1000/'PIB corriente base 2004'!X15</f>
        <v>0.00103133324512357</v>
      </c>
      <c r="AD50" s="771"/>
      <c r="AE50" s="771" t="n">
        <f aca="false">'Exogenous tax and expenses'!AE23/1000/'PIB corriente base 2004'!$X15</f>
        <v>0.000328908706794847</v>
      </c>
      <c r="AF50" s="771"/>
      <c r="AG50" s="775" t="n">
        <f aca="false">'Exogenous tax and expenses'!AG23/1000/'PIB corriente base 2004'!X14</f>
        <v>0.00664291998840613</v>
      </c>
      <c r="AH50" s="775" t="n">
        <f aca="false">'Exogenous tax and expenses'!AH23/1000/'PIB corriente base 2004'!X14</f>
        <v>0.12005024242359</v>
      </c>
      <c r="AM50" s="1" t="n">
        <f aca="false">'Exogenous tax and expenses'!AM49+1</f>
        <v>2012</v>
      </c>
      <c r="AN50" s="456" t="n">
        <f aca="false">'Exogenous tax and expenses'!AN24/1000/'PIB corriente base 2004'!X16</f>
        <v>0.0524807135521576</v>
      </c>
      <c r="AO50" s="456" t="n">
        <f aca="false">'Exogenous tax and expenses'!AO24/1000/'PIB corriente base 2004'!X16</f>
        <v>0.0722148073493733</v>
      </c>
      <c r="AP50" s="456" t="n">
        <f aca="false">'Exogenous tax and expenses'!AP24/1000/'PIB corriente base 2004'!X16</f>
        <v>0.00977492385410648</v>
      </c>
      <c r="AQ50" s="456" t="n">
        <f aca="false">'Exogenous tax and expenses'!AQ24/1000/'PIB corriente base 2004'!X16</f>
        <v>0.000465936368934656</v>
      </c>
      <c r="AR50" s="456" t="n">
        <f aca="false">'Exogenous tax and expenses'!AR24/1000/'PIB corriente base 2004'!X16</f>
        <v>0.0166537766309987</v>
      </c>
      <c r="AS50" s="456" t="n">
        <f aca="false">'Exogenous tax and expenses'!AS24/1000/'PIB corriente base 2004'!X16</f>
        <v>0.00145005000924785</v>
      </c>
      <c r="AT50" s="456" t="n">
        <f aca="false">'Exogenous tax and expenses'!AT24/1000/'PIB corriente base 2004'!X16</f>
        <v>0.0155583049965991</v>
      </c>
      <c r="AU50" s="456" t="n">
        <f aca="false">'Exogenous tax and expenses'!AU24/1000/'PIB corriente base 2004'!X16</f>
        <v>0.00657689666047515</v>
      </c>
      <c r="AV50" s="456" t="n">
        <f aca="false">'Exogenous tax and expenses'!AV24/1000/'PIB corriente base 2004'!X16</f>
        <v>0.0928002255136563</v>
      </c>
    </row>
    <row r="51" customFormat="false" ht="13.8" hidden="false" customHeight="false" outlineLevel="0" collapsed="false">
      <c r="A51" s="0" t="n">
        <f aca="false">'Cuenta Ahorro-Inversión-Financi'!AV91</f>
        <v>2003</v>
      </c>
      <c r="B51" s="1"/>
      <c r="C51" s="1"/>
      <c r="D51" s="744" t="n">
        <f aca="false">'Cuenta Ahorro-Inversión-Financi'!AW52</f>
        <v>-0.0277579380361316</v>
      </c>
      <c r="E51" s="744" t="n">
        <f aca="false">'Cuenta Ahorro-Inversión-Financi'!AX91</f>
        <v>-0.00492707399415027</v>
      </c>
      <c r="F51" s="1"/>
      <c r="G51" s="1"/>
      <c r="H51" s="1"/>
      <c r="I51" s="1"/>
      <c r="J51" s="1"/>
      <c r="K51" s="1"/>
      <c r="L51" s="1"/>
      <c r="M51" s="1"/>
      <c r="N51" s="456" t="n">
        <f aca="false">Q49+R49+T49+U49+X49</f>
        <v>0.0227041885991982</v>
      </c>
      <c r="O51" s="1"/>
      <c r="P51" s="1" t="n">
        <f aca="false">'Exogenous tax and expenses'!P50+1</f>
        <v>2012</v>
      </c>
      <c r="Q51" s="773" t="n">
        <f aca="false">'Exogenous tax and expenses'!Q24/1000/'PIB corriente base 2004'!X16</f>
        <v>0.0104606643560655</v>
      </c>
      <c r="R51" s="773" t="n">
        <f aca="false">'Exogenous tax and expenses'!R24/1000/'PIB corriente base 2004'!$X16</f>
        <v>0.00101322490187011</v>
      </c>
      <c r="S51" s="773" t="n">
        <f aca="false">'Exogenous tax and expenses'!S24/1000/'PIB corriente base 2004'!X16</f>
        <v>0.00732161894258414</v>
      </c>
      <c r="T51" s="773" t="n">
        <f aca="false">'Exogenous tax and expenses'!T24/1000/'PIB corriente base 2004'!X16</f>
        <v>0.00977492385410648</v>
      </c>
      <c r="U51" s="773" t="n">
        <f aca="false">'Exogenous tax and expenses'!U24/1000/'PIB corriente base 2004'!X16</f>
        <v>0.000465936368934656</v>
      </c>
      <c r="V51" s="773" t="n">
        <f aca="false">'Exogenous tax and expenses'!V24/1000/'PIB corriente base 2004'!X16</f>
        <v>0.0166537766309987</v>
      </c>
      <c r="W51" s="773" t="n">
        <f aca="false">'Exogenous tax and expenses'!W24/1000/'PIB corriente base 2004'!$X16</f>
        <v>0.0155583049965991</v>
      </c>
      <c r="X51" s="773" t="n">
        <f aca="false">'Exogenous tax and expenses'!X24/1000/'PIB corriente base 2004'!$X16</f>
        <v>0.00312314975925886</v>
      </c>
      <c r="Y51" s="774" t="n">
        <f aca="false">'Exogenous tax and expenses'!Y24/1000/'PIB corriente base 2004'!X16</f>
        <v>0.00236486388288229</v>
      </c>
      <c r="Z51" s="774" t="n">
        <f aca="false">'Exogenous tax and expenses'!Z24/1000/'PIB corriente base 2004'!$X16</f>
        <v>0.000361559541561672</v>
      </c>
      <c r="AA51" s="774" t="n">
        <f aca="false">'Exogenous tax and expenses'!AA24/1000/'PIB corriente base 2004'!X16</f>
        <v>0.00253356028964366</v>
      </c>
      <c r="AB51" s="774" t="n">
        <f aca="false">'Exogenous tax and expenses'!AB24/1000/'PIB corriente base 2004'!X16</f>
        <v>0.0100862880222144</v>
      </c>
      <c r="AC51" s="774" t="n">
        <f aca="false">'Exogenous tax and expenses'!AC24/1000/'PIB corriente base 2004'!X16</f>
        <v>0.00123537014000835</v>
      </c>
      <c r="AD51" s="774"/>
      <c r="AE51" s="774" t="n">
        <f aca="false">'Exogenous tax and expenses'!AE24/1000/'PIB corriente base 2004'!$X16</f>
        <v>0</v>
      </c>
      <c r="AF51" s="774"/>
      <c r="AG51" s="774" t="n">
        <f aca="false">'Exogenous tax and expenses'!AG24/1000/'PIB corriente base 2004'!X15</f>
        <v>0.00796195266956521</v>
      </c>
      <c r="AH51" s="774" t="n">
        <f aca="false">'Exogenous tax and expenses'!AH24/1000/'PIB corriente base 2004'!X15</f>
        <v>0.112343410792063</v>
      </c>
      <c r="AM51" s="1" t="n">
        <f aca="false">'Exogenous tax and expenses'!AM50+1</f>
        <v>2013</v>
      </c>
      <c r="AN51" s="456" t="n">
        <f aca="false">'Exogenous tax and expenses'!AN25/1000/'PIB corriente base 2004'!X17</f>
        <v>0.0548332603299667</v>
      </c>
      <c r="AO51" s="456" t="n">
        <f aca="false">'Exogenous tax and expenses'!AO25/1000/'PIB corriente base 2004'!X17</f>
        <v>0.0743677746168002</v>
      </c>
      <c r="AP51" s="456" t="n">
        <f aca="false">'Exogenous tax and expenses'!AP25/1000/'PIB corriente base 2004'!X17</f>
        <v>0.00926148743732352</v>
      </c>
      <c r="AQ51" s="456" t="n">
        <f aca="false">'Exogenous tax and expenses'!AQ25/1000/'PIB corriente base 2004'!X17</f>
        <v>0.000397932270782329</v>
      </c>
      <c r="AR51" s="456" t="n">
        <f aca="false">'Exogenous tax and expenses'!AR25/1000/'PIB corriente base 2004'!X17</f>
        <v>0.0168786236987149</v>
      </c>
      <c r="AS51" s="456" t="n">
        <f aca="false">'Exogenous tax and expenses'!AS25/1000/'PIB corriente base 2004'!X17</f>
        <v>0.00132093294735269</v>
      </c>
      <c r="AT51" s="456" t="n">
        <f aca="false">'Exogenous tax and expenses'!AT25/1000/'PIB corriente base 2004'!X17</f>
        <v>0.0159148002617685</v>
      </c>
      <c r="AU51" s="456" t="n">
        <f aca="false">'Exogenous tax and expenses'!AU25/1000/'PIB corriente base 2004'!X17</f>
        <v>0.00683124675183987</v>
      </c>
      <c r="AV51" s="456" t="n">
        <f aca="false">'Exogenous tax and expenses'!AV25/1000/'PIB corriente base 2004'!X17</f>
        <v>0.0983995355142566</v>
      </c>
    </row>
    <row r="52" customFormat="false" ht="13.8" hidden="false" customHeight="false" outlineLevel="0" collapsed="false">
      <c r="A52" s="0" t="n">
        <f aca="false">'Cuenta Ahorro-Inversión-Financi'!AV92</f>
        <v>2004</v>
      </c>
      <c r="B52" s="1"/>
      <c r="C52" s="1"/>
      <c r="D52" s="745" t="n">
        <f aca="false">'Cuenta Ahorro-Inversión-Financi'!AW53</f>
        <v>-0.0218853689158177</v>
      </c>
      <c r="E52" s="745" t="n">
        <f aca="false">'Cuenta Ahorro-Inversión-Financi'!AX92</f>
        <v>0.00382133245719463</v>
      </c>
      <c r="F52" s="1"/>
      <c r="G52" s="456"/>
      <c r="H52" s="1"/>
      <c r="I52" s="1"/>
      <c r="J52" s="1"/>
      <c r="K52" s="1"/>
      <c r="L52" s="1"/>
      <c r="M52" s="1"/>
      <c r="N52" s="456" t="n">
        <f aca="false">Q50+R50+T50+U50+X50</f>
        <v>0.0222610755384325</v>
      </c>
      <c r="O52" s="1"/>
      <c r="P52" s="1" t="n">
        <f aca="false">'Exogenous tax and expenses'!P51+1</f>
        <v>2013</v>
      </c>
      <c r="Q52" s="770" t="n">
        <f aca="false">'Exogenous tax and expenses'!Q25/1000/'PIB corriente base 2004'!X17</f>
        <v>0.0109238316835513</v>
      </c>
      <c r="R52" s="770" t="n">
        <f aca="false">'Exogenous tax and expenses'!R25/1000/'PIB corriente base 2004'!$X17</f>
        <v>0.000925541959737645</v>
      </c>
      <c r="S52" s="770" t="n">
        <f aca="false">'Exogenous tax and expenses'!S25/1000/'PIB corriente base 2004'!X17</f>
        <v>0.00743862164659361</v>
      </c>
      <c r="T52" s="770" t="n">
        <f aca="false">'Exogenous tax and expenses'!T25/1000/'PIB corriente base 2004'!X17</f>
        <v>0.00926148743732353</v>
      </c>
      <c r="U52" s="770" t="n">
        <f aca="false">'Exogenous tax and expenses'!U25/1000/'PIB corriente base 2004'!X17</f>
        <v>0.000397932270782329</v>
      </c>
      <c r="V52" s="770" t="n">
        <f aca="false">'Exogenous tax and expenses'!V25/1000/'PIB corriente base 2004'!X17</f>
        <v>0.0168786236987149</v>
      </c>
      <c r="W52" s="770" t="n">
        <f aca="false">'Exogenous tax and expenses'!W25/1000/'PIB corriente base 2004'!$X17</f>
        <v>0.0159148002617685</v>
      </c>
      <c r="X52" s="770" t="n">
        <f aca="false">'Exogenous tax and expenses'!X25/1000/'PIB corriente base 2004'!$X17</f>
        <v>0.00259295104693199</v>
      </c>
      <c r="Y52" s="771" t="n">
        <f aca="false">'Exogenous tax and expenses'!Y25/1000/'PIB corriente base 2004'!X17</f>
        <v>0.00210339021534986</v>
      </c>
      <c r="Z52" s="771" t="n">
        <f aca="false">'Exogenous tax and expenses'!Z25/1000/'PIB corriente base 2004'!$X17</f>
        <v>0.000374390273180509</v>
      </c>
      <c r="AA52" s="771" t="n">
        <f aca="false">'Exogenous tax and expenses'!AA25/1000/'PIB corriente base 2004'!X17</f>
        <v>0.0026450338256733</v>
      </c>
      <c r="AB52" s="771" t="n">
        <f aca="false">'Exogenous tax and expenses'!AB25/1000/'PIB corriente base 2004'!X17</f>
        <v>0.0107881371340265</v>
      </c>
      <c r="AC52" s="771" t="n">
        <f aca="false">'Exogenous tax and expenses'!AC25/1000/'PIB corriente base 2004'!X17</f>
        <v>0.00166967888999977</v>
      </c>
      <c r="AD52" s="771"/>
      <c r="AE52" s="771" t="n">
        <f aca="false">'Exogenous tax and expenses'!AE25/1000/'PIB corriente base 2004'!$X17</f>
        <v>0</v>
      </c>
      <c r="AF52" s="771"/>
      <c r="AG52" s="775" t="n">
        <f aca="false">'Exogenous tax and expenses'!AG25/1000/'PIB corriente base 2004'!X16</f>
        <v>0.0086709130018908</v>
      </c>
      <c r="AH52" s="775" t="n">
        <f aca="false">'Exogenous tax and expenses'!AH25/1000/'PIB corriente base 2004'!X16</f>
        <v>0.124898696074883</v>
      </c>
      <c r="AM52" s="1" t="n">
        <f aca="false">'Exogenous tax and expenses'!AM51+1</f>
        <v>2014</v>
      </c>
      <c r="AN52" s="456" t="n">
        <f aca="false">'Exogenous tax and expenses'!AN26/1000/'PIB corriente base 2004'!X18</f>
        <v>0.0583249747194018</v>
      </c>
      <c r="AO52" s="456" t="n">
        <f aca="false">'Exogenous tax and expenses'!AO26/1000/'PIB corriente base 2004'!X18</f>
        <v>0.0723294509494517</v>
      </c>
      <c r="AP52" s="456" t="n">
        <f aca="false">'Exogenous tax and expenses'!AP26/1000/'PIB corriente base 2004'!X18</f>
        <v>0.00971593170924165</v>
      </c>
      <c r="AQ52" s="456" t="n">
        <f aca="false">'Exogenous tax and expenses'!AQ26/1000/'PIB corriente base 2004'!X18</f>
        <v>0.000433470744073636</v>
      </c>
      <c r="AR52" s="456" t="n">
        <f aca="false">'Exogenous tax and expenses'!AR26/1000/'PIB corriente base 2004'!X18</f>
        <v>0.0167587616547611</v>
      </c>
      <c r="AS52" s="456" t="n">
        <f aca="false">'Exogenous tax and expenses'!AS26/1000/'PIB corriente base 2004'!X18</f>
        <v>0.000930161303871556</v>
      </c>
      <c r="AT52" s="456" t="n">
        <f aca="false">'Exogenous tax and expenses'!AT26/1000/'PIB corriente base 2004'!X18</f>
        <v>0.015871302582137</v>
      </c>
      <c r="AU52" s="456" t="n">
        <f aca="false">'Exogenous tax and expenses'!AU26/1000/'PIB corriente base 2004'!X18</f>
        <v>0.00838241527111434</v>
      </c>
      <c r="AV52" s="456" t="n">
        <f aca="false">'Exogenous tax and expenses'!AV26/1000/'PIB corriente base 2004'!X18</f>
        <v>0.103135201244363</v>
      </c>
    </row>
    <row r="53" customFormat="false" ht="13.8" hidden="false" customHeight="false" outlineLevel="0" collapsed="false">
      <c r="A53" s="0" t="n">
        <f aca="false">'Cuenta Ahorro-Inversión-Financi'!AV93</f>
        <v>2005</v>
      </c>
      <c r="B53" s="1"/>
      <c r="C53" s="1"/>
      <c r="D53" s="744" t="n">
        <f aca="false">'Cuenta Ahorro-Inversión-Financi'!AW54</f>
        <v>-0.0179040572743257</v>
      </c>
      <c r="E53" s="744" t="n">
        <f aca="false">'Cuenta Ahorro-Inversión-Financi'!AX93</f>
        <v>0.00757769102751198</v>
      </c>
      <c r="F53" s="1"/>
      <c r="G53" s="1"/>
      <c r="H53" s="1"/>
      <c r="I53" s="1"/>
      <c r="J53" s="1"/>
      <c r="K53" s="1"/>
      <c r="L53" s="1"/>
      <c r="M53" s="1"/>
      <c r="N53" s="456" t="n">
        <f aca="false">Q51+R51+T51+U51+X51</f>
        <v>0.0248378992402356</v>
      </c>
      <c r="O53" s="1"/>
      <c r="P53" s="1" t="n">
        <f aca="false">'Exogenous tax and expenses'!P52+1</f>
        <v>2014</v>
      </c>
      <c r="Q53" s="773" t="n">
        <f aca="false">'Exogenous tax and expenses'!Q26/1000/'PIB corriente base 2004'!X18</f>
        <v>0.0116387156111073</v>
      </c>
      <c r="R53" s="773" t="n">
        <f aca="false">'Exogenous tax and expenses'!R26/1000/'PIB corriente base 2004'!$X18</f>
        <v>0.000642224174604135</v>
      </c>
      <c r="S53" s="773" t="n">
        <f aca="false">'Exogenous tax and expenses'!S26/1000/'PIB corriente base 2004'!X18</f>
        <v>0.00714587954016821</v>
      </c>
      <c r="T53" s="773" t="n">
        <f aca="false">'Exogenous tax and expenses'!T26/1000/'PIB corriente base 2004'!X18</f>
        <v>0.00971593170924165</v>
      </c>
      <c r="U53" s="773" t="n">
        <f aca="false">'Exogenous tax and expenses'!U26/1000/'PIB corriente base 2004'!X18</f>
        <v>0.000433470744073636</v>
      </c>
      <c r="V53" s="773" t="n">
        <f aca="false">'Exogenous tax and expenses'!V26/1000/'PIB corriente base 2004'!X18</f>
        <v>0.0167587616547611</v>
      </c>
      <c r="W53" s="773" t="n">
        <f aca="false">'Exogenous tax and expenses'!W26/1000/'PIB corriente base 2004'!$X18</f>
        <v>0.015871302582137</v>
      </c>
      <c r="X53" s="773" t="n">
        <f aca="false">'Exogenous tax and expenses'!X26/1000/'PIB corriente base 2004'!$X18</f>
        <v>0.00265723309620876</v>
      </c>
      <c r="Y53" s="774" t="n">
        <f aca="false">'Exogenous tax and expenses'!Y26/1000/'PIB corriente base 2004'!X18</f>
        <v>0.00207832026157001</v>
      </c>
      <c r="Z53" s="774" t="n">
        <f aca="false">'Exogenous tax and expenses'!Z26/1000/'PIB corriente base 2004'!$X18</f>
        <v>0.000351652186253678</v>
      </c>
      <c r="AA53" s="774" t="n">
        <f aca="false">'Exogenous tax and expenses'!AA26/1000/'PIB corriente base 2004'!X18</f>
        <v>0.00259275780648903</v>
      </c>
      <c r="AB53" s="774" t="n">
        <f aca="false">'Exogenous tax and expenses'!AB26/1000/'PIB corriente base 2004'!X18</f>
        <v>0.0107101298626129</v>
      </c>
      <c r="AC53" s="774" t="n">
        <f aca="false">'Exogenous tax and expenses'!AC26/1000/'PIB corriente base 2004'!X18</f>
        <v>0.00180520724704594</v>
      </c>
      <c r="AD53" s="774"/>
      <c r="AE53" s="774" t="n">
        <f aca="false">'Exogenous tax and expenses'!AE26/1000/'PIB corriente base 2004'!$X18</f>
        <v>0</v>
      </c>
      <c r="AF53" s="774"/>
      <c r="AG53" s="774" t="n">
        <f aca="false">'Exogenous tax and expenses'!AG26/1000/'PIB corriente base 2004'!X17</f>
        <v>0.011463640257482</v>
      </c>
      <c r="AH53" s="774" t="n">
        <f aca="false">'Exogenous tax and expenses'!AH26/1000/'PIB corriente base 2004'!X17</f>
        <v>0.141045844987254</v>
      </c>
      <c r="AM53" s="1" t="n">
        <f aca="false">'Exogenous tax and expenses'!AM52+1</f>
        <v>2015</v>
      </c>
      <c r="AN53" s="456" t="n">
        <f aca="false">'Exogenous tax and expenses'!AN27/1000/'PIB corriente base 2004'!X19</f>
        <v>0.0640628978067638</v>
      </c>
      <c r="AO53" s="456" t="n">
        <f aca="false">'Exogenous tax and expenses'!AO27/1000/'PIB corriente base 2004'!X19</f>
        <v>0.0727307831972059</v>
      </c>
      <c r="AP53" s="456" t="n">
        <f aca="false">'Exogenous tax and expenses'!AP27/1000/'PIB corriente base 2004'!X19</f>
        <v>0.00948495384244875</v>
      </c>
      <c r="AQ53" s="456" t="n">
        <f aca="false">'Exogenous tax and expenses'!AQ27/1000/'PIB corriente base 2004'!X19</f>
        <v>0.000489779941810133</v>
      </c>
      <c r="AR53" s="456" t="n">
        <f aca="false">'Exogenous tax and expenses'!AR27/1000/'PIB corriente base 2004'!X19</f>
        <v>0.0163707146913644</v>
      </c>
      <c r="AS53" s="456" t="n">
        <f aca="false">'Exogenous tax and expenses'!AS27/1000/'PIB corriente base 2004'!X19</f>
        <v>0.000944515191679077</v>
      </c>
      <c r="AT53" s="456" t="n">
        <f aca="false">'Exogenous tax and expenses'!AT27/1000/'PIB corriente base 2004'!X19</f>
        <v>0.0160551081025211</v>
      </c>
      <c r="AU53" s="456" t="n">
        <f aca="false">'Exogenous tax and expenses'!AU27/1000/'PIB corriente base 2004'!X19</f>
        <v>0.00893120932488722</v>
      </c>
      <c r="AV53" s="456" t="n">
        <f aca="false">'Exogenous tax and expenses'!AV27/1000/'PIB corriente base 2004'!X19</f>
        <v>0.111516967830284</v>
      </c>
    </row>
    <row r="54" customFormat="false" ht="13.8" hidden="false" customHeight="false" outlineLevel="0" collapsed="false">
      <c r="A54" s="0" t="n">
        <f aca="false">'Cuenta Ahorro-Inversión-Financi'!AV94</f>
        <v>2006</v>
      </c>
      <c r="B54" s="1"/>
      <c r="C54" s="1"/>
      <c r="D54" s="745" t="n">
        <f aca="false">'Cuenta Ahorro-Inversión-Financi'!AW55</f>
        <v>-0.0165135934957867</v>
      </c>
      <c r="E54" s="745" t="n">
        <f aca="false">'Cuenta Ahorro-Inversión-Financi'!AX94</f>
        <v>0.00917791831736937</v>
      </c>
      <c r="F54" s="1"/>
      <c r="G54" s="1"/>
      <c r="H54" s="1"/>
      <c r="I54" s="1"/>
      <c r="J54" s="1"/>
      <c r="K54" s="1"/>
      <c r="L54" s="1"/>
      <c r="M54" s="1"/>
      <c r="N54" s="456" t="n">
        <f aca="false">Q52+R52+T52+U52+X52</f>
        <v>0.0241017443983268</v>
      </c>
      <c r="O54" s="1"/>
      <c r="P54" s="1" t="n">
        <f aca="false">'Exogenous tax and expenses'!P53+1</f>
        <v>2015</v>
      </c>
      <c r="Q54" s="770" t="n">
        <f aca="false">'Exogenous tax and expenses'!Q27/1000/'PIB corriente base 2004'!X19</f>
        <v>0.0127294769340055</v>
      </c>
      <c r="R54" s="770" t="n">
        <f aca="false">'Exogenous tax and expenses'!R27/1000/'PIB corriente base 2004'!$X19</f>
        <v>0.000666603868820108</v>
      </c>
      <c r="S54" s="770" t="n">
        <f aca="false">'Exogenous tax and expenses'!S27/1000/'PIB corriente base 2004'!X19</f>
        <v>0.00726716278767824</v>
      </c>
      <c r="T54" s="770" t="n">
        <f aca="false">'Exogenous tax and expenses'!T27/1000/'PIB corriente base 2004'!X19</f>
        <v>0.00948495384244874</v>
      </c>
      <c r="U54" s="770" t="n">
        <f aca="false">'Exogenous tax and expenses'!U27/1000/'PIB corriente base 2004'!X19</f>
        <v>0.000489779941810133</v>
      </c>
      <c r="V54" s="770" t="n">
        <f aca="false">'Exogenous tax and expenses'!V27/1000/'PIB corriente base 2004'!X19</f>
        <v>0.0163707146913644</v>
      </c>
      <c r="W54" s="770" t="n">
        <f aca="false">'Exogenous tax and expenses'!W27/1000/'PIB corriente base 2004'!$X19</f>
        <v>0.0160551081025211</v>
      </c>
      <c r="X54" s="770" t="n">
        <f aca="false">'Exogenous tax and expenses'!X27/1000/'PIB corriente base 2004'!$X19</f>
        <v>0.00238471307698379</v>
      </c>
      <c r="Y54" s="771" t="n">
        <f aca="false">'Exogenous tax and expenses'!Y27/1000/'PIB corriente base 2004'!X19</f>
        <v>0.00209681091536374</v>
      </c>
      <c r="Z54" s="771" t="n">
        <f aca="false">'Exogenous tax and expenses'!Z27/1000/'PIB corriente base 2004'!$X19</f>
        <v>0.000365874491397112</v>
      </c>
      <c r="AA54" s="771" t="n">
        <f aca="false">'Exogenous tax and expenses'!AA27/1000/'PIB corriente base 2004'!X19</f>
        <v>0.00269349490539226</v>
      </c>
      <c r="AB54" s="771" t="n">
        <f aca="false">'Exogenous tax and expenses'!AB27/1000/'PIB corriente base 2004'!X19</f>
        <v>0.0114806560184775</v>
      </c>
      <c r="AC54" s="771" t="n">
        <f aca="false">'Exogenous tax and expenses'!AC27/1000/'PIB corriente base 2004'!X19</f>
        <v>0.00171424659032606</v>
      </c>
      <c r="AD54" s="771"/>
      <c r="AE54" s="771" t="n">
        <f aca="false">'Exogenous tax and expenses'!AE27/1000/'PIB corriente base 2004'!$X19</f>
        <v>0</v>
      </c>
      <c r="AF54" s="771" t="n">
        <f aca="false">'Exogenous tax and expenses'!AF27/1000/'PIB corriente base 2004'!$X19</f>
        <v>0</v>
      </c>
      <c r="AG54" s="775" t="n">
        <f aca="false">'Exogenous tax and expenses'!AG27/1000/'PIB corriente base 2004'!X18</f>
        <v>0.0116138850189942</v>
      </c>
      <c r="AH54" s="775" t="n">
        <f aca="false">'Exogenous tax and expenses'!AH27/1000/'PIB corriente base 2004'!X18</f>
        <v>0.145013423707226</v>
      </c>
      <c r="AM54" s="1" t="n">
        <f aca="false">'Exogenous tax and expenses'!AM53+1</f>
        <v>2016</v>
      </c>
      <c r="AN54" s="456" t="n">
        <f aca="false">'Exogenous tax and expenses'!AN28/1000/'PIB corriente base 2004'!X20</f>
        <v>0.05261287788909</v>
      </c>
      <c r="AO54" s="456" t="n">
        <f aca="false">'Exogenous tax and expenses'!AO28/1000/'PIB corriente base 2004'!X20</f>
        <v>0.0708806060447253</v>
      </c>
      <c r="AP54" s="456" t="n">
        <f aca="false">'Exogenous tax and expenses'!AP28/1000/'PIB corriente base 2004'!X20</f>
        <v>0.00919573417118446</v>
      </c>
      <c r="AQ54" s="456" t="n">
        <f aca="false">'Exogenous tax and expenses'!AQ28/1000/'PIB corriente base 2004'!X20</f>
        <v>0.00050893519641016</v>
      </c>
      <c r="AR54" s="456" t="n">
        <f aca="false">'Exogenous tax and expenses'!AR28/1000/'PIB corriente base 2004'!X20</f>
        <v>0.0160022515479057</v>
      </c>
      <c r="AS54" s="456" t="n">
        <f aca="false">'Exogenous tax and expenses'!AS28/1000/'PIB corriente base 2004'!X20</f>
        <v>0.000835306845081787</v>
      </c>
      <c r="AT54" s="456" t="n">
        <f aca="false">'Exogenous tax and expenses'!AT28/1000/'PIB corriente base 2004'!X20</f>
        <v>0.0153374756841884</v>
      </c>
      <c r="AU54" s="456" t="n">
        <f aca="false">'Exogenous tax and expenses'!AU28/1000/'PIB corriente base 2004'!X20</f>
        <v>0.00880758496959625</v>
      </c>
      <c r="AV54" s="456" t="n">
        <f aca="false">'Exogenous tax and expenses'!AV28/1000/'PIB corriente base 2004'!X20</f>
        <v>0.106388311260275</v>
      </c>
    </row>
    <row r="55" customFormat="false" ht="13.8" hidden="false" customHeight="false" outlineLevel="0" collapsed="false">
      <c r="A55" s="0" t="n">
        <f aca="false">'Cuenta Ahorro-Inversión-Financi'!AV95</f>
        <v>2007</v>
      </c>
      <c r="B55" s="1"/>
      <c r="C55" s="1"/>
      <c r="D55" s="744" t="n">
        <f aca="false">'Cuenta Ahorro-Inversión-Financi'!AW56</f>
        <v>-0.0158656512635353</v>
      </c>
      <c r="E55" s="744" t="n">
        <f aca="false">'Cuenta Ahorro-Inversión-Financi'!AX95</f>
        <v>0.0108470293692913</v>
      </c>
      <c r="F55" s="1"/>
      <c r="G55" s="1"/>
      <c r="H55" s="1"/>
      <c r="I55" s="1"/>
      <c r="J55" s="1"/>
      <c r="K55" s="1"/>
      <c r="L55" s="1"/>
      <c r="M55" s="1"/>
      <c r="N55" s="456" t="n">
        <f aca="false">Q53+R53+T53+U53+X53</f>
        <v>0.0250875753352355</v>
      </c>
      <c r="O55" s="1"/>
      <c r="P55" s="1" t="n">
        <f aca="false">'Exogenous tax and expenses'!P54+1</f>
        <v>2016</v>
      </c>
      <c r="Q55" s="773" t="n">
        <f aca="false">'Exogenous tax and expenses'!Q28/1000/'PIB corriente base 2004'!X20</f>
        <v>0.0105109702628087</v>
      </c>
      <c r="R55" s="773" t="n">
        <f aca="false">'Exogenous tax and expenses'!R28/1000/'PIB corriente base 2004'!$X20</f>
        <v>0.000584590024895527</v>
      </c>
      <c r="S55" s="773" t="n">
        <f aca="false">'Exogenous tax and expenses'!S28/1000/'PIB corriente base 2004'!X20</f>
        <v>0.00708050197613375</v>
      </c>
      <c r="T55" s="773" t="n">
        <f aca="false">'Exogenous tax and expenses'!T28/1000/'PIB corriente base 2004'!X20</f>
        <v>0.00919573417118446</v>
      </c>
      <c r="U55" s="773" t="n">
        <f aca="false">'Exogenous tax and expenses'!U28/1000/'PIB corriente base 2004'!X20</f>
        <v>0.00050893519641016</v>
      </c>
      <c r="V55" s="773" t="n">
        <f aca="false">'Exogenous tax and expenses'!V28/1000/'PIB corriente base 2004'!X20</f>
        <v>0.0160022515479057</v>
      </c>
      <c r="W55" s="773" t="n">
        <f aca="false">'Exogenous tax and expenses'!W28/1000/'PIB corriente base 2004'!$X20</f>
        <v>0.0153374756841884</v>
      </c>
      <c r="X55" s="773" t="n">
        <f aca="false">'Exogenous tax and expenses'!X28/1000/'PIB corriente base 2004'!$X20</f>
        <v>0.00242605893369462</v>
      </c>
      <c r="Y55" s="774" t="n">
        <f aca="false">'Exogenous tax and expenses'!Y28/1000/'PIB corriente base 2004'!X20</f>
        <v>0.00176886207484977</v>
      </c>
      <c r="Z55" s="774" t="n">
        <f aca="false">'Exogenous tax and expenses'!Z28/1000/'PIB corriente base 2004'!$X20</f>
        <v>0.000354503345784394</v>
      </c>
      <c r="AA55" s="774" t="n">
        <f aca="false">'Exogenous tax and expenses'!AA28/1000/'PIB corriente base 2004'!X20</f>
        <v>0.00272424448676778</v>
      </c>
      <c r="AB55" s="774" t="n">
        <f aca="false">'Exogenous tax and expenses'!AB28/1000/'PIB corriente base 2004'!X20</f>
        <v>0.0107438261877049</v>
      </c>
      <c r="AC55" s="774" t="n">
        <f aca="false">'Exogenous tax and expenses'!AC28/1000/'PIB corriente base 2004'!X20</f>
        <v>0.00197107261819154</v>
      </c>
      <c r="AD55" s="774"/>
      <c r="AE55" s="774" t="n">
        <f aca="false">'Exogenous tax and expenses'!AE28/1000/'PIB corriente base 2004'!$X20</f>
        <v>0.00147048385059187</v>
      </c>
      <c r="AF55" s="774" t="n">
        <f aca="false">'Exogenous tax and expenses'!AF28/1000/'PIB corriente base 2004'!$X20</f>
        <v>0.00380407762138458</v>
      </c>
      <c r="AG55" s="774" t="n">
        <f aca="false">'Exogenous tax and expenses'!AG28/1000/'PIB corriente base 2004'!X19</f>
        <v>0.0121706409992493</v>
      </c>
      <c r="AH55" s="774" t="n">
        <f aca="false">'Exogenous tax and expenses'!AH28/1000/'PIB corriente base 2004'!X19</f>
        <v>0.147011234899792</v>
      </c>
    </row>
    <row r="56" customFormat="false" ht="13.8" hidden="false" customHeight="false" outlineLevel="0" collapsed="false">
      <c r="A56" s="0" t="n">
        <f aca="false">'Cuenta Ahorro-Inversión-Financi'!AV96</f>
        <v>2008</v>
      </c>
      <c r="B56" s="1"/>
      <c r="C56" s="1"/>
      <c r="D56" s="745" t="n">
        <f aca="false">'Cuenta Ahorro-Inversión-Financi'!AW57</f>
        <v>-0.0183013371636907</v>
      </c>
      <c r="E56" s="745" t="n">
        <f aca="false">'Cuenta Ahorro-Inversión-Financi'!AY96</f>
        <v>0.00473047402209589</v>
      </c>
      <c r="F56" s="1"/>
      <c r="G56" s="456"/>
      <c r="H56" s="1"/>
      <c r="I56" s="1"/>
      <c r="J56" s="1"/>
      <c r="K56" s="1"/>
      <c r="L56" s="1"/>
      <c r="M56" s="1"/>
      <c r="N56" s="456" t="n">
        <f aca="false">Q54+R54+T54+U54+X54</f>
        <v>0.0257555276640683</v>
      </c>
      <c r="O56" s="1"/>
      <c r="P56" s="1" t="n">
        <f aca="false">'Exogenous tax and expenses'!P55+1</f>
        <v>2017</v>
      </c>
      <c r="Q56" s="770" t="n">
        <f aca="false">'Exogenous tax and expenses'!Q29/1000/'PIB corriente base 2004'!X21</f>
        <v>0.0102628562112773</v>
      </c>
      <c r="R56" s="770" t="n">
        <f aca="false">'Exogenous tax and expenses'!R29/1000/'PIB corriente base 2004'!$X21</f>
        <v>0.000684112440227953</v>
      </c>
      <c r="S56" s="770" t="n">
        <f aca="false">'Exogenous tax and expenses'!S29/1000/'PIB corriente base 2004'!X21</f>
        <v>0.00702011141307821</v>
      </c>
      <c r="T56" s="770" t="n">
        <f aca="false">'Exogenous tax and expenses'!T29/1000/'PIB corriente base 2004'!X21</f>
        <v>0.00966160001444418</v>
      </c>
      <c r="U56" s="770" t="n">
        <f aca="false">'Exogenous tax and expenses'!U29/1000/'PIB corriente base 2004'!X21</f>
        <v>0.000528483222256209</v>
      </c>
      <c r="V56" s="770" t="n">
        <f aca="false">'Exogenous tax and expenses'!V29/1000/'PIB corriente base 2004'!X21</f>
        <v>0.0162369256572215</v>
      </c>
      <c r="W56" s="770" t="n">
        <f aca="false">'Exogenous tax and expenses'!W29/1000/'PIB corriente base 2004'!$X21</f>
        <v>0.0156379005322433</v>
      </c>
      <c r="X56" s="770" t="n">
        <f aca="false">'Exogenous tax and expenses'!X29/1000/'PIB corriente base 2004'!$X21</f>
        <v>0.00276714880493468</v>
      </c>
      <c r="Y56" s="771" t="n">
        <f aca="false">'Exogenous tax and expenses'!Y29/1000/'PIB corriente base 2004'!X21</f>
        <v>0.00172129952860513</v>
      </c>
      <c r="Z56" s="771" t="n">
        <f aca="false">'Exogenous tax and expenses'!Z29/1000/'PIB corriente base 2004'!$X21</f>
        <v>0.000471364562460636</v>
      </c>
      <c r="AA56" s="771" t="n">
        <f aca="false">'Exogenous tax and expenses'!AA29/1000/'PIB corriente base 2004'!X21</f>
        <v>0.00290593948372479</v>
      </c>
      <c r="AB56" s="771" t="n">
        <f aca="false">'Exogenous tax and expenses'!AB29/1000/'PIB corriente base 2004'!X21</f>
        <v>0.00982746458674929</v>
      </c>
      <c r="AC56" s="771" t="n">
        <f aca="false">'Exogenous tax and expenses'!AC29/1000/'PIB corriente base 2004'!$X21</f>
        <v>0.00169318277702992</v>
      </c>
      <c r="AD56" s="771" t="n">
        <f aca="false">'Exogenous tax and expenses'!AD29/1000/'PIB corriente base 2004'!$X21</f>
        <v>0.000880593978403211</v>
      </c>
      <c r="AE56" s="771" t="n">
        <f aca="false">'Exogenous tax and expenses'!AE29/1000/'PIB corriente base 2004'!$X21</f>
        <v>0.00101881233265517</v>
      </c>
      <c r="AF56" s="771" t="n">
        <f aca="false">'Exogenous tax and expenses'!AF29/1000/'PIB corriente base 2004'!$X21</f>
        <v>0.00732550025557762</v>
      </c>
      <c r="AG56" s="775" t="n">
        <f aca="false">'Exogenous tax and expenses'!AG29/1000/'PIB corriente base 2004'!X20</f>
        <v>0.0134023388269381</v>
      </c>
      <c r="AH56" s="775" t="n">
        <f aca="false">'Exogenous tax and expenses'!AH29/1000/'PIB corriente base 2004'!X20</f>
        <v>0.146154069052377</v>
      </c>
    </row>
    <row r="57" customFormat="false" ht="13.8" hidden="false" customHeight="false" outlineLevel="0" collapsed="false">
      <c r="A57" s="0" t="n">
        <f aca="false">'Cuenta Ahorro-Inversión-Financi'!AV97</f>
        <v>2009</v>
      </c>
      <c r="B57" s="1"/>
      <c r="C57" s="1"/>
      <c r="D57" s="744" t="n">
        <f aca="false">'Cuenta Ahorro-Inversión-Financi'!AW58</f>
        <v>-0.0156710909032578</v>
      </c>
      <c r="E57" s="744" t="n">
        <f aca="false">'Cuenta Ahorro-Inversión-Financi'!AY97</f>
        <v>0.00347884656778641</v>
      </c>
      <c r="F57" s="1"/>
      <c r="G57" s="1"/>
      <c r="H57" s="1"/>
      <c r="I57" s="1"/>
      <c r="J57" s="1"/>
      <c r="K57" s="1"/>
      <c r="L57" s="1"/>
      <c r="M57" s="1"/>
      <c r="N57" s="456" t="n">
        <f aca="false">Q55+R55+T55+U55+X55</f>
        <v>0.0232262885889935</v>
      </c>
      <c r="O57" s="456" t="n">
        <f aca="false">SUM(Q57:X57)-W57-S57</f>
        <v>0.0272682081300654</v>
      </c>
      <c r="P57" s="1" t="n">
        <v>2018</v>
      </c>
      <c r="Q57" s="773" t="n">
        <f aca="false">'Exogenous tax and expenses'!Q30/1000/'PIB corriente base 2004'!X22</f>
        <v>0</v>
      </c>
      <c r="R57" s="773" t="n">
        <f aca="false">'Exogenous tax and expenses'!R30/1000/'PIB corriente base 2004'!$X22</f>
        <v>0.000756313868057431</v>
      </c>
      <c r="S57" s="773" t="n">
        <f aca="false">'Exogenous tax and expenses'!S30/1000/'PIB corriente base 2004'!X22</f>
        <v>0.00734452401730621</v>
      </c>
      <c r="T57" s="773" t="n">
        <f aca="false">'Exogenous tax and expenses'!T30/1000/'PIB corriente base 2004'!X22</f>
        <v>0.00799150623036931</v>
      </c>
      <c r="U57" s="773" t="n">
        <f aca="false">'Exogenous tax and expenses'!U30/1000/'PIB corriente base 2004'!X22</f>
        <v>0.000469975376524547</v>
      </c>
      <c r="V57" s="773" t="n">
        <f aca="false">'Exogenous tax and expenses'!V30/1000/'PIB corriente base 2004'!X22</f>
        <v>0.0159674857167433</v>
      </c>
      <c r="W57" s="773" t="n">
        <f aca="false">'Exogenous tax and expenses'!W30/1000/'PIB corriente base 2004'!$X22</f>
        <v>0.0178786425763565</v>
      </c>
      <c r="X57" s="773" t="n">
        <f aca="false">'Exogenous tax and expenses'!X30/1000/'PIB corriente base 2004'!$X22</f>
        <v>0.00208292693837073</v>
      </c>
      <c r="Y57" s="774" t="n">
        <f aca="false">'Exogenous tax and expenses'!Y30/1000/'PIB corriente base 2004'!X22</f>
        <v>0.00147773148713019</v>
      </c>
      <c r="Z57" s="774" t="n">
        <f aca="false">'Exogenous tax and expenses'!Z30/1000/'PIB corriente base 2004'!$X22</f>
        <v>0.000430015334349855</v>
      </c>
      <c r="AA57" s="774" t="n">
        <f aca="false">'Exogenous tax and expenses'!AA30/1000/'PIB corriente base 2004'!X22</f>
        <v>0.00269794801353933</v>
      </c>
      <c r="AB57" s="774" t="n">
        <f aca="false">'Exogenous tax and expenses'!AB30/1000/'PIB corriente base 2004'!X22</f>
        <v>0.00695203916219706</v>
      </c>
      <c r="AC57" s="774" t="n">
        <f aca="false">'Exogenous tax and expenses'!AC30/1000/'PIB corriente base 2004'!$X22</f>
        <v>0.00155582043184477</v>
      </c>
      <c r="AD57" s="774" t="n">
        <f aca="false">'Exogenous tax and expenses'!AD30/1000/'PIB corriente base 2004'!$X22</f>
        <v>0.00262234557625098</v>
      </c>
      <c r="AE57" s="774" t="n">
        <f aca="false">'Exogenous tax and expenses'!AE30/1000/'PIB corriente base 2004'!$X22</f>
        <v>0.00134070717913613</v>
      </c>
      <c r="AF57" s="774" t="n">
        <f aca="false">'Exogenous tax and expenses'!AF30/1000/'PIB corriente base 2004'!$X22</f>
        <v>0.0115429938700718</v>
      </c>
      <c r="AG57" s="774"/>
      <c r="AH57" s="774"/>
      <c r="AL57" s="1"/>
      <c r="AM57" s="456"/>
      <c r="AN57" s="456"/>
      <c r="AO57" s="456"/>
      <c r="AP57" s="456"/>
      <c r="AQ57" s="456"/>
      <c r="AR57" s="456"/>
      <c r="AS57" s="456"/>
      <c r="AT57" s="456"/>
      <c r="AU57" s="456"/>
    </row>
    <row r="58" customFormat="false" ht="13.8" hidden="false" customHeight="false" outlineLevel="0" collapsed="false">
      <c r="A58" s="0" t="n">
        <f aca="false">'Cuenta Ahorro-Inversión-Financi'!AV98</f>
        <v>2010</v>
      </c>
      <c r="B58" s="1"/>
      <c r="C58" s="1"/>
      <c r="D58" s="745" t="n">
        <f aca="false">'Cuenta Ahorro-Inversión-Financi'!AW59</f>
        <v>-0.0158039957303611</v>
      </c>
      <c r="E58" s="745" t="n">
        <f aca="false">'Cuenta Ahorro-Inversión-Financi'!AY98</f>
        <v>0.0041123559159343</v>
      </c>
      <c r="F58" s="1"/>
      <c r="G58" s="1"/>
      <c r="H58" s="1"/>
      <c r="I58" s="1"/>
      <c r="J58" s="1"/>
      <c r="K58" s="1"/>
      <c r="L58" s="1"/>
      <c r="M58" s="1"/>
      <c r="N58" s="456" t="n">
        <f aca="false">Q56+R56+T56+U56+X56</f>
        <v>0.0239042006931403</v>
      </c>
      <c r="O58" s="456" t="n">
        <f aca="false">(R30+S30+U30+V30+X30)/1000/'PIB corriente base 2004'!X22</f>
        <v>0.0266212259170022</v>
      </c>
      <c r="P58" s="1" t="n">
        <v>2019</v>
      </c>
      <c r="Q58" s="770" t="n">
        <f aca="false">'Exogenous tax and expenses'!Q31/1000/'PIB corriente base 2004'!X23</f>
        <v>0</v>
      </c>
      <c r="R58" s="770" t="n">
        <f aca="false">'Exogenous tax and expenses'!R31/1000/'PIB corriente base 2004'!$X23</f>
        <v>0.000655630335754841</v>
      </c>
      <c r="S58" s="770" t="n">
        <f aca="false">'Exogenous tax and expenses'!S31/1000/'PIB corriente base 2004'!X23</f>
        <v>0.00699593283225069</v>
      </c>
      <c r="T58" s="770" t="n">
        <f aca="false">'Exogenous tax and expenses'!T31/1000/'PIB corriente base 2004'!X23</f>
        <v>0.00748253306970056</v>
      </c>
      <c r="U58" s="770" t="n">
        <f aca="false">'Exogenous tax and expenses'!U31/1000/'PIB corriente base 2004'!X23</f>
        <v>0.00042895846045955</v>
      </c>
      <c r="V58" s="770" t="n">
        <f aca="false">'Exogenous tax and expenses'!V31/1000/'PIB corriente base 2004'!X23</f>
        <v>0.0158898222397003</v>
      </c>
      <c r="W58" s="770" t="n">
        <f aca="false">'Exogenous tax and expenses'!W31/1000/'PIB corriente base 2004'!$X23</f>
        <v>0.0172365647069281</v>
      </c>
      <c r="X58" s="770" t="n">
        <f aca="false">'Exogenous tax and expenses'!X31/1000/'PIB corriente base 2004'!$X23</f>
        <v>0.00192996429530297</v>
      </c>
      <c r="Y58" s="771" t="n">
        <f aca="false">'Exogenous tax and expenses'!Y31/1000/'PIB corriente base 2004'!X23</f>
        <v>0.00125284370299925</v>
      </c>
      <c r="Z58" s="771" t="n">
        <f aca="false">'Exogenous tax and expenses'!Z31/1000/'PIB corriente base 2004'!$X23</f>
        <v>0.000395371443253911</v>
      </c>
      <c r="AA58" s="771" t="n">
        <f aca="false">'Exogenous tax and expenses'!AA31/1000/'PIB corriente base 2004'!X23</f>
        <v>0.00316211821936252</v>
      </c>
      <c r="AB58" s="771" t="n">
        <f aca="false">'Exogenous tax and expenses'!AB31/1000/'PIB corriente base 2004'!X23</f>
        <v>0.00647005180407838</v>
      </c>
      <c r="AC58" s="771" t="n">
        <f aca="false">'Exogenous tax and expenses'!AC31/1000/'PIB corriente base 2004'!$X23</f>
        <v>0.00160666051995564</v>
      </c>
      <c r="AD58" s="771" t="n">
        <f aca="false">'Exogenous tax and expenses'!AD31/1000/'PIB corriente base 2004'!$X23</f>
        <v>0.00244608697988098</v>
      </c>
      <c r="AE58" s="771" t="n">
        <f aca="false">'Exogenous tax and expenses'!AE31/1000/'PIB corriente base 2004'!$X23</f>
        <v>0.00115984767102009</v>
      </c>
      <c r="AF58" s="771" t="n">
        <f aca="false">'Exogenous tax and expenses'!AF31/1000/'PIB corriente base 2004'!$X23</f>
        <v>0.0141825054372025</v>
      </c>
      <c r="AG58" s="1"/>
      <c r="AH58" s="456"/>
      <c r="AI58" s="1"/>
      <c r="AJ58" s="1"/>
      <c r="AK58" s="456"/>
      <c r="AL58" s="605" t="s">
        <v>1047</v>
      </c>
      <c r="AM58" s="1" t="s">
        <v>1048</v>
      </c>
      <c r="AN58" s="1" t="s">
        <v>1049</v>
      </c>
      <c r="AO58" s="456"/>
      <c r="AP58" s="456"/>
      <c r="AQ58" s="456"/>
      <c r="AR58" s="456"/>
      <c r="AS58" s="456"/>
    </row>
    <row r="59" customFormat="false" ht="13.8" hidden="false" customHeight="false" outlineLevel="0" collapsed="false">
      <c r="A59" s="0" t="n">
        <f aca="false">'Cuenta Ahorro-Inversión-Financi'!AV99</f>
        <v>2011</v>
      </c>
      <c r="B59" s="1"/>
      <c r="C59" s="1"/>
      <c r="D59" s="744" t="n">
        <f aca="false">'Cuenta Ahorro-Inversión-Financi'!AW60</f>
        <v>-0.016223235863457</v>
      </c>
      <c r="E59" s="744" t="n">
        <f aca="false">'Cuenta Ahorro-Inversión-Financi'!AY99</f>
        <v>0.00326307905881009</v>
      </c>
      <c r="F59" s="1"/>
      <c r="G59" s="1"/>
      <c r="H59" s="1"/>
      <c r="I59" s="1"/>
      <c r="J59" s="1"/>
      <c r="K59" s="1"/>
      <c r="L59" s="1"/>
      <c r="M59" s="1"/>
      <c r="N59" s="456" t="n">
        <f aca="false">R57+T57+U57+V57+X57</f>
        <v>0.0272682081300653</v>
      </c>
      <c r="O59" s="456" t="n">
        <f aca="false">R30/1000/'PIB corriente base 2004'!X22+S30/1000/'PIB corriente base 2004'!X22+U30/1000/'PIB corriente base 2004'!X22+V30/1000/'PIB corriente base 2004'!X22+X30/1000/'PIB corriente base 2004'!X22</f>
        <v>0.0266212259170022</v>
      </c>
      <c r="Q59" s="773"/>
      <c r="R59" s="773"/>
      <c r="S59" s="773"/>
      <c r="T59" s="773"/>
      <c r="U59" s="773"/>
      <c r="V59" s="773"/>
      <c r="W59" s="773"/>
      <c r="X59" s="773"/>
      <c r="Y59" s="774"/>
      <c r="Z59" s="774"/>
      <c r="AA59" s="774"/>
      <c r="AB59" s="774"/>
      <c r="AC59" s="778"/>
      <c r="AD59" s="778"/>
      <c r="AE59" s="775"/>
      <c r="AF59" s="775"/>
      <c r="AG59" s="1"/>
      <c r="AH59" s="1"/>
      <c r="AI59" s="1"/>
      <c r="AJ59" s="1"/>
      <c r="AK59" s="456"/>
      <c r="AL59" s="775" t="n">
        <f aca="false">E41-D41</f>
        <v>0.0172515077572419</v>
      </c>
      <c r="AM59" s="779" t="n">
        <f aca="false">(SUM(Q5:X5)-SUM(Y5:AF5)-V5-T5)/'PIB corriente base 1993'!$V8/1000</f>
        <v>0.00958125824982108</v>
      </c>
      <c r="AN59" s="779" t="n">
        <f aca="false">AM59-AL59</f>
        <v>-0.00767024950742083</v>
      </c>
      <c r="AO59" s="456"/>
      <c r="AP59" s="456"/>
      <c r="AQ59" s="456"/>
      <c r="AR59" s="456"/>
      <c r="AS59" s="456"/>
    </row>
    <row r="60" customFormat="false" ht="23.55" hidden="false" customHeight="false" outlineLevel="0" collapsed="false">
      <c r="A60" s="0" t="n">
        <f aca="false">'Cuenta Ahorro-Inversión-Financi'!AV100</f>
        <v>2012</v>
      </c>
      <c r="B60" s="1"/>
      <c r="C60" s="1"/>
      <c r="D60" s="745" t="n">
        <f aca="false">'Cuenta Ahorro-Inversión-Financi'!AW61</f>
        <v>-0.0195335859314802</v>
      </c>
      <c r="E60" s="745" t="n">
        <f aca="false">'Cuenta Ahorro-Inversión-Financi'!AY100</f>
        <v>0.00105161751029002</v>
      </c>
      <c r="F60" s="604" t="s">
        <v>1050</v>
      </c>
      <c r="G60" s="604"/>
      <c r="H60" s="604"/>
      <c r="I60" s="604"/>
      <c r="J60" s="604"/>
      <c r="K60" s="604"/>
      <c r="L60" s="604" t="s">
        <v>1051</v>
      </c>
      <c r="M60" s="604"/>
      <c r="N60" s="604"/>
      <c r="O60" s="604"/>
      <c r="P60" s="604"/>
      <c r="Q60" s="604"/>
      <c r="R60" s="604"/>
      <c r="S60" s="1"/>
      <c r="T60" s="28" t="n">
        <f aca="false">T30*0.2869</f>
        <v>33397669.2680164</v>
      </c>
      <c r="U60" s="1"/>
      <c r="V60" s="455" t="s">
        <v>1052</v>
      </c>
      <c r="W60" s="1" t="s">
        <v>1053</v>
      </c>
      <c r="X60" s="1"/>
      <c r="Y60" s="1"/>
      <c r="Z60" s="1"/>
      <c r="AA60" s="1"/>
      <c r="AB60" s="1"/>
      <c r="AC60" s="1"/>
      <c r="AD60" s="1"/>
      <c r="AE60" s="456" t="n">
        <f aca="false">AVERAGE('Exogenous tax and expenses'!AG48:AG56)</f>
        <v>0.00958800130474859</v>
      </c>
      <c r="AF60" s="1"/>
      <c r="AG60" s="1"/>
      <c r="AH60" s="1"/>
      <c r="AI60" s="1"/>
      <c r="AJ60" s="1"/>
      <c r="AK60" s="456"/>
      <c r="AL60" s="780" t="n">
        <f aca="false">E42-D42</f>
        <v>0.0134853438724108</v>
      </c>
      <c r="AM60" s="779" t="n">
        <f aca="false">(SUM(Q6:X6)-SUM(Y6:AF6)-V6-T6)/'PIB corriente base 1993'!$V9/1000</f>
        <v>0.00914066872216745</v>
      </c>
      <c r="AN60" s="779" t="n">
        <f aca="false">AM60-AL60</f>
        <v>-0.00434467515024335</v>
      </c>
      <c r="AO60" s="456"/>
      <c r="AP60" s="456"/>
      <c r="AQ60" s="456"/>
      <c r="AR60" s="456"/>
      <c r="AS60" s="456"/>
    </row>
    <row r="61" customFormat="false" ht="13.8" hidden="false" customHeight="false" outlineLevel="0" collapsed="false">
      <c r="A61" s="0" t="n">
        <f aca="false">'Cuenta Ahorro-Inversión-Financi'!AV101</f>
        <v>2013</v>
      </c>
      <c r="B61" s="1"/>
      <c r="C61" s="1"/>
      <c r="D61" s="744" t="n">
        <f aca="false">'Cuenta Ahorro-Inversión-Financi'!AW62</f>
        <v>-0.02109912849421</v>
      </c>
      <c r="E61" s="744" t="n">
        <f aca="false">'Cuenta Ahorro-Inversión-Financi'!AY101</f>
        <v>-0.000951668558161176</v>
      </c>
      <c r="F61" s="1" t="s">
        <v>1054</v>
      </c>
      <c r="G61" s="1" t="s">
        <v>1055</v>
      </c>
      <c r="H61" s="1" t="s">
        <v>1056</v>
      </c>
      <c r="I61" s="1" t="s">
        <v>1057</v>
      </c>
      <c r="J61" s="1" t="s">
        <v>1058</v>
      </c>
      <c r="K61" s="1" t="s">
        <v>1059</v>
      </c>
      <c r="L61" s="1" t="s">
        <v>1054</v>
      </c>
      <c r="M61" s="1" t="s">
        <v>1060</v>
      </c>
      <c r="N61" s="1" t="s">
        <v>1056</v>
      </c>
      <c r="O61" s="1" t="s">
        <v>1061</v>
      </c>
      <c r="P61" s="1" t="s">
        <v>1058</v>
      </c>
      <c r="Q61" s="1" t="s">
        <v>1059</v>
      </c>
      <c r="R61" s="730" t="n">
        <f aca="false">AVERAGE('Exogenous tax and expenses'!R47:R58)</f>
        <v>0.000758726208392369</v>
      </c>
      <c r="S61" s="730" t="n">
        <f aca="false">AVERAGE('Exogenous tax and expenses'!S47:S58)</f>
        <v>0.00717368525436939</v>
      </c>
      <c r="T61" s="730" t="n">
        <f aca="false">AVERAGE('Exogenous tax and expenses'!T47:T56)*0.2869</f>
        <v>0.00264884044328671</v>
      </c>
      <c r="U61" s="456" t="n">
        <f aca="false">AVERAGE('Exogenous tax and expenses'!U47:U58)/3</f>
        <v>0.000157308523483685</v>
      </c>
      <c r="V61" s="456" t="n">
        <f aca="false">AVERAGE('Exogenous tax and expenses'!V47:V58)</f>
        <v>0.0164145592695402</v>
      </c>
      <c r="W61" s="456" t="n">
        <f aca="false">AVERAGE('Exogenous tax and expenses'!W47:W58)</f>
        <v>0.0156925271106058</v>
      </c>
      <c r="X61" s="456" t="n">
        <f aca="false">AVERAGE('Exogenous tax and expenses'!X47:X58)</f>
        <v>0.00262222641643577</v>
      </c>
      <c r="Y61" s="456" t="n">
        <f aca="false">AVERAGE('Exogenous tax and expenses'!Y47:Y56)</f>
        <v>0.00191293753744961</v>
      </c>
      <c r="Z61" s="456" t="n">
        <f aca="false">AVERAGE(Z50:Z57)</f>
        <v>0.000380528082703533</v>
      </c>
      <c r="AA61" s="456" t="n">
        <f aca="false">AVERAGE('Exogenous tax and expenses'!AA47:AA56)</f>
        <v>0.00262755013399756</v>
      </c>
      <c r="AB61" s="456" t="n">
        <f aca="false">AB57</f>
        <v>0.00695203916219706</v>
      </c>
      <c r="AC61" s="456" t="n">
        <f aca="false">AVERAGE('Exogenous tax and expenses'!AC47:AC56)</f>
        <v>0.00152536277685544</v>
      </c>
      <c r="AD61" s="456" t="n">
        <f aca="false">AD57</f>
        <v>0.00262234557625098</v>
      </c>
      <c r="AE61" s="456"/>
      <c r="AF61" s="456" t="n">
        <f aca="false">AVERAGE('Exogenous tax and expenses'!AG48:AG56)/AVERAGE('Exogenous tax and expenses'!AH48:AH56)</f>
        <v>0.072078433514199</v>
      </c>
      <c r="AG61" s="456"/>
      <c r="AH61" s="1"/>
      <c r="AI61" s="1"/>
      <c r="AJ61" s="1"/>
      <c r="AK61" s="1"/>
      <c r="AL61" s="775" t="n">
        <f aca="false">E43-D43</f>
        <v>0.0159463284219161</v>
      </c>
      <c r="AM61" s="779" t="n">
        <f aca="false">(SUM(Q7:X7)-SUM(Y7:AF7)-V7-T7)/'PIB corriente base 1993'!$V10/1000</f>
        <v>0.00862055527583463</v>
      </c>
      <c r="AN61" s="779" t="n">
        <f aca="false">AM61-AL61</f>
        <v>-0.00732577314608148</v>
      </c>
      <c r="AO61" s="1"/>
      <c r="AP61" s="1"/>
      <c r="AQ61" s="1"/>
      <c r="AR61" s="1"/>
      <c r="AS61" s="1"/>
      <c r="AT61" s="1"/>
    </row>
    <row r="62" customFormat="false" ht="13.8" hidden="false" customHeight="false" outlineLevel="0" collapsed="false">
      <c r="B62" s="781"/>
      <c r="C62" s="1" t="n">
        <v>2014</v>
      </c>
      <c r="D62" s="745" t="n">
        <f aca="false">'Cuenta Ahorro-Inversión-Financi'!AW63</f>
        <v>-0.0217418594917814</v>
      </c>
      <c r="E62" s="745" t="n">
        <f aca="false">'Cuenta Ahorro-Inversión-Financi'!AY102</f>
        <v>-0.00129286375596846</v>
      </c>
      <c r="H62" s="782" t="n">
        <v>-0.0196925047215125</v>
      </c>
      <c r="I62" s="783"/>
      <c r="J62" s="1"/>
      <c r="K62" s="1"/>
      <c r="L62" s="456"/>
      <c r="M62" s="1"/>
      <c r="N62" s="456" t="n">
        <f aca="false">'Exogenous tax and expenses'!H62+SUM('Exogenous tax and expenses'!Q53:S53)+'Exogenous tax and expenses'!W53+'Exogenous tax and expenses'!U53+'Cuenta Ahorro-Inversión-Financi'!L30/1000/'PIB corriente base 2004'!X18-SUM('Exogenous tax and expenses'!Y53:AD53)</f>
        <v>0.00115825366281499</v>
      </c>
      <c r="O62" s="1"/>
      <c r="P62" s="1"/>
      <c r="Q62" s="1"/>
      <c r="R62" s="730"/>
      <c r="S62" s="784"/>
      <c r="T62" s="456"/>
      <c r="U62" s="456"/>
      <c r="V62" s="456"/>
      <c r="W62" s="456"/>
      <c r="X62" s="456"/>
      <c r="Y62" s="456"/>
      <c r="Z62" s="456"/>
      <c r="AA62" s="456"/>
      <c r="AB62" s="456"/>
      <c r="AC62" s="456"/>
      <c r="AD62" s="1"/>
      <c r="AE62" s="456"/>
      <c r="AF62" s="1"/>
      <c r="AG62" s="1"/>
      <c r="AH62" s="1"/>
      <c r="AI62" s="1"/>
      <c r="AJ62" s="1"/>
      <c r="AK62" s="1"/>
      <c r="AL62" s="780" t="n">
        <f aca="false">E44-D44</f>
        <v>0.0179874953863993</v>
      </c>
      <c r="AM62" s="779" t="n">
        <f aca="false">(SUM(Q8:X8)-SUM(Y8:AF8)-V8-T8)/'PIB corriente base 1993'!$V11/1000</f>
        <v>0.0180762303862729</v>
      </c>
      <c r="AN62" s="779" t="n">
        <f aca="false">AM62-AL62</f>
        <v>8.87349998736353E-005</v>
      </c>
      <c r="AO62" s="1"/>
      <c r="AP62" s="1"/>
      <c r="AQ62" s="1"/>
      <c r="AR62" s="1"/>
    </row>
    <row r="63" customFormat="false" ht="13.8" hidden="false" customHeight="false" outlineLevel="0" collapsed="false">
      <c r="B63" s="781"/>
      <c r="C63" s="1" t="n">
        <f aca="false">'Exogenous tax and expenses'!C62+1</f>
        <v>2015</v>
      </c>
      <c r="D63" s="744" t="n">
        <f aca="false">'Cuenta Ahorro-Inversión-Financi'!AW64</f>
        <v>-0.02830905931782</v>
      </c>
      <c r="E63" s="744" t="n">
        <f aca="false">'Cuenta Ahorro-Inversión-Financi'!AY103</f>
        <v>-0.00750733306177321</v>
      </c>
      <c r="H63" s="782" t="n">
        <v>-0.032874367663993</v>
      </c>
      <c r="I63" s="783"/>
      <c r="J63" s="1"/>
      <c r="K63" s="1"/>
      <c r="L63" s="1"/>
      <c r="M63" s="1"/>
      <c r="N63" s="456" t="n">
        <f aca="false">'Exogenous tax and expenses'!H63+SUM('Exogenous tax and expenses'!Q54:S54)+'Exogenous tax and expenses'!W54+'Exogenous tax and expenses'!U54+'Cuenta Ahorro-Inversión-Financi'!L31/1000/'PIB corriente base 2004'!X19-SUM('Exogenous tax and expenses'!Y54:AD54)</f>
        <v>-0.0116326058731308</v>
      </c>
      <c r="O63" s="1"/>
      <c r="P63" s="1"/>
      <c r="Q63" s="1"/>
      <c r="R63" s="730"/>
      <c r="S63" s="730"/>
      <c r="T63" s="456"/>
      <c r="U63" s="456"/>
      <c r="V63" s="456"/>
      <c r="W63" s="456"/>
      <c r="X63" s="456"/>
      <c r="Y63" s="456"/>
      <c r="Z63" s="456"/>
      <c r="AA63" s="456"/>
      <c r="AB63" s="456"/>
      <c r="AC63" s="456"/>
      <c r="AD63" s="1"/>
      <c r="AE63" s="456"/>
      <c r="AF63" s="1"/>
      <c r="AG63" s="1"/>
      <c r="AH63" s="1"/>
      <c r="AI63" s="1"/>
      <c r="AJ63" s="1"/>
      <c r="AK63" s="1"/>
      <c r="AL63" s="775" t="n">
        <f aca="false">E45-D45</f>
        <v>0.0176461444775151</v>
      </c>
      <c r="AM63" s="779" t="n">
        <f aca="false">(SUM(Q9:X9)-SUM(Y9:AF9)-V9-T9)/'PIB corriente base 1993'!$V12/1000</f>
        <v>0.0243521275912934</v>
      </c>
      <c r="AN63" s="779" t="n">
        <f aca="false">AM63-AL63</f>
        <v>0.00670598311377838</v>
      </c>
      <c r="AO63" s="1"/>
      <c r="AP63" s="1"/>
      <c r="AQ63" s="1"/>
      <c r="AR63" s="1"/>
    </row>
    <row r="64" customFormat="false" ht="13.8" hidden="false" customHeight="false" outlineLevel="0" collapsed="false">
      <c r="B64" s="781"/>
      <c r="C64" s="1" t="n">
        <f aca="false">'Exogenous tax and expenses'!C63+1</f>
        <v>2016</v>
      </c>
      <c r="D64" s="745" t="n">
        <f aca="false">'Cuenta Ahorro-Inversión-Financi'!AW65</f>
        <v>-0.0326337137303945</v>
      </c>
      <c r="E64" s="745" t="n">
        <f aca="false">'Cuenta Ahorro-Inversión-Financi'!AZ104</f>
        <v>-0.0203467996958489</v>
      </c>
      <c r="H64" s="782" t="n">
        <v>-0.0327697671041841</v>
      </c>
      <c r="I64" s="782" t="n">
        <v>-0.0328097350766333</v>
      </c>
      <c r="J64" s="1"/>
      <c r="K64" s="1"/>
      <c r="L64" s="1"/>
      <c r="M64" s="1"/>
      <c r="N64" s="456" t="n">
        <f aca="false">'Exogenous tax and expenses'!H64+SUM('Exogenous tax and expenses'!Q55:S55)+'Exogenous tax and expenses'!W55+'Exogenous tax and expenses'!U55+'Cuenta Ahorro-Inversión-Financi'!L32/1000/'PIB corriente base 2004'!X20-SUM('Exogenous tax and expenses'!Y55:AD55)</f>
        <v>-0.0138837437393513</v>
      </c>
      <c r="O64" s="456" t="n">
        <f aca="false">'Exogenous tax and expenses'!I64+SUM('Exogenous tax and expenses'!Q55:S55)+'Exogenous tax and expenses'!W55+'Exogenous tax and expenses'!U55+'Cuenta Ahorro-Inversión-Financi'!L32/1000/'PIB corriente base 2004'!X20-SUM('Exogenous tax and expenses'!Y55:AF55)</f>
        <v>-0.019198273183777</v>
      </c>
      <c r="P64" s="1"/>
      <c r="Q64" s="1"/>
      <c r="R64" s="730"/>
      <c r="S64" s="730"/>
      <c r="T64" s="456"/>
      <c r="U64" s="456"/>
      <c r="V64" s="456"/>
      <c r="W64" s="456"/>
      <c r="X64" s="456"/>
      <c r="Y64" s="456"/>
      <c r="Z64" s="456"/>
      <c r="AA64" s="456"/>
      <c r="AB64" s="456"/>
      <c r="AC64" s="456"/>
      <c r="AD64" s="1"/>
      <c r="AE64" s="456"/>
      <c r="AF64" s="1"/>
      <c r="AG64" s="1"/>
      <c r="AH64" s="1"/>
      <c r="AI64" s="1"/>
      <c r="AJ64" s="1"/>
      <c r="AK64" s="1"/>
      <c r="AL64" s="780" t="n">
        <f aca="false">E46-D46</f>
        <v>0.0244850201801493</v>
      </c>
      <c r="AM64" s="779" t="n">
        <f aca="false">(SUM(Q10:X10)-SUM(Y10:AF10)-V10-T10)/'PIB corriente base 1993'!$V13/1000</f>
        <v>0.0241412292968373</v>
      </c>
      <c r="AN64" s="779" t="n">
        <f aca="false">AM64-AL64</f>
        <v>-0.000343790883311941</v>
      </c>
      <c r="AO64" s="1"/>
      <c r="AP64" s="1"/>
      <c r="AQ64" s="1"/>
      <c r="AR64" s="1"/>
    </row>
    <row r="65" customFormat="false" ht="13.8" hidden="false" customHeight="false" outlineLevel="0" collapsed="false">
      <c r="B65" s="781"/>
      <c r="C65" s="1" t="n">
        <f aca="false">'Exogenous tax and expenses'!C64+1</f>
        <v>2017</v>
      </c>
      <c r="D65" s="744" t="n">
        <f aca="false">'Cuenta Ahorro-Inversión-Financi'!AW66</f>
        <v>-0.0323299618518769</v>
      </c>
      <c r="E65" s="744" t="n">
        <f aca="false">'Cuenta Ahorro-Inversión-Financi'!AZ105</f>
        <v>-0.0241047020081896</v>
      </c>
      <c r="F65" s="785" t="n">
        <v>-0.0365639649224516</v>
      </c>
      <c r="G65" s="785" t="n">
        <v>-0.0371075795815644</v>
      </c>
      <c r="H65" s="782" t="n">
        <v>-0.0365702872794049</v>
      </c>
      <c r="I65" s="782" t="n">
        <v>-0.0371139019385177</v>
      </c>
      <c r="J65" s="456" t="n">
        <v>-0.0365591602545875</v>
      </c>
      <c r="K65" s="456" t="n">
        <v>-0.0371027749137004</v>
      </c>
      <c r="L65" s="456"/>
      <c r="M65" s="456"/>
      <c r="N65" s="456" t="n">
        <f aca="false">'Exogenous tax and expenses'!$H65+SUM('Exogenous tax and expenses'!Q56:S56)+'Exogenous tax and expenses'!W56+'Exogenous tax and expenses'!U56+'Cuenta Ahorro-Inversión-Financi'!L33/1000/'PIB corriente base 2004'!X21-SUM('Exogenous tax and expenses'!Y56:AD56)</f>
        <v>-0.0171695195723602</v>
      </c>
      <c r="O65" s="456" t="n">
        <f aca="false">'Exogenous tax and expenses'!I65+SUM('Exogenous tax and expenses'!Q56:S56)+'Exogenous tax and expenses'!W56+'Exogenous tax and expenses'!U56+'Cuenta Ahorro-Inversión-Financi'!L33/1000/'PIB corriente base 2004'!X21-SUM('Exogenous tax and expenses'!Y56:AF56)</f>
        <v>-0.0260574468197058</v>
      </c>
      <c r="P65" s="1"/>
      <c r="Q65" s="1"/>
      <c r="R65" s="730"/>
      <c r="S65" s="730"/>
      <c r="T65" s="456"/>
      <c r="U65" s="456"/>
      <c r="V65" s="456"/>
      <c r="W65" s="456"/>
      <c r="X65" s="456"/>
      <c r="Y65" s="456"/>
      <c r="Z65" s="456"/>
      <c r="AA65" s="456"/>
      <c r="AB65" s="456"/>
      <c r="AC65" s="456"/>
      <c r="AD65" s="1"/>
      <c r="AE65" s="456"/>
      <c r="AF65" s="1"/>
      <c r="AG65" s="1"/>
      <c r="AH65" s="1"/>
      <c r="AI65" s="1"/>
      <c r="AJ65" s="1"/>
      <c r="AK65" s="1"/>
      <c r="AL65" s="775" t="n">
        <f aca="false">E47-D47</f>
        <v>0.0243919488520184</v>
      </c>
      <c r="AM65" s="779" t="n">
        <f aca="false">(SUM(Q11:X11)-SUM(Y11:AF11)-V11-T11)/'PIB corriente base 1993'!$V14/1000</f>
        <v>0.0246453320732551</v>
      </c>
      <c r="AN65" s="779" t="n">
        <f aca="false">AM65-AL65</f>
        <v>0.000253383221236723</v>
      </c>
      <c r="AO65" s="1"/>
      <c r="AP65" s="1"/>
      <c r="AQ65" s="1"/>
      <c r="AR65" s="1"/>
    </row>
    <row r="66" customFormat="false" ht="13.8" hidden="false" customHeight="false" outlineLevel="0" collapsed="false">
      <c r="B66" s="781"/>
      <c r="C66" s="1" t="n">
        <v>2018</v>
      </c>
      <c r="D66" s="745" t="n">
        <f aca="false">'Cuenta Ahorro-Inversión-Financi'!AW67</f>
        <v>-0.0334894091561111</v>
      </c>
      <c r="E66" s="745" t="n">
        <f aca="false">'Cuenta Ahorro-Inversión-Financi'!AZ106</f>
        <v>-0.0182717978002125</v>
      </c>
      <c r="F66" s="785" t="n">
        <v>-0.0357632291353611</v>
      </c>
      <c r="G66" s="785" t="n">
        <v>-0.0367149758741444</v>
      </c>
      <c r="H66" s="782" t="n">
        <v>-0.0358092776478131</v>
      </c>
      <c r="I66" s="782" t="n">
        <v>-0.0367610243865964</v>
      </c>
      <c r="J66" s="456" t="n">
        <v>-0.0366169480848828</v>
      </c>
      <c r="K66" s="456" t="n">
        <v>-0.0375686948236661</v>
      </c>
      <c r="L66" s="456" t="n">
        <f aca="false">'Exogenous tax and expenses'!F66+SUM('Exogenous tax and expenses'!Q57:W57)+'Cuenta Ahorro-Inversión-Financi'!L34/1000/'PIB corriente base 2004'!X22-SUM('Exogenous tax and expenses'!Y57:AD57)-T57</f>
        <v>-0.00699926064731453</v>
      </c>
      <c r="M66" s="456" t="n">
        <f aca="false">'Exogenous tax and expenses'!G66+SUM('Exogenous tax and expenses'!Q57:W57)+'Cuenta Ahorro-Inversión-Financi'!L34/1000/'PIB corriente base 2004'!X22-SUM('Exogenous tax and expenses'!Y57:AF57)-T57</f>
        <v>-0.0208347084353058</v>
      </c>
      <c r="N66" s="456" t="n">
        <f aca="false">'Exogenous tax and expenses'!H66+SUM('Exogenous tax and expenses'!Q57:W57)+'Cuenta Ahorro-Inversión-Financi'!L34/1000/'PIB corriente base 2004'!X22-SUM('Exogenous tax and expenses'!Y57:AD57)-T57</f>
        <v>-0.00704530915976654</v>
      </c>
      <c r="O66" s="456" t="n">
        <f aca="false">'Exogenous tax and expenses'!I66+SUM('Exogenous tax and expenses'!Q57:W57)+'Cuenta Ahorro-Inversión-Financi'!L34/1000/'PIB corriente base 2004'!X22-SUM('Exogenous tax and expenses'!Y57:AF57)-T57</f>
        <v>-0.0208807569477578</v>
      </c>
      <c r="P66" s="456" t="n">
        <f aca="false">'Exogenous tax and expenses'!J66+SUM('Exogenous tax and expenses'!Q57:W57)+'Cuenta Ahorro-Inversión-Financi'!L34/1000/'PIB corriente base 2004'!X22-SUM('Exogenous tax and expenses'!Y57:AD57)-T57</f>
        <v>-0.00785297959683623</v>
      </c>
      <c r="Q66" s="456" t="n">
        <f aca="false">'Exogenous tax and expenses'!K66+SUM('Exogenous tax and expenses'!Q57:W57)+'Cuenta Ahorro-Inversión-Financi'!L34/1000/'PIB corriente base 2004'!X22-SUM('Exogenous tax and expenses'!Y57:AF57)-T57</f>
        <v>-0.0216884273848275</v>
      </c>
      <c r="R66" s="730"/>
      <c r="S66" s="730"/>
      <c r="T66" s="456"/>
      <c r="U66" s="456"/>
      <c r="V66" s="456"/>
      <c r="W66" s="456"/>
      <c r="X66" s="456"/>
      <c r="Y66" s="456"/>
      <c r="Z66" s="456"/>
      <c r="AA66" s="456"/>
      <c r="AB66" s="456"/>
      <c r="AC66" s="456"/>
      <c r="AD66" s="456"/>
      <c r="AE66" s="456"/>
      <c r="AF66" s="456"/>
      <c r="AG66" s="456"/>
      <c r="AH66" s="1"/>
      <c r="AI66" s="1"/>
      <c r="AJ66" s="1"/>
      <c r="AK66" s="1"/>
      <c r="AL66" s="780" t="n">
        <f aca="false">E48-D48</f>
        <v>0.0270369520828267</v>
      </c>
      <c r="AM66" s="779" t="n">
        <f aca="false">(SUM(Q12:X12)-SUM(Y12:AF12)-V12-T12)/'PIB corriente base 1993'!$V15/1000</f>
        <v>0.0270959000492566</v>
      </c>
      <c r="AN66" s="779" t="n">
        <f aca="false">AM66-AL66</f>
        <v>5.89479664298911E-005</v>
      </c>
      <c r="AO66" s="1"/>
      <c r="AP66" s="1"/>
      <c r="AQ66" s="1"/>
      <c r="AR66" s="1"/>
    </row>
    <row r="67" customFormat="false" ht="13.8" hidden="false" customHeight="false" outlineLevel="0" collapsed="false">
      <c r="B67" s="781" t="s">
        <v>1062</v>
      </c>
      <c r="C67" s="1" t="n">
        <f aca="false">'Exogenous tax and expenses'!C66+1</f>
        <v>2019</v>
      </c>
      <c r="D67" s="744"/>
      <c r="E67" s="744"/>
      <c r="F67" s="785" t="n">
        <v>-0.0364597829119719</v>
      </c>
      <c r="G67" s="785" t="n">
        <v>-0.0373180509241864</v>
      </c>
      <c r="H67" s="782" t="n">
        <v>-0.03652541817562</v>
      </c>
      <c r="I67" s="782" t="n">
        <v>-0.0373836861878346</v>
      </c>
      <c r="J67" s="456" t="n">
        <v>-0.0370734356016667</v>
      </c>
      <c r="K67" s="456" t="n">
        <v>-0.0379249050069468</v>
      </c>
      <c r="L67" s="456" t="n">
        <f aca="false">'Exogenous tax and expenses'!F67+$S$61+$T$61+$U$61+$V$61+$W$61-$Y$61-$AA$61-$AB$61-$AC$61-$AD$61</f>
        <v>-0.0100130974974368</v>
      </c>
      <c r="M67" s="456" t="n">
        <f aca="false">'Exogenous tax and expenses'!G67+$S$61+$T$61+$U$61+$V$61+$W$61-$Y$61-$AA$61-$AB$61-$AC$61-$AD$61-$W$61*12/15</f>
        <v>-0.0234253871981359</v>
      </c>
      <c r="N67" s="456" t="n">
        <f aca="false">'Exogenous tax and expenses'!H67+$S$61+$T$61+$U$61+$V$61+$W$61-$Y$61-$AA$61-$AB$61-$AC$61-$AD$61</f>
        <v>-0.0100787327610849</v>
      </c>
      <c r="O67" s="456" t="n">
        <f aca="false">'Exogenous tax and expenses'!I67+$S$61+$T$61+$U$61+$V$61+$W$61-$Y$61-$AA$61-$AB$61-$AC$61-$AD$61-$W$61*12/15</f>
        <v>-0.0234910224617841</v>
      </c>
      <c r="P67" s="456" t="n">
        <f aca="false">'Exogenous tax and expenses'!J67+$S$61+$T$61+$U$61+$V$61+$W$61-$Y$61-$AA$61-$AB$61-$AC$61-$AD$61</f>
        <v>-0.0106267501871316</v>
      </c>
      <c r="Q67" s="456" t="n">
        <f aca="false">'Exogenous tax and expenses'!K67+$S$61+$T$61+$U$61+$V$61+$W$61-$Y$61-$AA$61-$AB$61-$AC$61-$AD$61-$W$61*12/15</f>
        <v>-0.0240322412808963</v>
      </c>
      <c r="R67" s="730"/>
      <c r="S67" s="730"/>
      <c r="T67" s="456"/>
      <c r="U67" s="456"/>
      <c r="V67" s="456"/>
      <c r="W67" s="456"/>
      <c r="X67" s="456"/>
      <c r="Y67" s="456"/>
      <c r="Z67" s="456"/>
      <c r="AA67" s="456"/>
      <c r="AB67" s="456"/>
      <c r="AC67" s="456"/>
      <c r="AD67" s="456"/>
      <c r="AE67" s="456"/>
      <c r="AF67" s="456"/>
      <c r="AG67" s="456"/>
      <c r="AH67" s="1"/>
      <c r="AI67" s="1"/>
      <c r="AJ67" s="1"/>
      <c r="AK67" s="1"/>
      <c r="AL67" s="775" t="n">
        <f aca="false">E49-D49</f>
        <v>0.0241675689156573</v>
      </c>
      <c r="AM67" s="779" t="n">
        <f aca="false">(SUM(Q13:X13)-SUM(Y13:AF13)-V13-T13)/'PIB corriente base 1993'!$V16/1000</f>
        <v>0.0246712640682631</v>
      </c>
      <c r="AN67" s="779" t="n">
        <f aca="false">AM67-AL67</f>
        <v>0.000503695152605829</v>
      </c>
      <c r="AO67" s="1"/>
      <c r="AP67" s="1"/>
      <c r="AQ67" s="1"/>
      <c r="AR67" s="1"/>
    </row>
    <row r="68" customFormat="false" ht="13.8" hidden="false" customHeight="false" outlineLevel="0" collapsed="false">
      <c r="B68" s="781"/>
      <c r="C68" s="1" t="n">
        <f aca="false">'Exogenous tax and expenses'!C67+1</f>
        <v>2020</v>
      </c>
      <c r="D68" s="744"/>
      <c r="E68" s="744"/>
      <c r="F68" s="785" t="n">
        <v>-0.0374027746313397</v>
      </c>
      <c r="G68" s="785" t="n">
        <v>-0.0385205241000064</v>
      </c>
      <c r="H68" s="782" t="n">
        <v>-0.0370199974353292</v>
      </c>
      <c r="I68" s="782" t="n">
        <v>-0.0381385600424372</v>
      </c>
      <c r="J68" s="456" t="n">
        <v>-0.0351334242059265</v>
      </c>
      <c r="K68" s="456" t="n">
        <v>-0.0362465965748468</v>
      </c>
      <c r="L68" s="456" t="n">
        <f aca="false">'Exogenous tax and expenses'!F68+$S$61+$T$61+$U$61+$V$61+$W$61-$Y$61-$AA$61-$AB$61-$AC$61-$AD$61</f>
        <v>-0.0109560892168046</v>
      </c>
      <c r="M68" s="456" t="n">
        <f aca="false">'Exogenous tax and expenses'!G68+$S$61+$T$61+$U$61+$V$61+$W$61-$Y$61-$AA$61-$AB$61-$AC$61-$AD$61-$W$61*15/15</f>
        <v>-0.0277663657960771</v>
      </c>
      <c r="N68" s="456" t="n">
        <f aca="false">'Exogenous tax and expenses'!H68+$S$61+$T$61+$U$61+$V$61+$W$61-$Y$61-$AA$61-$AB$61-$AC$61-$AD$61</f>
        <v>-0.0105733120207941</v>
      </c>
      <c r="O68" s="456" t="n">
        <f aca="false">'Exogenous tax and expenses'!I68+$S$61+$T$61+$U$61+$V$61+$W$61-$Y$61-$AA$61-$AB$61-$AC$61-$AD$61-$W$61*15/15</f>
        <v>-0.0273844017385079</v>
      </c>
      <c r="P68" s="456" t="n">
        <f aca="false">'Exogenous tax and expenses'!J68+$S$61+$T$61+$U$61+$V$61+$W$61-$Y$61-$AA$61-$AB$61-$AC$61-$AD$61</f>
        <v>-0.00868673879139144</v>
      </c>
      <c r="Q68" s="456" t="n">
        <f aca="false">'Exogenous tax and expenses'!K68+$S$61+$T$61+$U$61+$V$61+$W$61-$Y$61-$AA$61-$AB$61-$AC$61-$AD$61-$W$61*15/15</f>
        <v>-0.0254924382709175</v>
      </c>
      <c r="R68" s="730"/>
      <c r="S68" s="730"/>
      <c r="T68" s="456"/>
      <c r="U68" s="456"/>
      <c r="V68" s="456"/>
      <c r="W68" s="456"/>
      <c r="X68" s="456"/>
      <c r="Y68" s="456"/>
      <c r="Z68" s="456"/>
      <c r="AA68" s="456"/>
      <c r="AB68" s="456"/>
      <c r="AC68" s="456"/>
      <c r="AD68" s="456"/>
      <c r="AE68" s="456"/>
      <c r="AF68" s="456"/>
      <c r="AG68" s="456"/>
      <c r="AH68" s="1"/>
      <c r="AI68" s="1"/>
      <c r="AJ68" s="1"/>
      <c r="AK68" s="1"/>
      <c r="AL68" s="780" t="n">
        <f aca="false">E50-D50</f>
        <v>0.0182604777739804</v>
      </c>
      <c r="AM68" s="779" t="n">
        <f aca="false">(SUM(Q14:X14)-SUM(Y14:AF14)-V14-T14)/'PIB corriente base 1993'!$V17/1000</f>
        <v>0.01970040707664</v>
      </c>
      <c r="AN68" s="779" t="n">
        <f aca="false">AM68-AL68</f>
        <v>0.00143992930265963</v>
      </c>
      <c r="AO68" s="1"/>
      <c r="AP68" s="1"/>
      <c r="AQ68" s="1"/>
      <c r="AR68" s="1"/>
    </row>
    <row r="69" customFormat="false" ht="13.8" hidden="false" customHeight="false" outlineLevel="0" collapsed="false">
      <c r="B69" s="781"/>
      <c r="C69" s="1" t="n">
        <f aca="false">'Exogenous tax and expenses'!C68+1</f>
        <v>2021</v>
      </c>
      <c r="D69" s="744"/>
      <c r="E69" s="744"/>
      <c r="F69" s="785" t="n">
        <v>-0.0442284456878788</v>
      </c>
      <c r="G69" s="785" t="n">
        <v>-0.0457647784151146</v>
      </c>
      <c r="H69" s="782" t="n">
        <v>-0.042427483321216</v>
      </c>
      <c r="I69" s="782" t="n">
        <v>-0.0439709774303386</v>
      </c>
      <c r="J69" s="456" t="n">
        <v>-0.0382079180664949</v>
      </c>
      <c r="K69" s="456" t="n">
        <v>-0.0397536319743751</v>
      </c>
      <c r="L69" s="456" t="n">
        <f aca="false">'Exogenous tax and expenses'!F69+$S$61+$T$61+$U$61+$V$61+$W$61-$Y$61-$AA$61-$AB$61-$AC$61-$AD$61</f>
        <v>-0.0177817602733437</v>
      </c>
      <c r="M69" s="456" t="n">
        <f aca="false">'Exogenous tax and expenses'!G69+$S$61+$T$61+$U$61+$V$61+$W$61-$Y$61-$AA$61-$AB$61-$AC$61-$AD$61-$W$61*15/15</f>
        <v>-0.0350106201111853</v>
      </c>
      <c r="N69" s="456" t="n">
        <f aca="false">'Exogenous tax and expenses'!H69+$S$61+$T$61+$U$61+$V$61+$W$61-$Y$61-$AA$61-$AB$61-$AC$61-$AD$61</f>
        <v>-0.0159807979066809</v>
      </c>
      <c r="O69" s="456" t="n">
        <f aca="false">'Exogenous tax and expenses'!I69+$S$61+$T$61+$U$61+$V$61+$W$61-$Y$61-$AA$61-$AB$61-$AC$61-$AD$61-$W$61*15/15</f>
        <v>-0.0332168191264093</v>
      </c>
      <c r="P69" s="456" t="n">
        <f aca="false">'Exogenous tax and expenses'!J69+$S$61+$T$61+$U$61+$V$61+$W$61-$Y$61-$AA$61-$AB$61-$AC$61-$AD$61</f>
        <v>-0.0117612326519598</v>
      </c>
      <c r="Q69" s="456" t="n">
        <f aca="false">'Exogenous tax and expenses'!K69+$S$61+$T$61+$U$61+$V$61+$W$61-$Y$61-$AA$61-$AB$61-$AC$61-$AD$61-$W$61*15/15</f>
        <v>-0.0289994736704458</v>
      </c>
      <c r="R69" s="730"/>
      <c r="S69" s="730"/>
      <c r="T69" s="456"/>
      <c r="U69" s="456"/>
      <c r="V69" s="456"/>
      <c r="W69" s="456"/>
      <c r="X69" s="456"/>
      <c r="Y69" s="456"/>
      <c r="Z69" s="456"/>
      <c r="AA69" s="456"/>
      <c r="AB69" s="456"/>
      <c r="AC69" s="456"/>
      <c r="AD69" s="456"/>
      <c r="AE69" s="456"/>
      <c r="AF69" s="456"/>
      <c r="AG69" s="456"/>
      <c r="AH69" s="1"/>
      <c r="AI69" s="1"/>
      <c r="AJ69" s="1"/>
      <c r="AK69" s="1"/>
      <c r="AL69" s="786" t="n">
        <f aca="false">E51-D51</f>
        <v>0.0228308640419813</v>
      </c>
      <c r="AM69" s="779" t="n">
        <f aca="false">(SUM(Q15:X15)-SUM(Y15:AF15)-V15-T15)/'PIB corriente base 1993'!$V18/1000</f>
        <v>0.0240517956833036</v>
      </c>
      <c r="AN69" s="779" t="n">
        <f aca="false">AM69-AL69</f>
        <v>0.00122093164132229</v>
      </c>
      <c r="AO69" s="1"/>
      <c r="AP69" s="1"/>
      <c r="AQ69" s="1"/>
      <c r="AR69" s="1"/>
    </row>
    <row r="70" customFormat="false" ht="13.8" hidden="false" customHeight="false" outlineLevel="0" collapsed="false">
      <c r="B70" s="781"/>
      <c r="C70" s="1" t="n">
        <f aca="false">'Exogenous tax and expenses'!C69+1</f>
        <v>2022</v>
      </c>
      <c r="D70" s="744"/>
      <c r="E70" s="744"/>
      <c r="F70" s="785" t="n">
        <v>-0.0486890568314624</v>
      </c>
      <c r="G70" s="785" t="n">
        <v>-0.0506250125633642</v>
      </c>
      <c r="H70" s="782" t="n">
        <v>-0.0461975069932162</v>
      </c>
      <c r="I70" s="782" t="n">
        <v>-0.048177018712303</v>
      </c>
      <c r="J70" s="456" t="n">
        <v>-0.0409348310713318</v>
      </c>
      <c r="K70" s="456" t="n">
        <v>-0.0428697972784954</v>
      </c>
      <c r="L70" s="456" t="n">
        <f aca="false">'Exogenous tax and expenses'!F70+$S$61+$T$61+$U$61+$V$61+$W$61-$Y$61-$AA$61-$AB$61-$AC$61-$AD$61</f>
        <v>-0.0222423714169273</v>
      </c>
      <c r="M70" s="456" t="n">
        <f aca="false">'Exogenous tax and expenses'!G70+$S$61+$T$61+$U$61+$V$61+$W$61-$Y$61-$AA$61-$AB$61-$AC$61-$AD$61-$W$61*15/15</f>
        <v>-0.0398708542594349</v>
      </c>
      <c r="N70" s="456" t="n">
        <f aca="false">'Exogenous tax and expenses'!H70+$S$61+$T$61+$U$61+$V$61+$W$61-$Y$61-$AA$61-$AB$61-$AC$61-$AD$61</f>
        <v>-0.0197508215786811</v>
      </c>
      <c r="O70" s="456" t="n">
        <f aca="false">'Exogenous tax and expenses'!I70+$S$61+$T$61+$U$61+$V$61+$W$61-$Y$61-$AA$61-$AB$61-$AC$61-$AD$61-$W$61*15/15</f>
        <v>-0.0374228604083737</v>
      </c>
      <c r="P70" s="456" t="n">
        <f aca="false">'Exogenous tax and expenses'!J70+$S$61+$T$61+$U$61+$V$61+$W$61-$Y$61-$AA$61-$AB$61-$AC$61-$AD$61</f>
        <v>-0.0144881456567967</v>
      </c>
      <c r="Q70" s="456" t="n">
        <f aca="false">'Exogenous tax and expenses'!K70+$S$61+$T$61+$U$61+$V$61+$W$61-$Y$61-$AA$61-$AB$61-$AC$61-$AD$61-$W$61*15/15</f>
        <v>-0.0321156389745661</v>
      </c>
      <c r="R70" s="730"/>
      <c r="S70" s="730"/>
      <c r="T70" s="456"/>
      <c r="U70" s="456"/>
      <c r="V70" s="456"/>
      <c r="W70" s="456"/>
      <c r="X70" s="456"/>
      <c r="Y70" s="456"/>
      <c r="Z70" s="456"/>
      <c r="AA70" s="456"/>
      <c r="AB70" s="456"/>
      <c r="AC70" s="456"/>
      <c r="AD70" s="456"/>
      <c r="AE70" s="456"/>
      <c r="AF70" s="456"/>
      <c r="AG70" s="456"/>
      <c r="AH70" s="1"/>
      <c r="AI70" s="1"/>
      <c r="AJ70" s="1"/>
      <c r="AK70" s="1"/>
      <c r="AL70" s="780" t="n">
        <f aca="false">E52-D52</f>
        <v>0.0257067013730123</v>
      </c>
      <c r="AM70" s="779" t="n">
        <f aca="false">(SUM(Q16:X16)-SUM(Y16:AF16)-V16-T16)/1000/'PIB corriente base 2004'!X8</f>
        <v>0.0280748074870644</v>
      </c>
      <c r="AN70" s="779" t="n">
        <f aca="false">AM70-AL70</f>
        <v>0.00236810611405203</v>
      </c>
      <c r="AO70" s="1"/>
      <c r="AP70" s="1"/>
      <c r="AQ70" s="1"/>
      <c r="AR70" s="1"/>
    </row>
    <row r="71" customFormat="false" ht="13.8" hidden="false" customHeight="false" outlineLevel="0" collapsed="false">
      <c r="B71" s="781"/>
      <c r="C71" s="1" t="n">
        <f aca="false">'Exogenous tax and expenses'!C70+1</f>
        <v>2023</v>
      </c>
      <c r="D71" s="744"/>
      <c r="E71" s="744"/>
      <c r="F71" s="785" t="n">
        <v>-0.0504073501250018</v>
      </c>
      <c r="G71" s="785" t="n">
        <v>-0.0526642883638036</v>
      </c>
      <c r="H71" s="782" t="n">
        <v>-0.0453109280605022</v>
      </c>
      <c r="I71" s="782" t="n">
        <v>-0.0475742517066878</v>
      </c>
      <c r="J71" s="456" t="n">
        <v>-0.0401569492100004</v>
      </c>
      <c r="K71" s="456" t="n">
        <v>-0.0424059810911931</v>
      </c>
      <c r="L71" s="456" t="n">
        <f aca="false">'Exogenous tax and expenses'!F71+$S$61+$T$61+$U$61+$V$61+$W$61-$Y$61-$AA$61-$AB$61-$AC$61-$AD$61</f>
        <v>-0.0239606647104667</v>
      </c>
      <c r="M71" s="456" t="n">
        <f aca="false">'Exogenous tax and expenses'!G71+$S$61+$T$61+$U$61+$V$61+$W$61-$Y$61-$AA$61-$AB$61-$AC$61-$AD$61-$W$61*15/15</f>
        <v>-0.0419101300598743</v>
      </c>
      <c r="N71" s="456" t="n">
        <f aca="false">'Exogenous tax and expenses'!H71+$S$61+$T$61+$U$61+$V$61+$W$61-$Y$61-$AA$61-$AB$61-$AC$61-$AD$61</f>
        <v>-0.0188642426459671</v>
      </c>
      <c r="O71" s="456" t="n">
        <f aca="false">'Exogenous tax and expenses'!I71+$S$61+$T$61+$U$61+$V$61+$W$61-$Y$61-$AA$61-$AB$61-$AC$61-$AD$61-$W$61*15/15</f>
        <v>-0.0368200934027585</v>
      </c>
      <c r="P71" s="456" t="n">
        <f aca="false">'Exogenous tax and expenses'!J71+$S$61+$T$61+$U$61+$V$61+$W$61-$Y$61-$AA$61-$AB$61-$AC$61-$AD$61</f>
        <v>-0.0137102637954653</v>
      </c>
      <c r="Q71" s="456" t="n">
        <f aca="false">'Exogenous tax and expenses'!K71+$S$61+$T$61+$U$61+$V$61+$W$61-$Y$61-$AA$61-$AB$61-$AC$61-$AD$61-$W$61*15/15</f>
        <v>-0.0316518227872638</v>
      </c>
      <c r="R71" s="730"/>
      <c r="S71" s="730"/>
      <c r="T71" s="456"/>
      <c r="U71" s="456"/>
      <c r="V71" s="456"/>
      <c r="W71" s="456"/>
      <c r="X71" s="456"/>
      <c r="Y71" s="456"/>
      <c r="Z71" s="456"/>
      <c r="AA71" s="456"/>
      <c r="AB71" s="456"/>
      <c r="AC71" s="456"/>
      <c r="AD71" s="456"/>
      <c r="AE71" s="456"/>
      <c r="AF71" s="456"/>
      <c r="AG71" s="456"/>
      <c r="AH71" s="1"/>
      <c r="AI71" s="1"/>
      <c r="AJ71" s="1"/>
      <c r="AK71" s="1"/>
      <c r="AL71" s="775" t="n">
        <f aca="false">E53-D53</f>
        <v>0.0254817483018377</v>
      </c>
      <c r="AM71" s="779" t="n">
        <f aca="false">(SUM(Q17:X17)-SUM(Y17:AF17)-V17-T17)/1000/'PIB corriente base 2004'!X9</f>
        <v>0.0286967349330796</v>
      </c>
      <c r="AN71" s="779" t="n">
        <f aca="false">AM71-AL71</f>
        <v>0.00321498663124195</v>
      </c>
      <c r="AO71" s="1"/>
      <c r="AP71" s="1"/>
      <c r="AQ71" s="1"/>
      <c r="AR71" s="1"/>
    </row>
    <row r="72" customFormat="false" ht="13.8" hidden="false" customHeight="false" outlineLevel="0" collapsed="false">
      <c r="B72" s="781"/>
      <c r="C72" s="1" t="n">
        <f aca="false">'Exogenous tax and expenses'!C71+1</f>
        <v>2024</v>
      </c>
      <c r="D72" s="744"/>
      <c r="E72" s="744"/>
      <c r="F72" s="785" t="n">
        <v>-0.050906686936759</v>
      </c>
      <c r="G72" s="785" t="n">
        <v>-0.0535173174380493</v>
      </c>
      <c r="H72" s="787" t="n">
        <v>-0.0444439165166305</v>
      </c>
      <c r="I72" s="787" t="n">
        <v>-0.0470565718617647</v>
      </c>
      <c r="J72" s="456" t="n">
        <v>-0.0390795945719281</v>
      </c>
      <c r="K72" s="456" t="n">
        <v>-0.0416772566552839</v>
      </c>
      <c r="L72" s="456" t="n">
        <f aca="false">'Exogenous tax and expenses'!F72+$S$61+$T$61+$U$61+$V$61+$W$61-$Y$61-$AA$61-$AB$61-$AC$61-$AD$61</f>
        <v>-0.0244600015222239</v>
      </c>
      <c r="M72" s="456" t="n">
        <f aca="false">'Exogenous tax and expenses'!G72+$S$61+$T$61+$U$61+$V$61+$W$61-$Y$61-$AA$61-$AB$61-$AC$61-$AD$61-$W$61*15/15</f>
        <v>-0.04276315913412</v>
      </c>
      <c r="N72" s="456" t="n">
        <f aca="false">'Exogenous tax and expenses'!H72+$S$61+$T$61+$U$61+$V$61+$W$61-$Y$61-$AA$61-$AB$61-$AC$61-$AD$61</f>
        <v>-0.0179972311020954</v>
      </c>
      <c r="O72" s="456" t="n">
        <f aca="false">'Exogenous tax and expenses'!I72+$S$61+$T$61+$U$61+$V$61+$W$61-$Y$61-$AA$61-$AB$61-$AC$61-$AD$61-$W$61*15/15</f>
        <v>-0.0363024135578354</v>
      </c>
      <c r="P72" s="456" t="n">
        <f aca="false">'Exogenous tax and expenses'!J72+$S$61+$T$61+$U$61+$V$61+$W$61-$Y$61-$AA$61-$AB$61-$AC$61-$AD$61</f>
        <v>-0.012632909157393</v>
      </c>
      <c r="Q72" s="456" t="n">
        <f aca="false">'Exogenous tax and expenses'!K72+$S$61+$T$61+$U$61+$V$61+$W$61-$Y$61-$AA$61-$AB$61-$AC$61-$AD$61-$W$61*15/15</f>
        <v>-0.0309230983513546</v>
      </c>
      <c r="R72" s="730"/>
      <c r="S72" s="730"/>
      <c r="T72" s="456"/>
      <c r="U72" s="456"/>
      <c r="V72" s="456"/>
      <c r="W72" s="456"/>
      <c r="X72" s="456"/>
      <c r="Y72" s="456"/>
      <c r="Z72" s="456"/>
      <c r="AA72" s="456"/>
      <c r="AB72" s="456"/>
      <c r="AC72" s="456"/>
      <c r="AD72" s="456"/>
      <c r="AE72" s="456"/>
      <c r="AF72" s="456"/>
      <c r="AG72" s="456"/>
      <c r="AH72" s="1"/>
      <c r="AI72" s="1"/>
      <c r="AJ72" s="1"/>
      <c r="AK72" s="1"/>
      <c r="AL72" s="780" t="n">
        <f aca="false">E54-D54</f>
        <v>0.0256915118131561</v>
      </c>
      <c r="AM72" s="779" t="n">
        <f aca="false">(SUM(Q18:X18)-SUM(Y18:AF18)-V18-T18)/1000/'PIB corriente base 2004'!X10</f>
        <v>0.0278138290593327</v>
      </c>
      <c r="AN72" s="779" t="n">
        <f aca="false">AM72-AL72</f>
        <v>0.00212231724617662</v>
      </c>
      <c r="AO72" s="1"/>
      <c r="AP72" s="1"/>
      <c r="AQ72" s="1"/>
      <c r="AR72" s="1"/>
    </row>
    <row r="73" customFormat="false" ht="13.8" hidden="false" customHeight="false" outlineLevel="0" collapsed="false">
      <c r="B73" s="781"/>
      <c r="C73" s="1" t="n">
        <f aca="false">'Exogenous tax and expenses'!C72+1</f>
        <v>2025</v>
      </c>
      <c r="D73" s="744"/>
      <c r="E73" s="744"/>
      <c r="F73" s="785" t="n">
        <v>-0.0505104922228994</v>
      </c>
      <c r="G73" s="785" t="n">
        <v>-0.0540459915803591</v>
      </c>
      <c r="H73" s="788" t="n">
        <v>-0.0445882514173907</v>
      </c>
      <c r="I73" s="788" t="n">
        <v>-0.0480748883190886</v>
      </c>
      <c r="J73" s="456" t="n">
        <v>-0.0378016268029787</v>
      </c>
      <c r="K73" s="456" t="n">
        <v>-0.0411955359825251</v>
      </c>
      <c r="L73" s="456" t="n">
        <f aca="false">'Exogenous tax and expenses'!F73+$S$61+$T$61+$U$61+$V$61+$W$61-$Y$61-$AA$61-$AB$61-$AC$61-$AD$61</f>
        <v>-0.0240638068083643</v>
      </c>
      <c r="M73" s="456" t="n">
        <f aca="false">'Exogenous tax and expenses'!G73+$S$61+$T$61+$U$61+$V$61+$W$61-$Y$61-$AA$61-$AB$61-$AC$61-$AD$61-$W$61*15/15</f>
        <v>-0.0432918332764298</v>
      </c>
      <c r="N73" s="456" t="n">
        <f aca="false">'Exogenous tax and expenses'!H73+$S$61+$T$61+$U$61+$V$61+$W$61-$Y$61-$AA$61-$AB$61-$AC$61-$AD$61</f>
        <v>-0.0181415660028556</v>
      </c>
      <c r="O73" s="456" t="n">
        <f aca="false">'Exogenous tax and expenses'!I73+$S$61+$T$61+$U$61+$V$61+$W$61-$Y$61-$AA$61-$AB$61-$AC$61-$AD$61-$W$61*15/15</f>
        <v>-0.0373207300151593</v>
      </c>
      <c r="P73" s="456" t="n">
        <f aca="false">'Exogenous tax and expenses'!J73+$S$61+$T$61+$U$61+$V$61+$W$61-$Y$61-$AA$61-$AB$61-$AC$61-$AD$61</f>
        <v>-0.0113549413884436</v>
      </c>
      <c r="Q73" s="456" t="n">
        <f aca="false">'Exogenous tax and expenses'!K73+$S$61+$T$61+$U$61+$V$61+$W$61-$Y$61-$AA$61-$AB$61-$AC$61-$AD$61-$W$61*15/15</f>
        <v>-0.0304413776785958</v>
      </c>
      <c r="R73" s="730"/>
      <c r="S73" s="730"/>
      <c r="T73" s="456"/>
      <c r="U73" s="456"/>
      <c r="V73" s="456"/>
      <c r="W73" s="456"/>
      <c r="X73" s="456"/>
      <c r="Y73" s="456"/>
      <c r="Z73" s="456"/>
      <c r="AA73" s="456"/>
      <c r="AB73" s="456"/>
      <c r="AC73" s="456"/>
      <c r="AD73" s="456"/>
      <c r="AE73" s="456"/>
      <c r="AF73" s="1"/>
      <c r="AG73" s="1"/>
      <c r="AH73" s="1"/>
      <c r="AI73" s="1"/>
      <c r="AJ73" s="1"/>
      <c r="AK73" s="1"/>
      <c r="AL73" s="775" t="n">
        <f aca="false">E55-D55</f>
        <v>0.0267126806328266</v>
      </c>
      <c r="AM73" s="779" t="n">
        <f aca="false">(SUM(Q19:X19)-SUM(Y19:AF19)-V19-T19)/1000/'PIB corriente base 2004'!X11</f>
        <v>0.0277942364815101</v>
      </c>
      <c r="AN73" s="779" t="n">
        <f aca="false">AM73-AL73</f>
        <v>0.00108155584868352</v>
      </c>
      <c r="AO73" s="1"/>
      <c r="AP73" s="1"/>
      <c r="AQ73" s="1"/>
      <c r="AR73" s="1"/>
    </row>
    <row r="74" customFormat="false" ht="13.8" hidden="false" customHeight="false" outlineLevel="0" collapsed="false">
      <c r="B74" s="781"/>
      <c r="C74" s="1" t="n">
        <f aca="false">'Exogenous tax and expenses'!C73+1</f>
        <v>2026</v>
      </c>
      <c r="D74" s="744"/>
      <c r="E74" s="744"/>
      <c r="F74" s="785" t="n">
        <v>-0.0484015639925968</v>
      </c>
      <c r="G74" s="785" t="n">
        <v>-0.0530133085532846</v>
      </c>
      <c r="H74" s="789" t="n">
        <v>-0.0424227804321389</v>
      </c>
      <c r="I74" s="789" t="n">
        <v>-0.0469408691829949</v>
      </c>
      <c r="J74" s="456" t="n">
        <v>-0.035321254646276</v>
      </c>
      <c r="K74" s="456" t="n">
        <v>-0.0396435918963606</v>
      </c>
      <c r="L74" s="456" t="n">
        <f aca="false">'Exogenous tax and expenses'!F74+$S$61+$T$61+$U$61+$V$61+$W$61-$Y$61-$AA$61-$AB$61-$AC$61-$AD$61</f>
        <v>-0.0219548785780617</v>
      </c>
      <c r="M74" s="456" t="n">
        <f aca="false">'Exogenous tax and expenses'!G74+$S$61+$T$61+$U$61+$V$61+$W$61-$Y$61-$AA$61-$AB$61-$AC$61-$AD$61-$W$61*15/15</f>
        <v>-0.0422591502493553</v>
      </c>
      <c r="N74" s="456" t="n">
        <f aca="false">'Exogenous tax and expenses'!H74+$S$61+$T$61+$U$61+$V$61+$W$61-$Y$61-$AA$61-$AB$61-$AC$61-$AD$61</f>
        <v>-0.0159760950176038</v>
      </c>
      <c r="O74" s="456" t="n">
        <f aca="false">'Exogenous tax and expenses'!I74+$S$61+$T$61+$U$61+$V$61+$W$61-$Y$61-$AA$61-$AB$61-$AC$61-$AD$61-$W$61*15/15</f>
        <v>-0.0361867108790656</v>
      </c>
      <c r="P74" s="456" t="n">
        <f aca="false">'Exogenous tax and expenses'!J74+$S$61+$T$61+$U$61+$V$61+$W$61-$Y$61-$AA$61-$AB$61-$AC$61-$AD$61</f>
        <v>-0.00887456923174094</v>
      </c>
      <c r="Q74" s="456" t="n">
        <f aca="false">'Exogenous tax and expenses'!K74+$S$61+$T$61+$U$61+$V$61+$W$61-$Y$61-$AA$61-$AB$61-$AC$61-$AD$61-$W$61*15/15</f>
        <v>-0.0288894335924313</v>
      </c>
      <c r="R74" s="730"/>
      <c r="S74" s="730"/>
      <c r="T74" s="456"/>
      <c r="U74" s="456"/>
      <c r="V74" s="456"/>
      <c r="W74" s="456"/>
      <c r="X74" s="456"/>
      <c r="Y74" s="456"/>
      <c r="Z74" s="456"/>
      <c r="AA74" s="456"/>
      <c r="AB74" s="456"/>
      <c r="AC74" s="456"/>
      <c r="AD74" s="456"/>
      <c r="AE74" s="456"/>
      <c r="AF74" s="1"/>
      <c r="AG74" s="1"/>
      <c r="AH74" s="1"/>
      <c r="AI74" s="1"/>
      <c r="AJ74" s="1"/>
      <c r="AK74" s="1"/>
      <c r="AL74" s="774" t="n">
        <f aca="false">E56-D56</f>
        <v>0.0230318111857866</v>
      </c>
      <c r="AM74" s="779" t="n">
        <f aca="false">(SUM(Q20:X20)-SUM(Y20:AF20)-V20-T20)/1000/'PIB corriente base 2004'!X12</f>
        <v>0.0252284432672263</v>
      </c>
      <c r="AN74" s="779" t="n">
        <f aca="false">AM74-AL74</f>
        <v>0.00219663208143969</v>
      </c>
      <c r="AO74" s="1"/>
      <c r="AP74" s="1"/>
      <c r="AQ74" s="1"/>
      <c r="AR74" s="1"/>
    </row>
    <row r="75" customFormat="false" ht="13.8" hidden="false" customHeight="false" outlineLevel="0" collapsed="false">
      <c r="B75" s="781"/>
      <c r="C75" s="1" t="n">
        <f aca="false">'Exogenous tax and expenses'!C74+1</f>
        <v>2027</v>
      </c>
      <c r="D75" s="744"/>
      <c r="E75" s="744"/>
      <c r="F75" s="785" t="n">
        <v>-0.0476487149955159</v>
      </c>
      <c r="G75" s="785" t="n">
        <v>-0.0531986069125836</v>
      </c>
      <c r="H75" s="789" t="n">
        <v>-0.0399922196440846</v>
      </c>
      <c r="I75" s="789" t="n">
        <v>-0.0452069178126948</v>
      </c>
      <c r="J75" s="456" t="n">
        <v>-0.0334038545811017</v>
      </c>
      <c r="K75" s="456" t="n">
        <v>-0.0383746933900134</v>
      </c>
      <c r="L75" s="456" t="n">
        <f aca="false">'Exogenous tax and expenses'!F75+$S$61+$T$61+$U$61+$V$61+$W$61-$Y$61-$AA$61-$AB$61-$AC$61-$AD$61</f>
        <v>-0.0212020295809808</v>
      </c>
      <c r="M75" s="456" t="n">
        <f aca="false">'Exogenous tax and expenses'!G75+$S$61+$T$61+$U$61+$V$61+$W$61-$Y$61-$AA$61-$AB$61-$AC$61-$AD$61-$W$61*15/15</f>
        <v>-0.0424444486086543</v>
      </c>
      <c r="N75" s="456" t="n">
        <f aca="false">'Exogenous tax and expenses'!H75+$S$61+$T$61+$U$61+$V$61+$W$61-$Y$61-$AA$61-$AB$61-$AC$61-$AD$61</f>
        <v>-0.0135455342295495</v>
      </c>
      <c r="O75" s="456" t="n">
        <f aca="false">'Exogenous tax and expenses'!I75+$S$61+$T$61+$U$61+$V$61+$W$61-$Y$61-$AA$61-$AB$61-$AC$61-$AD$61-$W$61*15/15</f>
        <v>-0.0344527595087655</v>
      </c>
      <c r="P75" s="456" t="n">
        <f aca="false">'Exogenous tax and expenses'!J75+$S$61+$T$61+$U$61+$V$61+$W$61-$Y$61-$AA$61-$AB$61-$AC$61-$AD$61</f>
        <v>-0.00695716916656663</v>
      </c>
      <c r="Q75" s="456" t="n">
        <f aca="false">'Exogenous tax and expenses'!K75+$S$61+$T$61+$U$61+$V$61+$W$61-$Y$61-$AA$61-$AB$61-$AC$61-$AD$61-$W$61*15/15</f>
        <v>-0.0276205350860841</v>
      </c>
      <c r="R75" s="730"/>
      <c r="S75" s="730"/>
      <c r="T75" s="456"/>
      <c r="U75" s="456"/>
      <c r="V75" s="456"/>
      <c r="W75" s="456"/>
      <c r="X75" s="456"/>
      <c r="Y75" s="456"/>
      <c r="Z75" s="456"/>
      <c r="AA75" s="456"/>
      <c r="AB75" s="456"/>
      <c r="AC75" s="456"/>
      <c r="AD75" s="456"/>
      <c r="AE75" s="456"/>
      <c r="AF75" s="1"/>
      <c r="AG75" s="1"/>
      <c r="AH75" s="1"/>
      <c r="AI75" s="1"/>
      <c r="AJ75" s="1"/>
      <c r="AK75" s="1"/>
      <c r="AL75" s="775" t="n">
        <f aca="false">E57-D57</f>
        <v>0.0191499374710442</v>
      </c>
      <c r="AM75" s="779" t="n">
        <f aca="false">(SUM(Q21:X21)-SUM(Y21:AF21)-V21-T21)/1000/'PIB corriente base 2004'!X13</f>
        <v>0.0219477589880494</v>
      </c>
      <c r="AN75" s="779" t="n">
        <f aca="false">AM75-AL75</f>
        <v>0.00279782151700517</v>
      </c>
      <c r="AO75" s="1"/>
      <c r="AP75" s="1"/>
      <c r="AQ75" s="1"/>
      <c r="AR75" s="1"/>
    </row>
    <row r="76" customFormat="false" ht="13.8" hidden="false" customHeight="false" outlineLevel="0" collapsed="false">
      <c r="B76" s="781"/>
      <c r="C76" s="1" t="n">
        <f aca="false">'Exogenous tax and expenses'!C75+1</f>
        <v>2028</v>
      </c>
      <c r="D76" s="744"/>
      <c r="E76" s="744"/>
      <c r="F76" s="785" t="n">
        <v>-0.046184787479334</v>
      </c>
      <c r="G76" s="785" t="n">
        <v>-0.0527096862513732</v>
      </c>
      <c r="H76" s="789" t="n">
        <v>-0.0379708094815126</v>
      </c>
      <c r="I76" s="789" t="n">
        <v>-0.043978712167927</v>
      </c>
      <c r="J76" s="456" t="n">
        <v>-0.0295157159610382</v>
      </c>
      <c r="K76" s="456" t="n">
        <v>-0.0352234812025345</v>
      </c>
      <c r="L76" s="456" t="n">
        <f aca="false">'Exogenous tax and expenses'!F76+$S$61+$T$61+$U$61+$V$61+$W$61-$Y$61-$AA$61-$AB$61-$AC$61-$AD$61</f>
        <v>-0.0197381020647989</v>
      </c>
      <c r="M76" s="456" t="n">
        <f aca="false">'Exogenous tax and expenses'!G76+$S$61+$T$61+$U$61+$V$61+$W$61-$Y$61-$AA$61-$AB$61-$AC$61-$AD$61-$W$61*15/15</f>
        <v>-0.0419555279474439</v>
      </c>
      <c r="N76" s="456" t="n">
        <f aca="false">'Exogenous tax and expenses'!H76+$S$61+$T$61+$U$61+$V$61+$W$61-$Y$61-$AA$61-$AB$61-$AC$61-$AD$61</f>
        <v>-0.0115241240669775</v>
      </c>
      <c r="O76" s="456" t="n">
        <f aca="false">'Exogenous tax and expenses'!I76+$S$61+$T$61+$U$61+$V$61+$W$61-$Y$61-$AA$61-$AB$61-$AC$61-$AD$61-$W$61*15/15</f>
        <v>-0.0332245538639977</v>
      </c>
      <c r="P76" s="456" t="n">
        <f aca="false">'Exogenous tax and expenses'!J76+$S$61+$T$61+$U$61+$V$61+$W$61-$Y$61-$AA$61-$AB$61-$AC$61-$AD$61</f>
        <v>-0.00306903054650313</v>
      </c>
      <c r="Q76" s="456" t="n">
        <f aca="false">'Exogenous tax and expenses'!K76+$S$61+$T$61+$U$61+$V$61+$W$61-$Y$61-$AA$61-$AB$61-$AC$61-$AD$61-$W$61*15/15</f>
        <v>-0.0244693228986052</v>
      </c>
      <c r="R76" s="730"/>
      <c r="S76" s="730"/>
      <c r="T76" s="456"/>
      <c r="U76" s="456"/>
      <c r="V76" s="456"/>
      <c r="W76" s="456"/>
      <c r="X76" s="456"/>
      <c r="Y76" s="456"/>
      <c r="Z76" s="456"/>
      <c r="AA76" s="456"/>
      <c r="AB76" s="1"/>
      <c r="AC76" s="1"/>
      <c r="AD76" s="456"/>
      <c r="AE76" s="456"/>
      <c r="AF76" s="1"/>
      <c r="AG76" s="1"/>
      <c r="AH76" s="1"/>
      <c r="AI76" s="1"/>
      <c r="AJ76" s="1"/>
      <c r="AK76" s="1"/>
      <c r="AL76" s="774" t="n">
        <f aca="false">E58-D58</f>
        <v>0.0199163516462954</v>
      </c>
      <c r="AM76" s="779" t="n">
        <f aca="false">(SUM(Q22:X22)-SUM(Y22:AF22)-V22-T22)/1000/'PIB corriente base 2004'!X14</f>
        <v>0.0221421743207241</v>
      </c>
      <c r="AN76" s="779" t="n">
        <f aca="false">AM76-AL76</f>
        <v>0.00222582267442869</v>
      </c>
      <c r="AO76" s="1"/>
      <c r="AP76" s="1"/>
      <c r="AQ76" s="1"/>
      <c r="AR76" s="1"/>
    </row>
    <row r="77" customFormat="false" ht="13.8" hidden="false" customHeight="false" outlineLevel="0" collapsed="false">
      <c r="B77" s="781"/>
      <c r="C77" s="1" t="n">
        <f aca="false">'Exogenous tax and expenses'!C76+1</f>
        <v>2029</v>
      </c>
      <c r="D77" s="744"/>
      <c r="E77" s="744"/>
      <c r="F77" s="785" t="n">
        <v>-0.0456204435045278</v>
      </c>
      <c r="G77" s="785" t="n">
        <v>-0.0530743350173051</v>
      </c>
      <c r="H77" s="788" t="n">
        <v>-0.0354169951134668</v>
      </c>
      <c r="I77" s="788" t="n">
        <v>-0.0422243976792777</v>
      </c>
      <c r="J77" s="456" t="n">
        <v>-0.0266181950354649</v>
      </c>
      <c r="K77" s="456" t="n">
        <v>-0.0330400987657799</v>
      </c>
      <c r="L77" s="456" t="n">
        <f aca="false">'Exogenous tax and expenses'!F77+$S$61+$T$61+$U$61+$V$61+$W$61-$Y$61-$AA$61-$AB$61-$AC$61-$AD$61</f>
        <v>-0.0191737580899927</v>
      </c>
      <c r="M77" s="456" t="n">
        <f aca="false">'Exogenous tax and expenses'!G77+$S$61+$T$61+$U$61+$V$61+$W$61-$Y$61-$AA$61-$AB$61-$AC$61-$AD$61-$W$61*15/15</f>
        <v>-0.0423201767133758</v>
      </c>
      <c r="N77" s="456" t="n">
        <f aca="false">'Exogenous tax and expenses'!H77+$S$61+$T$61+$U$61+$V$61+$W$61-$Y$61-$AA$61-$AB$61-$AC$61-$AD$61</f>
        <v>-0.00897030969893173</v>
      </c>
      <c r="O77" s="456" t="n">
        <f aca="false">'Exogenous tax and expenses'!I77+$S$61+$T$61+$U$61+$V$61+$W$61-$Y$61-$AA$61-$AB$61-$AC$61-$AD$61-$W$61*15/15</f>
        <v>-0.0314702393753484</v>
      </c>
      <c r="P77" s="456" t="n">
        <f aca="false">'Exogenous tax and expenses'!J77+$S$61+$T$61+$U$61+$V$61+$W$61-$Y$61-$AA$61-$AB$61-$AC$61-$AD$61</f>
        <v>-0.000171509620929835</v>
      </c>
      <c r="Q77" s="456" t="n">
        <f aca="false">'Exogenous tax and expenses'!K77+$S$61+$T$61+$U$61+$V$61+$W$61-$Y$61-$AA$61-$AB$61-$AC$61-$AD$61-$W$61*15/15</f>
        <v>-0.0222859404618506</v>
      </c>
      <c r="R77" s="730"/>
      <c r="S77" s="730"/>
      <c r="T77" s="456"/>
      <c r="U77" s="456"/>
      <c r="V77" s="456"/>
      <c r="W77" s="456"/>
      <c r="X77" s="456"/>
      <c r="Y77" s="456"/>
      <c r="Z77" s="456"/>
      <c r="AA77" s="456"/>
      <c r="AB77" s="1"/>
      <c r="AC77" s="1"/>
      <c r="AD77" s="456"/>
      <c r="AE77" s="456"/>
      <c r="AF77" s="1"/>
      <c r="AG77" s="1"/>
      <c r="AH77" s="1"/>
      <c r="AI77" s="1"/>
      <c r="AJ77" s="1"/>
      <c r="AK77" s="1"/>
      <c r="AL77" s="775" t="n">
        <f aca="false">E59-D59</f>
        <v>0.0194863149222671</v>
      </c>
      <c r="AM77" s="779" t="n">
        <f aca="false">(SUM(Q23:X23)-SUM(Y23:AF23)-V23-T23)/1000/'PIB corriente base 2004'!X15</f>
        <v>0.0214066204433064</v>
      </c>
      <c r="AN77" s="779" t="n">
        <f aca="false">AM77-AL77</f>
        <v>0.00192030552103929</v>
      </c>
      <c r="AO77" s="1"/>
      <c r="AP77" s="1"/>
      <c r="AQ77" s="1"/>
      <c r="AR77" s="1"/>
    </row>
    <row r="78" customFormat="false" ht="13.8" hidden="false" customHeight="false" outlineLevel="0" collapsed="false">
      <c r="B78" s="781"/>
      <c r="C78" s="1" t="n">
        <f aca="false">'Exogenous tax and expenses'!C77+1</f>
        <v>2030</v>
      </c>
      <c r="D78" s="744"/>
      <c r="E78" s="744"/>
      <c r="F78" s="785" t="n">
        <v>-0.0438814780865699</v>
      </c>
      <c r="G78" s="785" t="n">
        <v>-0.0520641051896001</v>
      </c>
      <c r="H78" s="789" t="n">
        <v>-0.0345191330852008</v>
      </c>
      <c r="I78" s="789" t="n">
        <v>-0.041969000655287</v>
      </c>
      <c r="J78" s="456" t="n">
        <v>-0.0245477014714796</v>
      </c>
      <c r="K78" s="456" t="n">
        <v>-0.031536543906288</v>
      </c>
      <c r="L78" s="456" t="n">
        <f aca="false">'Exogenous tax and expenses'!F78+$S$61+$T$61+$U$61+$V$61+$W$61-$Y$61-$AA$61-$AB$61-$AC$61-$AD$61</f>
        <v>-0.0174347926720348</v>
      </c>
      <c r="M78" s="456" t="n">
        <f aca="false">'Exogenous tax and expenses'!G78+$S$61+$T$61+$U$61+$V$61+$W$61-$Y$61-$AA$61-$AB$61-$AC$61-$AD$61-$W$61*15/15</f>
        <v>-0.0413099468856708</v>
      </c>
      <c r="N78" s="456" t="n">
        <f aca="false">'Exogenous tax and expenses'!H78+$S$61+$T$61+$U$61+$V$61+$W$61-$Y$61-$AA$61-$AB$61-$AC$61-$AD$61</f>
        <v>-0.00807244767066573</v>
      </c>
      <c r="O78" s="456" t="n">
        <f aca="false">'Exogenous tax and expenses'!I78+$S$61+$T$61+$U$61+$V$61+$W$61-$Y$61-$AA$61-$AB$61-$AC$61-$AD$61-$W$61*15/15</f>
        <v>-0.0312148423513577</v>
      </c>
      <c r="P78" s="456" t="n">
        <f aca="false">'Exogenous tax and expenses'!J78+$S$61+$T$61+$U$61+$V$61+$W$61-$Y$61-$AA$61-$AB$61-$AC$61-$AD$61</f>
        <v>0.00189898394305547</v>
      </c>
      <c r="Q78" s="456" t="n">
        <f aca="false">'Exogenous tax and expenses'!K78+$S$61+$T$61+$U$61+$V$61+$W$61-$Y$61-$AA$61-$AB$61-$AC$61-$AD$61-$W$61*15/15</f>
        <v>-0.0207823856023587</v>
      </c>
      <c r="R78" s="730"/>
      <c r="S78" s="730"/>
      <c r="T78" s="456"/>
      <c r="U78" s="456"/>
      <c r="V78" s="456"/>
      <c r="W78" s="456"/>
      <c r="X78" s="456"/>
      <c r="Y78" s="456"/>
      <c r="Z78" s="456"/>
      <c r="AA78" s="456"/>
      <c r="AB78" s="1"/>
      <c r="AC78" s="1"/>
      <c r="AD78" s="456"/>
      <c r="AE78" s="456"/>
      <c r="AF78" s="1"/>
      <c r="AG78" s="1"/>
      <c r="AH78" s="1"/>
      <c r="AI78" s="1"/>
      <c r="AJ78" s="1"/>
      <c r="AK78" s="1"/>
      <c r="AL78" s="774" t="n">
        <f aca="false">E60-D60</f>
        <v>0.0205852034417702</v>
      </c>
      <c r="AM78" s="779" t="n">
        <f aca="false">(SUM(Q24:X24)-SUM(Y24:AF24)-V24-T24)/1000/'PIB corriente base 2004'!X16</f>
        <v>0.021361257449002</v>
      </c>
      <c r="AN78" s="779" t="n">
        <f aca="false">AM78-AL78</f>
        <v>0.000776054007231797</v>
      </c>
      <c r="AO78" s="1"/>
      <c r="AP78" s="1"/>
      <c r="AQ78" s="1"/>
      <c r="AR78" s="1"/>
    </row>
    <row r="79" customFormat="false" ht="13.8" hidden="false" customHeight="false" outlineLevel="0" collapsed="false">
      <c r="B79" s="781"/>
      <c r="C79" s="1" t="n">
        <f aca="false">'Exogenous tax and expenses'!C78+1</f>
        <v>2031</v>
      </c>
      <c r="D79" s="744"/>
      <c r="E79" s="744"/>
      <c r="F79" s="785" t="n">
        <v>-0.0422021175356963</v>
      </c>
      <c r="G79" s="785" t="n">
        <v>-0.051262233711489</v>
      </c>
      <c r="H79" s="789" t="n">
        <v>-0.0333171939982712</v>
      </c>
      <c r="I79" s="789" t="n">
        <v>-0.0414278853690342</v>
      </c>
      <c r="J79" s="456" t="n">
        <v>-0.0226332281483615</v>
      </c>
      <c r="K79" s="456" t="n">
        <v>-0.0299696096209201</v>
      </c>
      <c r="L79" s="456" t="n">
        <f aca="false">'Exogenous tax and expenses'!F79+$S$61+$T$61+$U$61+$V$61+$W$61-$Y$61-$AA$61-$AB$61-$AC$61-$AD$61</f>
        <v>-0.0157554321211612</v>
      </c>
      <c r="M79" s="456" t="n">
        <f aca="false">'Exogenous tax and expenses'!G79+$S$61+$T$61+$U$61+$V$61+$W$61-$Y$61-$AA$61-$AB$61-$AC$61-$AD$61-$W$61*15/15</f>
        <v>-0.0405080754075597</v>
      </c>
      <c r="N79" s="456" t="n">
        <f aca="false">'Exogenous tax and expenses'!H79+$S$61+$T$61+$U$61+$V$61+$W$61-$Y$61-$AA$61-$AB$61-$AC$61-$AD$61</f>
        <v>-0.00687050858373613</v>
      </c>
      <c r="O79" s="456" t="n">
        <f aca="false">'Exogenous tax and expenses'!I79+$S$61+$T$61+$U$61+$V$61+$W$61-$Y$61-$AA$61-$AB$61-$AC$61-$AD$61-$W$61*15/15</f>
        <v>-0.0306737270651049</v>
      </c>
      <c r="P79" s="456" t="n">
        <f aca="false">'Exogenous tax and expenses'!J79+$S$61+$T$61+$U$61+$V$61+$W$61-$Y$61-$AA$61-$AB$61-$AC$61-$AD$61</f>
        <v>0.00381345726617357</v>
      </c>
      <c r="Q79" s="456" t="n">
        <f aca="false">'Exogenous tax and expenses'!K79+$S$61+$T$61+$U$61+$V$61+$W$61-$Y$61-$AA$61-$AB$61-$AC$61-$AD$61-$W$61*15/15</f>
        <v>-0.0192154513169908</v>
      </c>
      <c r="R79" s="730"/>
      <c r="S79" s="730"/>
      <c r="T79" s="456"/>
      <c r="U79" s="456"/>
      <c r="V79" s="456"/>
      <c r="W79" s="456"/>
      <c r="X79" s="456"/>
      <c r="Y79" s="456"/>
      <c r="Z79" s="456"/>
      <c r="AA79" s="456"/>
      <c r="AB79" s="1"/>
      <c r="AC79" s="1"/>
      <c r="AD79" s="456"/>
      <c r="AE79" s="456"/>
      <c r="AF79" s="1"/>
      <c r="AG79" s="1"/>
      <c r="AH79" s="1"/>
      <c r="AI79" s="1"/>
      <c r="AJ79" s="1"/>
      <c r="AK79" s="1"/>
      <c r="AL79" s="775" t="n">
        <f aca="false">E61-D61</f>
        <v>0.0201474599360488</v>
      </c>
      <c r="AM79" s="779" t="n">
        <f aca="false">(SUM(Q25:X25)-SUM(Y25:AF25)-V25-T25)/1000/'PIB corriente base 2004'!X17</f>
        <v>0.0206130485311354</v>
      </c>
      <c r="AN79" s="779" t="n">
        <f aca="false">AM79-AL79</f>
        <v>0.000465588595086552</v>
      </c>
      <c r="AO79" s="1"/>
      <c r="AP79" s="1"/>
      <c r="AQ79" s="1"/>
      <c r="AR79" s="1"/>
    </row>
    <row r="80" customFormat="false" ht="13.8" hidden="false" customHeight="false" outlineLevel="0" collapsed="false">
      <c r="B80" s="781"/>
      <c r="C80" s="1" t="n">
        <f aca="false">'Exogenous tax and expenses'!C79+1</f>
        <v>2032</v>
      </c>
      <c r="D80" s="744"/>
      <c r="E80" s="744"/>
      <c r="F80" s="785" t="n">
        <v>-0.0419216642600713</v>
      </c>
      <c r="G80" s="785" t="n">
        <v>-0.0519903598044479</v>
      </c>
      <c r="H80" s="789" t="n">
        <v>-0.0321882102681267</v>
      </c>
      <c r="I80" s="789" t="n">
        <v>-0.0408469016297929</v>
      </c>
      <c r="J80" s="456" t="n">
        <v>-0.0200823143773977</v>
      </c>
      <c r="K80" s="456" t="n">
        <v>-0.0279793830167304</v>
      </c>
      <c r="L80" s="456" t="n">
        <f aca="false">'Exogenous tax and expenses'!F80+$S$61+$T$61+$U$61+$V$61+$W$61-$Y$61-$AA$61-$AB$61-$AC$61-$AD$61</f>
        <v>-0.0154749788455362</v>
      </c>
      <c r="M80" s="456" t="n">
        <f aca="false">'Exogenous tax and expenses'!G80+$S$61+$T$61+$U$61+$V$61+$W$61-$Y$61-$AA$61-$AB$61-$AC$61-$AD$61-$W$61*15/15</f>
        <v>-0.0412362015005186</v>
      </c>
      <c r="N80" s="456" t="n">
        <f aca="false">'Exogenous tax and expenses'!H80+$S$61+$T$61+$U$61+$V$61+$W$61-$Y$61-$AA$61-$AB$61-$AC$61-$AD$61</f>
        <v>-0.00574152485359163</v>
      </c>
      <c r="O80" s="456" t="n">
        <f aca="false">'Exogenous tax and expenses'!I80+$S$61+$T$61+$U$61+$V$61+$W$61-$Y$61-$AA$61-$AB$61-$AC$61-$AD$61-$W$61*15/15</f>
        <v>-0.0300927433258636</v>
      </c>
      <c r="P80" s="456" t="n">
        <f aca="false">'Exogenous tax and expenses'!J80+$S$61+$T$61+$U$61+$V$61+$W$61-$Y$61-$AA$61-$AB$61-$AC$61-$AD$61</f>
        <v>0.00636437103713737</v>
      </c>
      <c r="Q80" s="456" t="n">
        <f aca="false">'Exogenous tax and expenses'!K80+$S$61+$T$61+$U$61+$V$61+$W$61-$Y$61-$AA$61-$AB$61-$AC$61-$AD$61-$W$61*15/15</f>
        <v>-0.0172252247128011</v>
      </c>
      <c r="R80" s="730"/>
      <c r="S80" s="730"/>
      <c r="T80" s="456"/>
      <c r="U80" s="456"/>
      <c r="V80" s="456"/>
      <c r="W80" s="456"/>
      <c r="X80" s="456"/>
      <c r="Y80" s="456"/>
      <c r="Z80" s="456"/>
      <c r="AA80" s="456"/>
      <c r="AB80" s="1"/>
      <c r="AC80" s="1"/>
      <c r="AD80" s="456"/>
      <c r="AE80" s="456"/>
      <c r="AF80" s="1"/>
      <c r="AG80" s="1"/>
      <c r="AH80" s="1"/>
      <c r="AI80" s="1"/>
      <c r="AJ80" s="1"/>
      <c r="AK80" s="1"/>
      <c r="AL80" s="774" t="n">
        <f aca="false">E62-D62</f>
        <v>0.0204489957358129</v>
      </c>
      <c r="AM80" s="779" t="n">
        <f aca="false">(SUM(Q26:X26)-SUM(Y26:AF26)-V26-T26)/1000/'PIB corriente base 2004'!X18</f>
        <v>0.0208507583843275</v>
      </c>
      <c r="AN80" s="779" t="n">
        <f aca="false">AM80-AL80</f>
        <v>0.000401762648514589</v>
      </c>
      <c r="AO80" s="1"/>
      <c r="AP80" s="1"/>
      <c r="AQ80" s="1"/>
      <c r="AR80" s="1"/>
    </row>
    <row r="81" customFormat="false" ht="13.8" hidden="false" customHeight="false" outlineLevel="0" collapsed="false">
      <c r="B81" s="781"/>
      <c r="C81" s="1" t="n">
        <f aca="false">'Exogenous tax and expenses'!C80+1</f>
        <v>2033</v>
      </c>
      <c r="D81" s="744"/>
      <c r="E81" s="744"/>
      <c r="F81" s="785" t="n">
        <v>-0.04194909984817</v>
      </c>
      <c r="G81" s="785" t="n">
        <v>-0.052964695698324</v>
      </c>
      <c r="H81" s="788" t="n">
        <v>-0.0300661356040712</v>
      </c>
      <c r="I81" s="788" t="n">
        <v>-0.0393694443616711</v>
      </c>
      <c r="J81" s="456" t="n">
        <v>-0.0176098652333081</v>
      </c>
      <c r="K81" s="456" t="n">
        <v>-0.0259948497518033</v>
      </c>
      <c r="L81" s="456" t="n">
        <f aca="false">'Exogenous tax and expenses'!F81+$S$61+$T$61+$U$61+$V$61+$W$61-$Y$61-$AA$61-$AB$61-$AC$61-$AD$61</f>
        <v>-0.0155024144336349</v>
      </c>
      <c r="M81" s="456" t="n">
        <f aca="false">'Exogenous tax and expenses'!G81+$S$61+$T$61+$U$61+$V$61+$W$61-$Y$61-$AA$61-$AB$61-$AC$61-$AD$61-$W$61*15/15</f>
        <v>-0.0422105373943947</v>
      </c>
      <c r="N81" s="456" t="n">
        <f aca="false">'Exogenous tax and expenses'!H81+$S$61+$T$61+$U$61+$V$61+$W$61-$Y$61-$AA$61-$AB$61-$AC$61-$AD$61</f>
        <v>-0.00361945018953613</v>
      </c>
      <c r="O81" s="456" t="n">
        <f aca="false">'Exogenous tax and expenses'!I81+$S$61+$T$61+$U$61+$V$61+$W$61-$Y$61-$AA$61-$AB$61-$AC$61-$AD$61-$W$61*15/15</f>
        <v>-0.0286152860577418</v>
      </c>
      <c r="P81" s="456" t="n">
        <f aca="false">'Exogenous tax and expenses'!J81+$S$61+$T$61+$U$61+$V$61+$W$61-$Y$61-$AA$61-$AB$61-$AC$61-$AD$61</f>
        <v>0.00883682018122697</v>
      </c>
      <c r="Q81" s="456" t="n">
        <f aca="false">'Exogenous tax and expenses'!K81+$S$61+$T$61+$U$61+$V$61+$W$61-$Y$61-$AA$61-$AB$61-$AC$61-$AD$61-$W$61*15/15</f>
        <v>-0.015240691447874</v>
      </c>
      <c r="R81" s="730"/>
      <c r="S81" s="730"/>
      <c r="T81" s="456"/>
      <c r="U81" s="456"/>
      <c r="V81" s="456"/>
      <c r="W81" s="456"/>
      <c r="X81" s="456"/>
      <c r="Y81" s="456"/>
      <c r="Z81" s="456"/>
      <c r="AA81" s="456"/>
      <c r="AB81" s="1"/>
      <c r="AC81" s="1"/>
      <c r="AD81" s="456"/>
      <c r="AE81" s="456"/>
      <c r="AF81" s="1"/>
      <c r="AG81" s="1"/>
      <c r="AH81" s="1"/>
      <c r="AI81" s="1"/>
      <c r="AJ81" s="1"/>
      <c r="AK81" s="1"/>
      <c r="AL81" s="775" t="n">
        <f aca="false">E63-D63</f>
        <v>0.0208017262560468</v>
      </c>
      <c r="AM81" s="779" t="n">
        <f aca="false">(SUM(Q27:X27)-SUM(Y27:AF27)-V27-T27)/1000/'PIB corriente base 2004'!X19</f>
        <v>0.0212417617908622</v>
      </c>
      <c r="AN81" s="779" t="n">
        <f aca="false">AM81-AL81</f>
        <v>0.000440035534815374</v>
      </c>
      <c r="AO81" s="1"/>
      <c r="AP81" s="1"/>
      <c r="AQ81" s="1"/>
      <c r="AR81" s="1"/>
    </row>
    <row r="82" customFormat="false" ht="13.8" hidden="false" customHeight="false" outlineLevel="0" collapsed="false">
      <c r="B82" s="781"/>
      <c r="C82" s="1" t="n">
        <f aca="false">'Exogenous tax and expenses'!C81+1</f>
        <v>2034</v>
      </c>
      <c r="D82" s="744"/>
      <c r="E82" s="744"/>
      <c r="F82" s="785" t="n">
        <v>-0.0421801515075573</v>
      </c>
      <c r="G82" s="785" t="n">
        <v>-0.0539274495272783</v>
      </c>
      <c r="H82" s="789" t="n">
        <v>-0.0298195971005515</v>
      </c>
      <c r="I82" s="789" t="n">
        <v>-0.0395717874382454</v>
      </c>
      <c r="J82" s="456" t="n">
        <v>-0.0150221021373978</v>
      </c>
      <c r="K82" s="456" t="n">
        <v>-0.0238262091607523</v>
      </c>
      <c r="L82" s="456" t="n">
        <f aca="false">'Exogenous tax and expenses'!F82+$S$61+$T$61+$U$61+$V$61+$W$61-$Y$61-$AA$61-$AB$61-$AC$61-$AD$61</f>
        <v>-0.0157334660930222</v>
      </c>
      <c r="M82" s="456" t="n">
        <f aca="false">'Exogenous tax and expenses'!G82+$S$61+$T$61+$U$61+$V$61+$W$61-$Y$61-$AA$61-$AB$61-$AC$61-$AD$61-$W$61*15/15</f>
        <v>-0.043173291223349</v>
      </c>
      <c r="N82" s="456" t="n">
        <f aca="false">'Exogenous tax and expenses'!H82+$S$61+$T$61+$U$61+$V$61+$W$61-$Y$61-$AA$61-$AB$61-$AC$61-$AD$61</f>
        <v>-0.00337291168601644</v>
      </c>
      <c r="O82" s="456" t="n">
        <f aca="false">'Exogenous tax and expenses'!I82+$S$61+$T$61+$U$61+$V$61+$W$61-$Y$61-$AA$61-$AB$61-$AC$61-$AD$61-$W$61*15/15</f>
        <v>-0.0288176291343161</v>
      </c>
      <c r="P82" s="456" t="n">
        <f aca="false">'Exogenous tax and expenses'!J82+$S$61+$T$61+$U$61+$V$61+$W$61-$Y$61-$AA$61-$AB$61-$AC$61-$AD$61</f>
        <v>0.0114245832771373</v>
      </c>
      <c r="Q82" s="456" t="n">
        <f aca="false">'Exogenous tax and expenses'!K82+$S$61+$T$61+$U$61+$V$61+$W$61-$Y$61-$AA$61-$AB$61-$AC$61-$AD$61-$W$61*15/15</f>
        <v>-0.013072050856823</v>
      </c>
      <c r="R82" s="730"/>
      <c r="S82" s="730"/>
      <c r="T82" s="456"/>
      <c r="U82" s="456"/>
      <c r="V82" s="456"/>
      <c r="W82" s="456"/>
      <c r="X82" s="456"/>
      <c r="Y82" s="456"/>
      <c r="Z82" s="456"/>
      <c r="AA82" s="456"/>
      <c r="AB82" s="1"/>
      <c r="AC82" s="1"/>
      <c r="AD82" s="456"/>
      <c r="AE82" s="456"/>
      <c r="AF82" s="1"/>
      <c r="AG82" s="1"/>
      <c r="AH82" s="1"/>
      <c r="AI82" s="1"/>
      <c r="AJ82" s="1"/>
      <c r="AK82" s="1"/>
      <c r="AL82" s="774" t="n">
        <f aca="false">E64-D64</f>
        <v>0.0122869140345456</v>
      </c>
      <c r="AM82" s="779" t="n">
        <f aca="false">(SUM(Q28:X28)-SUM(Y28:AF28)-V28-T28)/1000/'PIB corriente base 2004'!X20</f>
        <v>0.0136114589454148</v>
      </c>
      <c r="AN82" s="779" t="n">
        <f aca="false">AM82-AL82</f>
        <v>0.00132454491086921</v>
      </c>
      <c r="AO82" s="1"/>
      <c r="AP82" s="1"/>
      <c r="AQ82" s="1"/>
      <c r="AR82" s="1"/>
    </row>
    <row r="83" customFormat="false" ht="13.8" hidden="false" customHeight="false" outlineLevel="0" collapsed="false">
      <c r="B83" s="781"/>
      <c r="C83" s="1" t="n">
        <f aca="false">'Exogenous tax and expenses'!C82+1</f>
        <v>2035</v>
      </c>
      <c r="D83" s="744"/>
      <c r="E83" s="744"/>
      <c r="F83" s="785" t="n">
        <v>-0.0417418231827249</v>
      </c>
      <c r="G83" s="785" t="n">
        <v>-0.0539656481962422</v>
      </c>
      <c r="H83" s="789" t="n">
        <v>-0.0285733811918621</v>
      </c>
      <c r="I83" s="789" t="n">
        <v>-0.0388000482226595</v>
      </c>
      <c r="J83" s="456" t="n">
        <v>-0.0134966496159459</v>
      </c>
      <c r="K83" s="456" t="n">
        <v>-0.0227509091684266</v>
      </c>
      <c r="L83" s="456" t="n">
        <f aca="false">'Exogenous tax and expenses'!F83+$S$61+$T$61+$U$61+$V$61+$W$61-$Y$61-$AA$61-$AB$61-$AC$61-$AD$61</f>
        <v>-0.0152951377681898</v>
      </c>
      <c r="M83" s="456" t="n">
        <f aca="false">'Exogenous tax and expenses'!G83+$S$61+$T$61+$U$61+$V$61+$W$61-$Y$61-$AA$61-$AB$61-$AC$61-$AD$61-$W$61*15/15</f>
        <v>-0.0432114898923129</v>
      </c>
      <c r="N83" s="456" t="n">
        <f aca="false">'Exogenous tax and expenses'!H83+$S$61+$T$61+$U$61+$V$61+$W$61-$Y$61-$AA$61-$AB$61-$AC$61-$AD$61</f>
        <v>-0.00212669577732703</v>
      </c>
      <c r="O83" s="456" t="n">
        <f aca="false">'Exogenous tax and expenses'!I83+$S$61+$T$61+$U$61+$V$61+$W$61-$Y$61-$AA$61-$AB$61-$AC$61-$AD$61-$W$61*15/15</f>
        <v>-0.0280458899187302</v>
      </c>
      <c r="P83" s="456" t="n">
        <f aca="false">'Exogenous tax and expenses'!J83+$S$61+$T$61+$U$61+$V$61+$W$61-$Y$61-$AA$61-$AB$61-$AC$61-$AD$61</f>
        <v>0.0129500357985892</v>
      </c>
      <c r="Q83" s="456" t="n">
        <f aca="false">'Exogenous tax and expenses'!K83+$S$61+$T$61+$U$61+$V$61+$W$61-$Y$61-$AA$61-$AB$61-$AC$61-$AD$61-$W$61*15/15</f>
        <v>-0.0119967508644973</v>
      </c>
      <c r="R83" s="730"/>
      <c r="S83" s="730"/>
      <c r="T83" s="456"/>
      <c r="U83" s="456"/>
      <c r="V83" s="456"/>
      <c r="W83" s="456"/>
      <c r="X83" s="456"/>
      <c r="Y83" s="456"/>
      <c r="Z83" s="456"/>
      <c r="AA83" s="456"/>
      <c r="AB83" s="1"/>
      <c r="AC83" s="1"/>
      <c r="AD83" s="456"/>
      <c r="AE83" s="456"/>
      <c r="AF83" s="1"/>
      <c r="AG83" s="1"/>
      <c r="AH83" s="1"/>
      <c r="AI83" s="1"/>
      <c r="AJ83" s="1"/>
      <c r="AK83" s="1"/>
      <c r="AL83" s="775" t="n">
        <f aca="false">E65-D65</f>
        <v>0.0082252598436873</v>
      </c>
      <c r="AM83" s="779" t="n">
        <f aca="false">(SUM(Q29:X29)-SUM(Y29:AF29)-V29-T29)/1000/'PIB corriente base 2004'!X21</f>
        <v>0.0110564581173711</v>
      </c>
      <c r="AN83" s="779" t="n">
        <f aca="false">AM83-AL83</f>
        <v>0.00283119827368385</v>
      </c>
      <c r="AO83" s="1"/>
      <c r="AP83" s="1"/>
      <c r="AQ83" s="1"/>
      <c r="AR83" s="1"/>
    </row>
    <row r="84" customFormat="false" ht="13.8" hidden="false" customHeight="false" outlineLevel="0" collapsed="false">
      <c r="B84" s="781"/>
      <c r="C84" s="1" t="n">
        <f aca="false">'Exogenous tax and expenses'!C83+1</f>
        <v>2036</v>
      </c>
      <c r="D84" s="744"/>
      <c r="E84" s="744"/>
      <c r="F84" s="785" t="n">
        <v>-0.0400038295292974</v>
      </c>
      <c r="G84" s="785" t="n">
        <v>-0.0529851188785839</v>
      </c>
      <c r="H84" s="789" t="n">
        <v>-0.0263210887091171</v>
      </c>
      <c r="I84" s="789" t="n">
        <v>-0.0371315757823591</v>
      </c>
      <c r="J84" s="456" t="n">
        <v>-0.0115070173819503</v>
      </c>
      <c r="K84" s="456" t="n">
        <v>-0.0211108669343906</v>
      </c>
      <c r="L84" s="456" t="n">
        <f aca="false">'Exogenous tax and expenses'!F84+$S$61+$T$61+$U$61+$V$61+$W$61-$Y$61-$AA$61-$AB$61-$AC$61-$AD$61</f>
        <v>-0.0135571441147623</v>
      </c>
      <c r="M84" s="456" t="n">
        <f aca="false">'Exogenous tax and expenses'!G84+$S$61+$T$61+$U$61+$V$61+$W$61-$Y$61-$AA$61-$AB$61-$AC$61-$AD$61-$W$61*15/15</f>
        <v>-0.0422309605746546</v>
      </c>
      <c r="N84" s="456" t="n">
        <f aca="false">'Exogenous tax and expenses'!H84+$S$61+$T$61+$U$61+$V$61+$W$61-$Y$61-$AA$61-$AB$61-$AC$61-$AD$61</f>
        <v>0.000125596705417967</v>
      </c>
      <c r="O84" s="456" t="n">
        <f aca="false">'Exogenous tax and expenses'!I84+$S$61+$T$61+$U$61+$V$61+$W$61-$Y$61-$AA$61-$AB$61-$AC$61-$AD$61-$W$61*15/15</f>
        <v>-0.0263774174784298</v>
      </c>
      <c r="P84" s="456" t="n">
        <f aca="false">'Exogenous tax and expenses'!J84+$S$61+$T$61+$U$61+$V$61+$W$61-$Y$61-$AA$61-$AB$61-$AC$61-$AD$61</f>
        <v>0.0149396680325848</v>
      </c>
      <c r="Q84" s="456" t="n">
        <f aca="false">'Exogenous tax and expenses'!K84+$S$61+$T$61+$U$61+$V$61+$W$61-$Y$61-$AA$61-$AB$61-$AC$61-$AD$61-$W$61*15/15</f>
        <v>-0.0103567086304613</v>
      </c>
      <c r="R84" s="730"/>
      <c r="S84" s="730"/>
      <c r="T84" s="456"/>
      <c r="U84" s="456"/>
      <c r="V84" s="456"/>
      <c r="W84" s="456"/>
      <c r="X84" s="456"/>
      <c r="Y84" s="456"/>
      <c r="Z84" s="456"/>
      <c r="AA84" s="456"/>
      <c r="AB84" s="1"/>
      <c r="AC84" s="1"/>
      <c r="AD84" s="456"/>
      <c r="AE84" s="456"/>
      <c r="AF84" s="1"/>
      <c r="AG84" s="1"/>
      <c r="AH84" s="1"/>
      <c r="AI84" s="1"/>
      <c r="AJ84" s="1"/>
      <c r="AK84" s="1"/>
      <c r="AL84" s="774" t="n">
        <f aca="false">E66-D66</f>
        <v>0.0152176113558986</v>
      </c>
      <c r="AM84" s="779" t="n">
        <f aca="false">(SUM(Q30:X30)-SUM(Y30:AF30)-T30)/1000/'PIB corriente base 2004'!X22</f>
        <v>0.0158802674388386</v>
      </c>
      <c r="AN84" s="779" t="n">
        <f aca="false">AM84-AL84</f>
        <v>0.000662656082940007</v>
      </c>
      <c r="AO84" s="1"/>
      <c r="AP84" s="1"/>
      <c r="AQ84" s="1"/>
      <c r="AR84" s="1"/>
    </row>
    <row r="85" customFormat="false" ht="13.8" hidden="false" customHeight="false" outlineLevel="0" collapsed="false">
      <c r="B85" s="781"/>
      <c r="C85" s="1" t="n">
        <f aca="false">'Exogenous tax and expenses'!C84+1</f>
        <v>2037</v>
      </c>
      <c r="D85" s="744"/>
      <c r="E85" s="744"/>
      <c r="F85" s="785" t="n">
        <v>-0.0392013714099152</v>
      </c>
      <c r="G85" s="785" t="n">
        <v>-0.0529202194242223</v>
      </c>
      <c r="H85" s="788" t="n">
        <v>-0.0253456234180949</v>
      </c>
      <c r="I85" s="788" t="n">
        <v>-0.0367379142764194</v>
      </c>
      <c r="J85" s="456" t="n">
        <v>-0.0105673047826973</v>
      </c>
      <c r="K85" s="456" t="n">
        <v>-0.0207541969088217</v>
      </c>
      <c r="L85" s="456" t="n">
        <f aca="false">'Exogenous tax and expenses'!F85+$S$61+$T$61+$U$61+$V$61+$W$61-$Y$61-$AA$61-$AB$61-$AC$61-$AD$61</f>
        <v>-0.0127546859953801</v>
      </c>
      <c r="M85" s="456" t="n">
        <f aca="false">'Exogenous tax and expenses'!G85+$S$61+$T$61+$U$61+$V$61+$W$61-$Y$61-$AA$61-$AB$61-$AC$61-$AD$61-$W$61*15/15</f>
        <v>-0.042166061120293</v>
      </c>
      <c r="N85" s="456" t="n">
        <f aca="false">'Exogenous tax and expenses'!H85+$S$61+$T$61+$U$61+$V$61+$W$61-$Y$61-$AA$61-$AB$61-$AC$61-$AD$61</f>
        <v>0.00110106199644017</v>
      </c>
      <c r="O85" s="456" t="n">
        <f aca="false">'Exogenous tax and expenses'!I85+$S$61+$T$61+$U$61+$V$61+$W$61-$Y$61-$AA$61-$AB$61-$AC$61-$AD$61-$W$61*15/15</f>
        <v>-0.0259837559724901</v>
      </c>
      <c r="P85" s="456" t="n">
        <f aca="false">'Exogenous tax and expenses'!J85+$S$61+$T$61+$U$61+$V$61+$W$61-$Y$61-$AA$61-$AB$61-$AC$61-$AD$61</f>
        <v>0.0158793806318378</v>
      </c>
      <c r="Q85" s="456" t="n">
        <f aca="false">'Exogenous tax and expenses'!K85+$S$61+$T$61+$U$61+$V$61+$W$61-$Y$61-$AA$61-$AB$61-$AC$61-$AD$61-$W$61*15/15</f>
        <v>-0.0100000386048924</v>
      </c>
      <c r="R85" s="730"/>
      <c r="S85" s="730"/>
      <c r="T85" s="456"/>
      <c r="U85" s="456"/>
      <c r="V85" s="456"/>
      <c r="W85" s="456"/>
      <c r="X85" s="456"/>
      <c r="Y85" s="456"/>
      <c r="Z85" s="456"/>
      <c r="AA85" s="456"/>
      <c r="AB85" s="1"/>
      <c r="AC85" s="1"/>
      <c r="AD85" s="456"/>
      <c r="AE85" s="456"/>
      <c r="AF85" s="1"/>
      <c r="AG85" s="1"/>
      <c r="AH85" s="1"/>
      <c r="AI85" s="1"/>
      <c r="AJ85" s="1"/>
      <c r="AK85" s="1"/>
      <c r="AL85" s="1"/>
      <c r="AM85" s="1"/>
      <c r="AN85" s="1"/>
      <c r="AO85" s="1"/>
      <c r="AP85" s="1"/>
      <c r="AQ85" s="1"/>
      <c r="AR85" s="1"/>
    </row>
    <row r="86" customFormat="false" ht="13.8" hidden="false" customHeight="false" outlineLevel="0" collapsed="false">
      <c r="B86" s="781"/>
      <c r="C86" s="1" t="n">
        <f aca="false">'Exogenous tax and expenses'!C85+1</f>
        <v>2038</v>
      </c>
      <c r="D86" s="744"/>
      <c r="E86" s="744"/>
      <c r="F86" s="785" t="n">
        <v>-0.038468064793562</v>
      </c>
      <c r="G86" s="785" t="n">
        <v>-0.0530794876045198</v>
      </c>
      <c r="H86" s="789" t="n">
        <v>-0.0236714695925401</v>
      </c>
      <c r="I86" s="789" t="n">
        <v>-0.035453684387902</v>
      </c>
      <c r="J86" s="456" t="n">
        <v>-0.00931348641028586</v>
      </c>
      <c r="K86" s="456" t="n">
        <v>-0.0198855511235327</v>
      </c>
      <c r="L86" s="456" t="n">
        <f aca="false">'Exogenous tax and expenses'!F86+$S$61+$T$61+$U$61+$V$61+$W$61-$Y$61-$AA$61-$AB$61-$AC$61-$AD$61</f>
        <v>-0.0120213793790269</v>
      </c>
      <c r="M86" s="456" t="n">
        <f aca="false">'Exogenous tax and expenses'!G86+$S$61+$T$61+$U$61+$V$61+$W$61-$Y$61-$AA$61-$AB$61-$AC$61-$AD$61-$W$61*15/15</f>
        <v>-0.0423253293005905</v>
      </c>
      <c r="N86" s="456" t="n">
        <f aca="false">'Exogenous tax and expenses'!H86+$S$61+$T$61+$U$61+$V$61+$W$61-$Y$61-$AA$61-$AB$61-$AC$61-$AD$61</f>
        <v>0.00277521582199497</v>
      </c>
      <c r="O86" s="456" t="n">
        <f aca="false">'Exogenous tax and expenses'!I86+$S$61+$T$61+$U$61+$V$61+$W$61-$Y$61-$AA$61-$AB$61-$AC$61-$AD$61-$W$61*15/15</f>
        <v>-0.0246995260839727</v>
      </c>
      <c r="P86" s="456" t="n">
        <f aca="false">'Exogenous tax and expenses'!J86+$S$61+$T$61+$U$61+$V$61+$W$61-$Y$61-$AA$61-$AB$61-$AC$61-$AD$61</f>
        <v>0.0171331990042492</v>
      </c>
      <c r="Q86" s="456" t="n">
        <f aca="false">'Exogenous tax and expenses'!K86+$S$61+$T$61+$U$61+$V$61+$W$61-$Y$61-$AA$61-$AB$61-$AC$61-$AD$61-$W$61*15/15</f>
        <v>-0.0091313928196034</v>
      </c>
      <c r="R86" s="730"/>
      <c r="S86" s="730"/>
      <c r="T86" s="456"/>
      <c r="U86" s="456"/>
      <c r="V86" s="456"/>
      <c r="W86" s="456"/>
      <c r="X86" s="456"/>
      <c r="Y86" s="456"/>
      <c r="Z86" s="456"/>
      <c r="AA86" s="456"/>
      <c r="AB86" s="1"/>
      <c r="AC86" s="1"/>
      <c r="AD86" s="456"/>
      <c r="AE86" s="456"/>
      <c r="AF86" s="1"/>
      <c r="AG86" s="1"/>
      <c r="AH86" s="1"/>
      <c r="AI86" s="1"/>
      <c r="AJ86" s="1"/>
      <c r="AK86" s="1"/>
      <c r="AL86" s="1"/>
      <c r="AM86" s="1"/>
      <c r="AN86" s="1"/>
      <c r="AO86" s="1"/>
      <c r="AP86" s="1"/>
      <c r="AQ86" s="1"/>
      <c r="AR86" s="1"/>
    </row>
    <row r="87" customFormat="false" ht="13.8" hidden="false" customHeight="false" outlineLevel="0" collapsed="false">
      <c r="B87" s="781"/>
      <c r="C87" s="1" t="n">
        <f aca="false">'Exogenous tax and expenses'!C86+1</f>
        <v>2039</v>
      </c>
      <c r="D87" s="744"/>
      <c r="E87" s="744"/>
      <c r="F87" s="785" t="n">
        <v>-0.0382512064777153</v>
      </c>
      <c r="G87" s="785" t="n">
        <v>-0.0534935229911094</v>
      </c>
      <c r="H87" s="789" t="n">
        <v>-0.0238122476575823</v>
      </c>
      <c r="I87" s="789" t="n">
        <v>-0.0361437402192002</v>
      </c>
      <c r="J87" s="456" t="n">
        <v>-0.00850137634154165</v>
      </c>
      <c r="K87" s="456" t="n">
        <v>-0.0195672655974706</v>
      </c>
      <c r="L87" s="456" t="n">
        <f aca="false">'Exogenous tax and expenses'!F87+$S$61+$T$61+$U$61+$V$61+$W$61-$Y$61-$AA$61-$AB$61-$AC$61-$AD$61</f>
        <v>-0.0118045210631802</v>
      </c>
      <c r="M87" s="456" t="n">
        <f aca="false">'Exogenous tax and expenses'!G87+$S$61+$T$61+$U$61+$V$61+$W$61-$Y$61-$AA$61-$AB$61-$AC$61-$AD$61-$W$61*15/15</f>
        <v>-0.0427393646871801</v>
      </c>
      <c r="N87" s="456" t="n">
        <f aca="false">'Exogenous tax and expenses'!H87+$S$61+$T$61+$U$61+$V$61+$W$61-$Y$61-$AA$61-$AB$61-$AC$61-$AD$61</f>
        <v>0.00263443775695277</v>
      </c>
      <c r="O87" s="456" t="n">
        <f aca="false">'Exogenous tax and expenses'!I87+$S$61+$T$61+$U$61+$V$61+$W$61-$Y$61-$AA$61-$AB$61-$AC$61-$AD$61-$W$61*15/15</f>
        <v>-0.0253895819152709</v>
      </c>
      <c r="P87" s="456" t="n">
        <f aca="false">'Exogenous tax and expenses'!J87+$S$61+$T$61+$U$61+$V$61+$W$61-$Y$61-$AA$61-$AB$61-$AC$61-$AD$61</f>
        <v>0.0179453090729934</v>
      </c>
      <c r="Q87" s="456" t="n">
        <f aca="false">'Exogenous tax and expenses'!K87+$S$61+$T$61+$U$61+$V$61+$W$61-$Y$61-$AA$61-$AB$61-$AC$61-$AD$61-$W$61*15/15</f>
        <v>-0.0088131072935413</v>
      </c>
      <c r="R87" s="730"/>
      <c r="S87" s="730"/>
      <c r="T87" s="456"/>
      <c r="U87" s="456"/>
      <c r="V87" s="456"/>
      <c r="W87" s="456"/>
      <c r="X87" s="456"/>
      <c r="Y87" s="456"/>
      <c r="Z87" s="456"/>
      <c r="AA87" s="456"/>
      <c r="AB87" s="1"/>
      <c r="AC87" s="1"/>
      <c r="AD87" s="456"/>
      <c r="AE87" s="456"/>
      <c r="AF87" s="1"/>
      <c r="AG87" s="1"/>
      <c r="AH87" s="1"/>
      <c r="AI87" s="1"/>
      <c r="AJ87" s="1"/>
      <c r="AK87" s="1"/>
      <c r="AL87" s="1"/>
      <c r="AM87" s="1"/>
      <c r="AN87" s="1"/>
      <c r="AO87" s="1"/>
      <c r="AP87" s="1"/>
      <c r="AQ87" s="1"/>
      <c r="AR87" s="1"/>
    </row>
    <row r="88" customFormat="false" ht="13.8" hidden="false" customHeight="false" outlineLevel="0" collapsed="false">
      <c r="B88" s="781"/>
      <c r="C88" s="1" t="n">
        <f aca="false">'Exogenous tax and expenses'!C87+1</f>
        <v>2040</v>
      </c>
      <c r="D88" s="744"/>
      <c r="E88" s="744"/>
      <c r="F88" s="785" t="n">
        <v>-0.0384084072361359</v>
      </c>
      <c r="G88" s="785" t="n">
        <v>-0.0544746023276238</v>
      </c>
      <c r="H88" s="789" t="n">
        <v>-0.024353860174388</v>
      </c>
      <c r="I88" s="789" t="n">
        <v>-0.0371344033242403</v>
      </c>
      <c r="J88" s="456" t="n">
        <v>-0.00744178368923299</v>
      </c>
      <c r="K88" s="456" t="n">
        <v>-0.0188542663989452</v>
      </c>
      <c r="L88" s="456" t="n">
        <f aca="false">'Exogenous tax and expenses'!F88+$S$61+$T$61+$U$61+$V$61+$W$61-$Y$61-$AA$61-$AB$61-$AC$61-$AD$61</f>
        <v>-0.0119617218216008</v>
      </c>
      <c r="M88" s="456" t="n">
        <f aca="false">'Exogenous tax and expenses'!G88+$S$61+$T$61+$U$61+$V$61+$W$61-$Y$61-$AA$61-$AB$61-$AC$61-$AD$61-$W$61*15/15</f>
        <v>-0.0437204440236945</v>
      </c>
      <c r="N88" s="456" t="n">
        <f aca="false">'Exogenous tax and expenses'!H88+$S$61+$T$61+$U$61+$V$61+$W$61-$Y$61-$AA$61-$AB$61-$AC$61-$AD$61</f>
        <v>0.00209282524014706</v>
      </c>
      <c r="O88" s="456" t="n">
        <f aca="false">'Exogenous tax and expenses'!I88+$S$61+$T$61+$U$61+$V$61+$W$61-$Y$61-$AA$61-$AB$61-$AC$61-$AD$61-$W$61*15/15</f>
        <v>-0.026380245020311</v>
      </c>
      <c r="P88" s="456" t="n">
        <f aca="false">'Exogenous tax and expenses'!J88+$S$61+$T$61+$U$61+$V$61+$W$61-$Y$61-$AA$61-$AB$61-$AC$61-$AD$61</f>
        <v>0.0190049017253021</v>
      </c>
      <c r="Q88" s="456" t="n">
        <f aca="false">'Exogenous tax and expenses'!K88+$S$61+$T$61+$U$61+$V$61+$W$61-$Y$61-$AA$61-$AB$61-$AC$61-$AD$61-$W$61*15/15</f>
        <v>-0.0081001080950159</v>
      </c>
      <c r="R88" s="730"/>
      <c r="S88" s="730"/>
      <c r="T88" s="456"/>
      <c r="U88" s="456"/>
      <c r="V88" s="456"/>
      <c r="W88" s="456"/>
      <c r="X88" s="456"/>
      <c r="Y88" s="456"/>
      <c r="Z88" s="456"/>
      <c r="AA88" s="456"/>
      <c r="AB88" s="1"/>
      <c r="AC88" s="1"/>
      <c r="AD88" s="456"/>
      <c r="AE88" s="456"/>
      <c r="AF88" s="1"/>
      <c r="AG88" s="1"/>
      <c r="AH88" s="1"/>
      <c r="AI88" s="1"/>
      <c r="AJ88" s="1"/>
      <c r="AK88" s="1"/>
      <c r="AL88" s="1"/>
      <c r="AM88" s="1"/>
      <c r="AN88" s="1"/>
      <c r="AO88" s="1"/>
      <c r="AP88" s="1"/>
      <c r="AQ88" s="1"/>
      <c r="AR88" s="1"/>
    </row>
    <row r="89" customFormat="false" ht="13.8" hidden="false" customHeight="false" outlineLevel="0" collapsed="false">
      <c r="A89" s="0" t="n">
        <f aca="false">'Cuenta Ahorro-Inversión-Financi'!AV102</f>
        <v>2014</v>
      </c>
      <c r="B89" s="539"/>
      <c r="C89" s="1" t="n">
        <v>2014</v>
      </c>
      <c r="D89" s="745" t="n">
        <f aca="false">D62</f>
        <v>-0.0217418594917814</v>
      </c>
      <c r="E89" s="745" t="n">
        <f aca="false">E62</f>
        <v>-0.00129286375596846</v>
      </c>
      <c r="F89" s="1"/>
      <c r="G89" s="1"/>
      <c r="H89" s="790" t="n">
        <v>-0.0208</v>
      </c>
      <c r="I89" s="791"/>
      <c r="J89" s="1"/>
      <c r="K89" s="1"/>
      <c r="L89" s="1"/>
      <c r="M89" s="1"/>
      <c r="N89" s="456" t="n">
        <f aca="false">'Exogenous tax and expenses'!H89+SUM('Exogenous tax and expenses'!Q53:S53)+'Exogenous tax and expenses'!W53+'Exogenous tax and expenses'!U53+'Cuenta Ahorro-Inversión-Financi'!L30/1000/'PIB corriente base 2004'!X18-SUM('Exogenous tax and expenses'!Y53:AC53)-'Cuenta Ahorro-Inversión-Financi'!CH31/1000/'PIB corriente base 2004'!X18</f>
        <v>-0.0183808955030112</v>
      </c>
      <c r="O89" s="1"/>
      <c r="P89" s="1"/>
      <c r="Q89" s="730" t="n">
        <f aca="false">AVERAGE('Exogenous tax and expenses'!Q47:Q56)</f>
        <v>0.0103842634031112</v>
      </c>
      <c r="R89" s="1"/>
      <c r="S89" s="730" t="n">
        <v>0.002</v>
      </c>
      <c r="T89" s="456" t="s">
        <v>1063</v>
      </c>
      <c r="U89" s="456"/>
      <c r="V89" s="456"/>
      <c r="W89" s="456"/>
      <c r="X89" s="456"/>
      <c r="Y89" s="456"/>
      <c r="Z89" s="456"/>
      <c r="AA89" s="456"/>
      <c r="AB89" s="1"/>
      <c r="AC89" s="1"/>
      <c r="AD89" s="1"/>
      <c r="AE89" s="1"/>
      <c r="AF89" s="1"/>
      <c r="AG89" s="1"/>
      <c r="AH89" s="1" t="n">
        <f aca="false">'Exogenous tax and expenses'!AJ88+1</f>
        <v>1</v>
      </c>
      <c r="AI89" s="1"/>
      <c r="AJ89" s="1"/>
      <c r="AK89" s="1"/>
      <c r="AL89" s="1"/>
      <c r="AM89" s="1"/>
      <c r="AN89" s="1"/>
      <c r="AO89" s="1"/>
      <c r="AP89" s="1"/>
      <c r="AQ89" s="1"/>
      <c r="AR89" s="1"/>
    </row>
    <row r="90" customFormat="false" ht="13.8" hidden="false" customHeight="false" outlineLevel="0" collapsed="false">
      <c r="A90" s="0" t="n">
        <f aca="false">'Cuenta Ahorro-Inversión-Financi'!AV103</f>
        <v>2015</v>
      </c>
      <c r="B90" s="539"/>
      <c r="C90" s="1" t="n">
        <f aca="false">'Exogenous tax and expenses'!C89+1</f>
        <v>2015</v>
      </c>
      <c r="D90" s="744" t="n">
        <f aca="false">D63</f>
        <v>-0.02830905931782</v>
      </c>
      <c r="E90" s="744" t="n">
        <f aca="false">E63</f>
        <v>-0.00750733306177321</v>
      </c>
      <c r="F90" s="1"/>
      <c r="G90" s="1"/>
      <c r="H90" s="790" t="n">
        <v>-0.0328</v>
      </c>
      <c r="I90" s="791"/>
      <c r="J90" s="1"/>
      <c r="K90" s="1"/>
      <c r="L90" s="1"/>
      <c r="M90" s="1"/>
      <c r="N90" s="456" t="n">
        <f aca="false">'Exogenous tax and expenses'!H90+SUM('Exogenous tax and expenses'!Q54:S54)+'Exogenous tax and expenses'!W54+'Exogenous tax and expenses'!U54+'Cuenta Ahorro-Inversión-Financi'!L31/1000/'PIB corriente base 2004'!X19-SUM('Exogenous tax and expenses'!Y54:AF54)</f>
        <v>-0.0115582382091378</v>
      </c>
      <c r="O90" s="1"/>
      <c r="P90" s="1"/>
      <c r="Q90" s="1"/>
      <c r="R90" s="730"/>
      <c r="S90" s="730"/>
      <c r="T90" s="456"/>
      <c r="U90" s="456"/>
      <c r="V90" s="456"/>
      <c r="W90" s="456"/>
      <c r="X90" s="456"/>
      <c r="Y90" s="456"/>
      <c r="Z90" s="456"/>
      <c r="AA90" s="456"/>
      <c r="AB90" s="1"/>
      <c r="AC90" s="1"/>
      <c r="AD90" s="1"/>
      <c r="AE90" s="1"/>
      <c r="AF90" s="1"/>
      <c r="AG90" s="1"/>
      <c r="AH90" s="1" t="n">
        <f aca="false">'Exogenous tax and expenses'!AH89+1</f>
        <v>2</v>
      </c>
      <c r="AI90" s="1"/>
      <c r="AJ90" s="1"/>
      <c r="AK90" s="1"/>
      <c r="AL90" s="1"/>
      <c r="AM90" s="1"/>
      <c r="AN90" s="1"/>
      <c r="AO90" s="1"/>
      <c r="AP90" s="1"/>
      <c r="AQ90" s="1"/>
      <c r="AR90" s="1"/>
    </row>
    <row r="91" customFormat="false" ht="13.8" hidden="false" customHeight="false" outlineLevel="0" collapsed="false">
      <c r="A91" s="0" t="n">
        <f aca="false">'Cuenta Ahorro-Inversión-Financi'!AV104</f>
        <v>2016</v>
      </c>
      <c r="B91" s="539"/>
      <c r="C91" s="1" t="n">
        <f aca="false">'Exogenous tax and expenses'!C90+1</f>
        <v>2016</v>
      </c>
      <c r="D91" s="745" t="n">
        <f aca="false">D64</f>
        <v>-0.0326337137303945</v>
      </c>
      <c r="E91" s="745" t="n">
        <f aca="false">E64</f>
        <v>-0.0203467996958489</v>
      </c>
      <c r="F91" s="1"/>
      <c r="G91" s="1"/>
      <c r="H91" s="790" t="n">
        <v>-0.0317</v>
      </c>
      <c r="I91" s="790" t="n">
        <v>-0.0317</v>
      </c>
      <c r="J91" s="1"/>
      <c r="K91" s="1"/>
      <c r="L91" s="1"/>
      <c r="M91" s="1"/>
      <c r="N91" s="456" t="n">
        <f aca="false">'Exogenous tax and expenses'!H91+SUM('Exogenous tax and expenses'!Q55:S55)+'Exogenous tax and expenses'!W55+'Exogenous tax and expenses'!U55+'Cuenta Ahorro-Inversión-Financi'!L32/1000/'PIB corriente base 2004'!X20-SUM('Exogenous tax and expenses'!Y55:AC55)</f>
        <v>-0.0128139766351672</v>
      </c>
      <c r="O91" s="1"/>
      <c r="P91" s="1"/>
      <c r="Q91" s="1"/>
      <c r="R91" s="730"/>
      <c r="S91" s="730"/>
      <c r="T91" s="456"/>
      <c r="U91" s="456"/>
      <c r="V91" s="456"/>
      <c r="W91" s="456"/>
      <c r="X91" s="456"/>
      <c r="Y91" s="456"/>
      <c r="Z91" s="456"/>
      <c r="AA91" s="456"/>
      <c r="AB91" s="1"/>
      <c r="AC91" s="1"/>
      <c r="AD91" s="1"/>
      <c r="AE91" s="1"/>
      <c r="AF91" s="1"/>
      <c r="AG91" s="1"/>
      <c r="AH91" s="1"/>
      <c r="AI91" s="1"/>
      <c r="AJ91" s="1"/>
      <c r="AK91" s="1"/>
      <c r="AL91" s="1"/>
      <c r="AM91" s="1"/>
      <c r="AN91" s="1"/>
      <c r="AO91" s="1"/>
      <c r="AP91" s="1"/>
      <c r="AQ91" s="1"/>
      <c r="AR91" s="1"/>
    </row>
    <row r="92" customFormat="false" ht="13.8" hidden="false" customHeight="false" outlineLevel="0" collapsed="false">
      <c r="A92" s="0" t="n">
        <f aca="false">'Cuenta Ahorro-Inversión-Financi'!AV105</f>
        <v>2017</v>
      </c>
      <c r="B92" s="539"/>
      <c r="C92" s="1" t="n">
        <f aca="false">'Exogenous tax and expenses'!C91+1</f>
        <v>2017</v>
      </c>
      <c r="D92" s="744" t="n">
        <f aca="false">D65</f>
        <v>-0.0323299618518769</v>
      </c>
      <c r="E92" s="744" t="n">
        <f aca="false">E65</f>
        <v>-0.0241047020081896</v>
      </c>
      <c r="F92" s="792" t="n">
        <v>-0.0364</v>
      </c>
      <c r="G92" s="792" t="n">
        <v>-0.0369</v>
      </c>
      <c r="H92" s="790" t="n">
        <v>-0.0363</v>
      </c>
      <c r="I92" s="790" t="n">
        <v>-0.0368</v>
      </c>
      <c r="J92" s="792" t="n">
        <v>-0.0362</v>
      </c>
      <c r="K92" s="792" t="n">
        <v>-0.0366</v>
      </c>
      <c r="L92" s="456" t="n">
        <f aca="false">'Exogenous tax and expenses'!F92+SUM('Exogenous tax and expenses'!Q56:S56)+'Exogenous tax and expenses'!W56+'Exogenous tax and expenses'!U56+('Cuenta Ahorro-Inversión-Financi'!L33-'Cuenta Ahorro-Inversión-Financi'!CH33)/1000/'PIB corriente base 2004'!X21-SUM('Exogenous tax and expenses'!Y56:AC56)</f>
        <v>-0.0288520423850262</v>
      </c>
      <c r="M92" s="456" t="n">
        <f aca="false">'Exogenous tax and expenses'!G92+SUM('Exogenous tax and expenses'!Q56:S56)+'Exogenous tax and expenses'!W56+'Exogenous tax and expenses'!U56+('Cuenta Ahorro-Inversión-Financi'!L33-'Cuenta Ahorro-Inversión-Financi'!CH33)/1000/'PIB corriente base 2004'!X21-SUM('Exogenous tax and expenses'!Y56:AC56)</f>
        <v>-0.0293520423850262</v>
      </c>
      <c r="N92" s="456" t="n">
        <f aca="false">'Exogenous tax and expenses'!H92+SUM('Exogenous tax and expenses'!Q56:S56)+'Exogenous tax and expenses'!W56+'Exogenous tax and expenses'!U56+('Cuenta Ahorro-Inversión-Financi'!L33-'Cuenta Ahorro-Inversión-Financi'!CH33)/1000/'PIB corriente base 2004'!X21-SUM('Exogenous tax and expenses'!Y56:AC56)</f>
        <v>-0.0287520423850262</v>
      </c>
      <c r="O92" s="456" t="n">
        <f aca="false">'Exogenous tax and expenses'!I92+SUM('Exogenous tax and expenses'!Q56:S56)+'Exogenous tax and expenses'!W56+'Exogenous tax and expenses'!U56+('Cuenta Ahorro-Inversión-Financi'!L33-'Cuenta Ahorro-Inversión-Financi'!CH33)/1000/'PIB corriente base 2004'!X21-SUM('Exogenous tax and expenses'!Y56:AC56)</f>
        <v>-0.0292520423850262</v>
      </c>
      <c r="P92" s="456" t="n">
        <f aca="false">'Exogenous tax and expenses'!J92+SUM('Exogenous tax and expenses'!Q56:S56)+'Exogenous tax and expenses'!W56+'Exogenous tax and expenses'!U56+('Cuenta Ahorro-Inversión-Financi'!L33-'Cuenta Ahorro-Inversión-Financi'!CH33)/1000/'PIB corriente base 2004'!X21-SUM('Exogenous tax and expenses'!Y56:AC56)</f>
        <v>-0.0286520423850262</v>
      </c>
      <c r="Q92" s="456" t="n">
        <f aca="false">'Exogenous tax and expenses'!K92+SUM('Exogenous tax and expenses'!Q56:S56)+'Exogenous tax and expenses'!W56+'Exogenous tax and expenses'!U56+('Cuenta Ahorro-Inversión-Financi'!L33-'Cuenta Ahorro-Inversión-Financi'!CH33)/1000/'PIB corriente base 2004'!X21-SUM('Exogenous tax and expenses'!Y56:AC56)</f>
        <v>-0.0290520423850262</v>
      </c>
      <c r="R92" s="730"/>
      <c r="S92" s="730"/>
      <c r="T92" s="456"/>
      <c r="U92" s="456"/>
      <c r="V92" s="456"/>
      <c r="W92" s="456"/>
      <c r="X92" s="456"/>
      <c r="Y92" s="456"/>
      <c r="Z92" s="456"/>
      <c r="AA92" s="456"/>
      <c r="AB92" s="1"/>
      <c r="AC92" s="1"/>
      <c r="AD92" s="1"/>
      <c r="AE92" s="1"/>
      <c r="AF92" s="1"/>
      <c r="AG92" s="1"/>
      <c r="AH92" s="1"/>
      <c r="AI92" s="1"/>
      <c r="AJ92" s="1"/>
      <c r="AK92" s="1"/>
      <c r="AL92" s="1"/>
      <c r="AM92" s="1"/>
      <c r="AN92" s="1"/>
      <c r="AO92" s="1"/>
      <c r="AP92" s="1"/>
      <c r="AQ92" s="1"/>
      <c r="AR92" s="1"/>
    </row>
    <row r="93" customFormat="false" ht="13.8" hidden="false" customHeight="false" outlineLevel="0" collapsed="false">
      <c r="A93" s="0" t="n">
        <f aca="false">'Cuenta Ahorro-Inversión-Financi'!AV106</f>
        <v>2018</v>
      </c>
      <c r="B93" s="539"/>
      <c r="C93" s="1" t="n">
        <v>2018</v>
      </c>
      <c r="D93" s="745" t="n">
        <f aca="false">D66</f>
        <v>-0.0334894091561111</v>
      </c>
      <c r="E93" s="745" t="n">
        <f aca="false">E66</f>
        <v>-0.0182717978002125</v>
      </c>
      <c r="F93" s="792" t="n">
        <v>-0.0368</v>
      </c>
      <c r="G93" s="792" t="n">
        <v>-0.0377</v>
      </c>
      <c r="H93" s="790" t="n">
        <v>-0.0357</v>
      </c>
      <c r="I93" s="790" t="n">
        <v>-0.0366</v>
      </c>
      <c r="J93" s="792" t="n">
        <v>-0.0345</v>
      </c>
      <c r="K93" s="792" t="n">
        <v>-0.0354</v>
      </c>
      <c r="L93" s="456" t="n">
        <f aca="false">'Exogenous tax and expenses'!F93+SUM('Exogenous tax and expenses'!R93:V93)-SUM('Exogenous tax and expenses'!X93:AA93)</f>
        <v>-0.0102478680972101</v>
      </c>
      <c r="M93" s="456" t="n">
        <f aca="false">'Exogenous tax and expenses'!G93+SUM('Exogenous tax and expenses'!R93:V93)-SUM('Exogenous tax and expenses'!X93:AA93)</f>
        <v>-0.0111478680972101</v>
      </c>
      <c r="N93" s="456" t="n">
        <f aca="false">'Exogenous tax and expenses'!H93+SUM('Exogenous tax and expenses'!R93:V93)-SUM('Exogenous tax and expenses'!X93:AA93)</f>
        <v>-0.00914786809721012</v>
      </c>
      <c r="O93" s="456" t="n">
        <f aca="false">'Exogenous tax and expenses'!I93+SUM('Exogenous tax and expenses'!R93:V93)-SUM('Exogenous tax and expenses'!X93:AA93)</f>
        <v>-0.0100478680972101</v>
      </c>
      <c r="P93" s="456" t="n">
        <f aca="false">'Exogenous tax and expenses'!J93+SUM('Exogenous tax and expenses'!R93:V93)-SUM('Exogenous tax and expenses'!X93:AA93)</f>
        <v>-0.00794786809721012</v>
      </c>
      <c r="Q93" s="456" t="n">
        <f aca="false">'Exogenous tax and expenses'!K93+SUM('Exogenous tax and expenses'!R93:V93)-SUM('Exogenous tax and expenses'!X93:AA93)</f>
        <v>-0.00884786809721012</v>
      </c>
      <c r="R93" s="456" t="n">
        <f aca="false">'Exogenous tax and expenses'!S61</f>
        <v>0.00717368525436939</v>
      </c>
      <c r="S93" s="456" t="n">
        <f aca="false">'Exogenous tax and expenses'!T61</f>
        <v>0.00264884044328671</v>
      </c>
      <c r="T93" s="784" t="n">
        <f aca="false">'Exogenous tax and expenses'!U61</f>
        <v>0.000157308523483685</v>
      </c>
      <c r="U93" s="456" t="n">
        <f aca="false">'Exogenous tax and expenses'!V61*0.77*8/12+'Exogenous tax and expenses'!V61*4/12</f>
        <v>0.013897660181544</v>
      </c>
      <c r="V93" s="784" t="n">
        <f aca="false">'Exogenous tax and expenses'!W61</f>
        <v>0.0156925271106058</v>
      </c>
      <c r="W93" s="784"/>
      <c r="X93" s="784" t="n">
        <f aca="false">'Exogenous tax and expenses'!Y61</f>
        <v>0.00191293753744961</v>
      </c>
      <c r="Y93" s="456" t="n">
        <f aca="false">'Exogenous tax and expenses'!AA61</f>
        <v>0.00262755013399756</v>
      </c>
      <c r="Z93" s="456" t="n">
        <f aca="false">'Exogenous tax and expenses'!AB61</f>
        <v>0.00695203916219706</v>
      </c>
      <c r="AA93" s="456" t="n">
        <f aca="false">'Exogenous tax and expenses'!AC61</f>
        <v>0.00152536277685544</v>
      </c>
      <c r="AB93" s="1"/>
      <c r="AC93" s="1"/>
      <c r="AD93" s="1"/>
      <c r="AE93" s="1"/>
      <c r="AF93" s="1"/>
      <c r="AG93" s="1"/>
      <c r="AH93" s="1"/>
      <c r="AI93" s="1"/>
      <c r="AJ93" s="1"/>
      <c r="AK93" s="1"/>
      <c r="AL93" s="1"/>
      <c r="AM93" s="1"/>
      <c r="AN93" s="1"/>
      <c r="AO93" s="1"/>
      <c r="AP93" s="1"/>
      <c r="AQ93" s="1"/>
      <c r="AR93" s="1"/>
    </row>
    <row r="94" customFormat="false" ht="13.8" hidden="false" customHeight="false" outlineLevel="0" collapsed="false">
      <c r="B94" s="539" t="s">
        <v>1064</v>
      </c>
      <c r="C94" s="1" t="n">
        <f aca="false">'Exogenous tax and expenses'!C93+1</f>
        <v>2019</v>
      </c>
      <c r="D94" s="1"/>
      <c r="E94" s="1"/>
      <c r="F94" s="792" t="n">
        <v>-0.0422</v>
      </c>
      <c r="G94" s="792" t="n">
        <v>-0.0435</v>
      </c>
      <c r="H94" s="790" t="n">
        <v>-0.039</v>
      </c>
      <c r="I94" s="790" t="n">
        <v>-0.0403</v>
      </c>
      <c r="J94" s="792" t="n">
        <v>-0.0365</v>
      </c>
      <c r="K94" s="792" t="n">
        <v>-0.0378</v>
      </c>
      <c r="L94" s="456" t="n">
        <f aca="false">'Exogenous tax and expenses'!F94+SUM('Exogenous tax and expenses'!R94:V94)-SUM('Exogenous tax and expenses'!X94:AA94)</f>
        <v>-0.01969679271703</v>
      </c>
      <c r="M94" s="456" t="n">
        <f aca="false">'Exogenous tax and expenses'!G94+SUM('Exogenous tax and expenses'!R94:V94)-SUM('Exogenous tax and expenses'!X94:AA94)</f>
        <v>-0.02099679271703</v>
      </c>
      <c r="N94" s="456" t="n">
        <f aca="false">'Exogenous tax and expenses'!H94+SUM('Exogenous tax and expenses'!R94:V94)-SUM('Exogenous tax and expenses'!X94:AA94)</f>
        <v>-0.01649679271703</v>
      </c>
      <c r="O94" s="456" t="n">
        <f aca="false">'Exogenous tax and expenses'!I94+SUM('Exogenous tax and expenses'!R94:V94)-SUM('Exogenous tax and expenses'!X94:AA94)</f>
        <v>-0.01779679271703</v>
      </c>
      <c r="P94" s="456" t="n">
        <f aca="false">'Exogenous tax and expenses'!J94+SUM('Exogenous tax and expenses'!R94:V94)-SUM('Exogenous tax and expenses'!X94:AA94)</f>
        <v>-0.01399679271703</v>
      </c>
      <c r="Q94" s="456" t="n">
        <f aca="false">'Exogenous tax and expenses'!K94+SUM('Exogenous tax and expenses'!R94:V94)-SUM('Exogenous tax and expenses'!X94:AA94)</f>
        <v>-0.01529679271703</v>
      </c>
      <c r="R94" s="456" t="n">
        <f aca="false">'Exogenous tax and expenses'!R93</f>
        <v>0.00717368525436939</v>
      </c>
      <c r="S94" s="456" t="n">
        <f aca="false">'Exogenous tax and expenses'!S93</f>
        <v>0.00264884044328671</v>
      </c>
      <c r="T94" s="784" t="n">
        <f aca="false">'Exogenous tax and expenses'!T93</f>
        <v>0.000157308523483685</v>
      </c>
      <c r="U94" s="456" t="n">
        <f aca="false">'Exogenous tax and expenses'!V61*0.6</f>
        <v>0.0098487355617241</v>
      </c>
      <c r="V94" s="784" t="n">
        <f aca="false">'Exogenous tax and expenses'!V93</f>
        <v>0.0156925271106058</v>
      </c>
      <c r="W94" s="784"/>
      <c r="X94" s="784" t="n">
        <f aca="false">'Exogenous tax and expenses'!X93</f>
        <v>0.00191293753744961</v>
      </c>
      <c r="Y94" s="456" t="n">
        <f aca="false">'Exogenous tax and expenses'!Y93</f>
        <v>0.00262755013399756</v>
      </c>
      <c r="Z94" s="456" t="n">
        <f aca="false">'Exogenous tax and expenses'!Z93</f>
        <v>0.00695203916219706</v>
      </c>
      <c r="AA94" s="456" t="n">
        <f aca="false">'Exogenous tax and expenses'!AA93</f>
        <v>0.00152536277685544</v>
      </c>
      <c r="AB94" s="1"/>
      <c r="AC94" s="1"/>
      <c r="AD94" s="1"/>
      <c r="AE94" s="1"/>
      <c r="AF94" s="1"/>
      <c r="AG94" s="1"/>
      <c r="AH94" s="1"/>
      <c r="AI94" s="1"/>
      <c r="AJ94" s="1"/>
      <c r="AK94" s="1"/>
      <c r="AL94" s="1"/>
      <c r="AM94" s="1"/>
      <c r="AN94" s="1"/>
      <c r="AO94" s="1"/>
      <c r="AP94" s="1"/>
      <c r="AQ94" s="1"/>
      <c r="AR94" s="1"/>
    </row>
    <row r="95" customFormat="false" ht="13.8" hidden="false" customHeight="false" outlineLevel="0" collapsed="false">
      <c r="B95" s="539"/>
      <c r="C95" s="1" t="n">
        <f aca="false">'Exogenous tax and expenses'!C94+1</f>
        <v>2020</v>
      </c>
      <c r="D95" s="1"/>
      <c r="E95" s="1"/>
      <c r="F95" s="792" t="n">
        <v>-0.046</v>
      </c>
      <c r="G95" s="792" t="n">
        <v>-0.0477</v>
      </c>
      <c r="H95" s="790" t="n">
        <v>-0.0421</v>
      </c>
      <c r="I95" s="790" t="n">
        <v>-0.0437</v>
      </c>
      <c r="J95" s="792" t="n">
        <v>-0.0388</v>
      </c>
      <c r="K95" s="792" t="n">
        <v>-0.0404</v>
      </c>
      <c r="L95" s="456" t="n">
        <f aca="false">'Exogenous tax and expenses'!F95+SUM('Exogenous tax and expenses'!R95:V95)-SUM('Exogenous tax and expenses'!X95:AA95)</f>
        <v>-0.0267797045709381</v>
      </c>
      <c r="M95" s="456" t="n">
        <f aca="false">'Exogenous tax and expenses'!G95+SUM('Exogenous tax and expenses'!R95:V95)-SUM('Exogenous tax and expenses'!X95:AA95)</f>
        <v>-0.0284797045709381</v>
      </c>
      <c r="N95" s="456" t="n">
        <f aca="false">'Exogenous tax and expenses'!H95+SUM('Exogenous tax and expenses'!R95:V95)-SUM('Exogenous tax and expenses'!X95:AA95)</f>
        <v>-0.0228797045709381</v>
      </c>
      <c r="O95" s="456" t="n">
        <f aca="false">'Exogenous tax and expenses'!I95+SUM('Exogenous tax and expenses'!R95:V95)-SUM('Exogenous tax and expenses'!X95:AA95)</f>
        <v>-0.0244797045709381</v>
      </c>
      <c r="P95" s="456" t="n">
        <f aca="false">'Exogenous tax and expenses'!J95+SUM('Exogenous tax and expenses'!R95:V95)-SUM('Exogenous tax and expenses'!X95:AA95)</f>
        <v>-0.0195797045709381</v>
      </c>
      <c r="Q95" s="456" t="n">
        <f aca="false">'Exogenous tax and expenses'!K95+SUM('Exogenous tax and expenses'!R95:V95)-SUM('Exogenous tax and expenses'!X95:AA95)</f>
        <v>-0.0211797045709381</v>
      </c>
      <c r="R95" s="456" t="n">
        <f aca="false">'Exogenous tax and expenses'!R94</f>
        <v>0.00717368525436939</v>
      </c>
      <c r="S95" s="456" t="n">
        <f aca="false">'Exogenous tax and expenses'!S94</f>
        <v>0.00264884044328671</v>
      </c>
      <c r="T95" s="784" t="n">
        <f aca="false">'Exogenous tax and expenses'!T94</f>
        <v>0.000157308523483685</v>
      </c>
      <c r="U95" s="456" t="n">
        <f aca="false">'Exogenous tax and expenses'!V61*0.4</f>
        <v>0.00656582370781607</v>
      </c>
      <c r="V95" s="784" t="n">
        <f aca="false">'Exogenous tax and expenses'!V94</f>
        <v>0.0156925271106058</v>
      </c>
      <c r="W95" s="784"/>
      <c r="X95" s="784" t="n">
        <f aca="false">'Exogenous tax and expenses'!X94</f>
        <v>0.00191293753744961</v>
      </c>
      <c r="Y95" s="456" t="n">
        <f aca="false">'Exogenous tax and expenses'!Y94</f>
        <v>0.00262755013399756</v>
      </c>
      <c r="Z95" s="456" t="n">
        <f aca="false">'Exogenous tax and expenses'!Z94</f>
        <v>0.00695203916219706</v>
      </c>
      <c r="AA95" s="456" t="n">
        <f aca="false">'Exogenous tax and expenses'!AA94</f>
        <v>0.00152536277685544</v>
      </c>
      <c r="AB95" s="456"/>
      <c r="AC95" s="456"/>
      <c r="AD95" s="1"/>
      <c r="AE95" s="1"/>
      <c r="AF95" s="1"/>
      <c r="AG95" s="1"/>
      <c r="AH95" s="1"/>
      <c r="AI95" s="1"/>
      <c r="AJ95" s="1"/>
      <c r="AK95" s="1"/>
      <c r="AL95" s="1"/>
      <c r="AM95" s="1"/>
      <c r="AN95" s="1"/>
      <c r="AO95" s="1"/>
      <c r="AP95" s="1"/>
      <c r="AQ95" s="1"/>
      <c r="AR95" s="1"/>
    </row>
    <row r="96" customFormat="false" ht="13.8" hidden="false" customHeight="false" outlineLevel="0" collapsed="false">
      <c r="B96" s="539"/>
      <c r="C96" s="1" t="n">
        <f aca="false">'Exogenous tax and expenses'!C95+1</f>
        <v>2021</v>
      </c>
      <c r="D96" s="1"/>
      <c r="E96" s="1"/>
      <c r="F96" s="792" t="n">
        <v>-0.0475</v>
      </c>
      <c r="G96" s="792" t="n">
        <v>-0.0496</v>
      </c>
      <c r="H96" s="790" t="n">
        <v>-0.0434</v>
      </c>
      <c r="I96" s="790" t="n">
        <v>-0.0455</v>
      </c>
      <c r="J96" s="792" t="n">
        <v>-0.039</v>
      </c>
      <c r="K96" s="792" t="n">
        <v>-0.041</v>
      </c>
      <c r="L96" s="456" t="n">
        <f aca="false">'Exogenous tax and expenses'!F96+SUM('Exogenous tax and expenses'!R96:V96)-SUM('Exogenous tax and expenses'!X96:AA96)</f>
        <v>-0.0315626164248461</v>
      </c>
      <c r="M96" s="456" t="n">
        <f aca="false">'Exogenous tax and expenses'!G96+SUM('Exogenous tax and expenses'!R96:V96)-SUM('Exogenous tax and expenses'!X96:AA96)</f>
        <v>-0.0336626164248461</v>
      </c>
      <c r="N96" s="456" t="n">
        <f aca="false">'Exogenous tax and expenses'!H96+SUM('Exogenous tax and expenses'!R96:V96)-SUM('Exogenous tax and expenses'!X96:AA96)</f>
        <v>-0.0274626164248461</v>
      </c>
      <c r="O96" s="456" t="n">
        <f aca="false">'Exogenous tax and expenses'!I96+SUM('Exogenous tax and expenses'!R96:V96)-SUM('Exogenous tax and expenses'!X96:AA96)</f>
        <v>-0.0295626164248461</v>
      </c>
      <c r="P96" s="456" t="n">
        <f aca="false">'Exogenous tax and expenses'!J96+SUM('Exogenous tax and expenses'!R96:V96)-SUM('Exogenous tax and expenses'!X96:AA96)</f>
        <v>-0.0230626164248461</v>
      </c>
      <c r="Q96" s="456" t="n">
        <f aca="false">'Exogenous tax and expenses'!K96+SUM('Exogenous tax and expenses'!R96:V96)-SUM('Exogenous tax and expenses'!X96:AA96)</f>
        <v>-0.0250626164248461</v>
      </c>
      <c r="R96" s="456" t="n">
        <f aca="false">'Exogenous tax and expenses'!R95</f>
        <v>0.00717368525436939</v>
      </c>
      <c r="S96" s="456" t="n">
        <f aca="false">'Exogenous tax and expenses'!S95</f>
        <v>0.00264884044328671</v>
      </c>
      <c r="T96" s="784" t="n">
        <f aca="false">'Exogenous tax and expenses'!T95</f>
        <v>0.000157308523483685</v>
      </c>
      <c r="U96" s="456" t="n">
        <f aca="false">'Exogenous tax and expenses'!V61*0.2</f>
        <v>0.00328291185390803</v>
      </c>
      <c r="V96" s="784" t="n">
        <f aca="false">'Exogenous tax and expenses'!V95</f>
        <v>0.0156925271106058</v>
      </c>
      <c r="W96" s="784"/>
      <c r="X96" s="784" t="n">
        <f aca="false">'Exogenous tax and expenses'!X95</f>
        <v>0.00191293753744961</v>
      </c>
      <c r="Y96" s="456" t="n">
        <f aca="false">'Exogenous tax and expenses'!Y95</f>
        <v>0.00262755013399756</v>
      </c>
      <c r="Z96" s="456" t="n">
        <f aca="false">'Exogenous tax and expenses'!Z95</f>
        <v>0.00695203916219706</v>
      </c>
      <c r="AA96" s="456" t="n">
        <f aca="false">'Exogenous tax and expenses'!AA95</f>
        <v>0.00152536277685544</v>
      </c>
      <c r="AB96" s="456"/>
      <c r="AC96" s="456"/>
      <c r="AD96" s="1"/>
      <c r="AE96" s="1"/>
      <c r="AF96" s="1"/>
      <c r="AG96" s="1"/>
      <c r="AH96" s="1"/>
      <c r="AI96" s="1"/>
      <c r="AJ96" s="1"/>
      <c r="AK96" s="1"/>
      <c r="AL96" s="1"/>
      <c r="AM96" s="1"/>
      <c r="AN96" s="1"/>
      <c r="AO96" s="1"/>
      <c r="AP96" s="1"/>
      <c r="AQ96" s="1"/>
      <c r="AR96" s="1"/>
    </row>
    <row r="97" customFormat="false" ht="15" hidden="false" customHeight="false" outlineLevel="0" collapsed="false">
      <c r="B97" s="539"/>
      <c r="C97" s="1" t="n">
        <f aca="false">'Exogenous tax and expenses'!C96+1</f>
        <v>2022</v>
      </c>
      <c r="D97" s="1"/>
      <c r="E97" s="1"/>
      <c r="F97" s="792" t="n">
        <v>-0.0492</v>
      </c>
      <c r="G97" s="792" t="n">
        <v>-0.0518</v>
      </c>
      <c r="H97" s="790" t="n">
        <v>-0.0448</v>
      </c>
      <c r="I97" s="790" t="n">
        <v>-0.0473</v>
      </c>
      <c r="J97" s="792" t="n">
        <v>-0.0401</v>
      </c>
      <c r="K97" s="792" t="n">
        <v>-0.0425</v>
      </c>
      <c r="L97" s="456" t="n">
        <f aca="false">'Exogenous tax and expenses'!F97+SUM('Exogenous tax and expenses'!R97:V97)-SUM('Exogenous tax and expenses'!X97:AA97)</f>
        <v>-0.0365455282787541</v>
      </c>
      <c r="M97" s="456" t="n">
        <f aca="false">'Exogenous tax and expenses'!G97+SUM('Exogenous tax and expenses'!R97:V97)-SUM('Exogenous tax and expenses'!X97:AA97)</f>
        <v>-0.0391455282787541</v>
      </c>
      <c r="N97" s="456" t="n">
        <f aca="false">'Exogenous tax and expenses'!H97+SUM('Exogenous tax and expenses'!R97:V97)-SUM('Exogenous tax and expenses'!X97:AA97)</f>
        <v>-0.0321455282787541</v>
      </c>
      <c r="O97" s="456" t="n">
        <f aca="false">'Exogenous tax and expenses'!I97+SUM('Exogenous tax and expenses'!R97:V97)-SUM('Exogenous tax and expenses'!X97:AA97)</f>
        <v>-0.0346455282787541</v>
      </c>
      <c r="P97" s="456" t="n">
        <f aca="false">'Exogenous tax and expenses'!J97+SUM('Exogenous tax and expenses'!R97:V97)-SUM('Exogenous tax and expenses'!X97:AA97)</f>
        <v>-0.0274455282787541</v>
      </c>
      <c r="Q97" s="456" t="n">
        <f aca="false">'Exogenous tax and expenses'!K97+SUM('Exogenous tax and expenses'!R97:V97)-SUM('Exogenous tax and expenses'!X97:AA97)</f>
        <v>-0.0298455282787541</v>
      </c>
      <c r="R97" s="456" t="n">
        <f aca="false">'Exogenous tax and expenses'!R96</f>
        <v>0.00717368525436939</v>
      </c>
      <c r="S97" s="456" t="n">
        <f aca="false">'Exogenous tax and expenses'!S96</f>
        <v>0.00264884044328671</v>
      </c>
      <c r="T97" s="784" t="n">
        <f aca="false">'Exogenous tax and expenses'!T96</f>
        <v>0.000157308523483685</v>
      </c>
      <c r="U97" s="456" t="n">
        <v>0</v>
      </c>
      <c r="V97" s="784" t="n">
        <f aca="false">'Exogenous tax and expenses'!V96</f>
        <v>0.0156925271106058</v>
      </c>
      <c r="W97" s="784"/>
      <c r="X97" s="784" t="n">
        <f aca="false">'Exogenous tax and expenses'!X96</f>
        <v>0.00191293753744961</v>
      </c>
      <c r="Y97" s="456" t="n">
        <f aca="false">'Exogenous tax and expenses'!Y96</f>
        <v>0.00262755013399756</v>
      </c>
      <c r="Z97" s="456" t="n">
        <f aca="false">'Exogenous tax and expenses'!Z96</f>
        <v>0.00695203916219706</v>
      </c>
      <c r="AA97" s="456" t="n">
        <f aca="false">'Exogenous tax and expenses'!AA96</f>
        <v>0.00152536277685544</v>
      </c>
      <c r="AB97" s="456"/>
      <c r="AC97" s="456"/>
      <c r="AD97" s="1"/>
      <c r="AE97" s="1"/>
      <c r="AF97" s="1"/>
      <c r="AG97" s="1"/>
      <c r="AH97" s="1"/>
      <c r="AI97" s="1"/>
      <c r="AJ97" s="1"/>
      <c r="AK97" s="1"/>
      <c r="AL97" s="1"/>
      <c r="AM97" s="1"/>
      <c r="AN97" s="1"/>
      <c r="AO97" s="1"/>
      <c r="AP97" s="1"/>
      <c r="AQ97" s="1"/>
      <c r="AR97" s="1"/>
    </row>
    <row r="98" customFormat="false" ht="15" hidden="false" customHeight="false" outlineLevel="0" collapsed="false">
      <c r="B98" s="539"/>
      <c r="C98" s="1" t="n">
        <f aca="false">'Exogenous tax and expenses'!C97+1</f>
        <v>2023</v>
      </c>
      <c r="D98" s="1"/>
      <c r="E98" s="1"/>
      <c r="F98" s="792" t="n">
        <v>-0.0483</v>
      </c>
      <c r="G98" s="792" t="n">
        <v>-0.0513</v>
      </c>
      <c r="H98" s="790" t="n">
        <v>-0.0425</v>
      </c>
      <c r="I98" s="790" t="n">
        <v>-0.0453</v>
      </c>
      <c r="J98" s="792" t="n">
        <v>-0.037</v>
      </c>
      <c r="K98" s="792" t="n">
        <v>-0.0396</v>
      </c>
      <c r="L98" s="456" t="n">
        <f aca="false">'Exogenous tax and expenses'!F98+SUM('Exogenous tax and expenses'!R98:V98)-SUM('Exogenous tax and expenses'!X98:AA98)</f>
        <v>-0.0356455282787541</v>
      </c>
      <c r="M98" s="456" t="n">
        <f aca="false">'Exogenous tax and expenses'!G98+SUM('Exogenous tax and expenses'!R98:V98)-SUM('Exogenous tax and expenses'!X98:AA98)</f>
        <v>-0.0386455282787541</v>
      </c>
      <c r="N98" s="456" t="n">
        <f aca="false">'Exogenous tax and expenses'!H98+SUM('Exogenous tax and expenses'!R98:V98)-SUM('Exogenous tax and expenses'!X98:AA98)</f>
        <v>-0.0298455282787541</v>
      </c>
      <c r="O98" s="456" t="n">
        <f aca="false">'Exogenous tax and expenses'!I98+SUM('Exogenous tax and expenses'!R98:V98)-SUM('Exogenous tax and expenses'!X98:AA98)</f>
        <v>-0.0326455282787541</v>
      </c>
      <c r="P98" s="456" t="n">
        <f aca="false">'Exogenous tax and expenses'!J98+SUM('Exogenous tax and expenses'!R98:V98)-SUM('Exogenous tax and expenses'!X98:AA98)</f>
        <v>-0.0243455282787541</v>
      </c>
      <c r="Q98" s="456" t="n">
        <f aca="false">'Exogenous tax and expenses'!K98+SUM('Exogenous tax and expenses'!R98:V98)-SUM('Exogenous tax and expenses'!X98:AA98)</f>
        <v>-0.0269455282787541</v>
      </c>
      <c r="R98" s="456" t="n">
        <f aca="false">'Exogenous tax and expenses'!R97</f>
        <v>0.00717368525436939</v>
      </c>
      <c r="S98" s="456" t="n">
        <f aca="false">'Exogenous tax and expenses'!S97</f>
        <v>0.00264884044328671</v>
      </c>
      <c r="T98" s="784" t="n">
        <f aca="false">'Exogenous tax and expenses'!T97</f>
        <v>0.000157308523483685</v>
      </c>
      <c r="U98" s="456" t="n">
        <f aca="false">'Exogenous tax and expenses'!U97</f>
        <v>0</v>
      </c>
      <c r="V98" s="784" t="n">
        <f aca="false">'Exogenous tax and expenses'!V97</f>
        <v>0.0156925271106058</v>
      </c>
      <c r="W98" s="784"/>
      <c r="X98" s="784" t="n">
        <f aca="false">'Exogenous tax and expenses'!X97</f>
        <v>0.00191293753744961</v>
      </c>
      <c r="Y98" s="456" t="n">
        <f aca="false">'Exogenous tax and expenses'!Y97</f>
        <v>0.00262755013399756</v>
      </c>
      <c r="Z98" s="456" t="n">
        <f aca="false">'Exogenous tax and expenses'!Z97</f>
        <v>0.00695203916219706</v>
      </c>
      <c r="AA98" s="456" t="n">
        <f aca="false">'Exogenous tax and expenses'!AA97</f>
        <v>0.00152536277685544</v>
      </c>
      <c r="AB98" s="456"/>
      <c r="AC98" s="456"/>
      <c r="AD98" s="1"/>
      <c r="AE98" s="1"/>
      <c r="AF98" s="1"/>
      <c r="AG98" s="1"/>
      <c r="AH98" s="1"/>
      <c r="AI98" s="1"/>
      <c r="AJ98" s="1"/>
      <c r="AK98" s="1"/>
      <c r="AL98" s="1"/>
      <c r="AM98" s="1"/>
      <c r="AN98" s="1"/>
      <c r="AO98" s="1"/>
      <c r="AP98" s="1"/>
      <c r="AQ98" s="1"/>
      <c r="AR98" s="1"/>
    </row>
    <row r="99" customFormat="false" ht="15" hidden="false" customHeight="false" outlineLevel="0" collapsed="false">
      <c r="B99" s="539"/>
      <c r="C99" s="1" t="n">
        <f aca="false">'Exogenous tax and expenses'!C98+1</f>
        <v>2024</v>
      </c>
      <c r="D99" s="1"/>
      <c r="E99" s="1"/>
      <c r="F99" s="792" t="n">
        <v>-0.0477</v>
      </c>
      <c r="G99" s="792" t="n">
        <v>-0.0512</v>
      </c>
      <c r="H99" s="793" t="n">
        <v>-0.0406</v>
      </c>
      <c r="I99" s="793" t="n">
        <v>-0.0439</v>
      </c>
      <c r="J99" s="792" t="n">
        <v>-0.0332</v>
      </c>
      <c r="K99" s="792" t="n">
        <v>-0.0362</v>
      </c>
      <c r="L99" s="456" t="n">
        <f aca="false">'Exogenous tax and expenses'!F99+SUM('Exogenous tax and expenses'!R99:V99)-SUM('Exogenous tax and expenses'!X99:AA99)</f>
        <v>-0.0350455282787541</v>
      </c>
      <c r="M99" s="456" t="n">
        <f aca="false">'Exogenous tax and expenses'!G99+SUM('Exogenous tax and expenses'!R99:V99)-SUM('Exogenous tax and expenses'!X99:AA99)</f>
        <v>-0.0385455282787541</v>
      </c>
      <c r="N99" s="456" t="n">
        <f aca="false">'Exogenous tax and expenses'!H99+SUM('Exogenous tax and expenses'!R99:V99)-SUM('Exogenous tax and expenses'!X99:AA99)</f>
        <v>-0.0279455282787541</v>
      </c>
      <c r="O99" s="456" t="n">
        <f aca="false">'Exogenous tax and expenses'!I99+SUM('Exogenous tax and expenses'!R99:V99)-SUM('Exogenous tax and expenses'!X99:AA99)</f>
        <v>-0.0312455282787541</v>
      </c>
      <c r="P99" s="456" t="n">
        <f aca="false">'Exogenous tax and expenses'!J99+SUM('Exogenous tax and expenses'!R99:V99)-SUM('Exogenous tax and expenses'!X99:AA99)</f>
        <v>-0.0205455282787541</v>
      </c>
      <c r="Q99" s="456" t="n">
        <f aca="false">'Exogenous tax and expenses'!K99+SUM('Exogenous tax and expenses'!R99:V99)-SUM('Exogenous tax and expenses'!X99:AA99)</f>
        <v>-0.0235455282787541</v>
      </c>
      <c r="R99" s="456" t="n">
        <f aca="false">'Exogenous tax and expenses'!R98</f>
        <v>0.00717368525436939</v>
      </c>
      <c r="S99" s="456" t="n">
        <f aca="false">'Exogenous tax and expenses'!S98</f>
        <v>0.00264884044328671</v>
      </c>
      <c r="T99" s="784" t="n">
        <f aca="false">'Exogenous tax and expenses'!T98</f>
        <v>0.000157308523483685</v>
      </c>
      <c r="U99" s="456" t="n">
        <f aca="false">'Exogenous tax and expenses'!U98</f>
        <v>0</v>
      </c>
      <c r="V99" s="784" t="n">
        <f aca="false">'Exogenous tax and expenses'!V98</f>
        <v>0.0156925271106058</v>
      </c>
      <c r="W99" s="784"/>
      <c r="X99" s="784" t="n">
        <f aca="false">'Exogenous tax and expenses'!X98</f>
        <v>0.00191293753744961</v>
      </c>
      <c r="Y99" s="456" t="n">
        <f aca="false">'Exogenous tax and expenses'!Y98</f>
        <v>0.00262755013399756</v>
      </c>
      <c r="Z99" s="456" t="n">
        <f aca="false">'Exogenous tax and expenses'!Z98</f>
        <v>0.00695203916219706</v>
      </c>
      <c r="AA99" s="456" t="n">
        <f aca="false">'Exogenous tax and expenses'!AA98</f>
        <v>0.00152536277685544</v>
      </c>
      <c r="AB99" s="456"/>
      <c r="AC99" s="456"/>
      <c r="AD99" s="1"/>
      <c r="AE99" s="1"/>
      <c r="AF99" s="1"/>
      <c r="AG99" s="1"/>
      <c r="AH99" s="1"/>
      <c r="AI99" s="1"/>
      <c r="AJ99" s="1"/>
      <c r="AK99" s="1"/>
      <c r="AL99" s="1"/>
      <c r="AM99" s="1"/>
      <c r="AN99" s="1"/>
      <c r="AO99" s="1"/>
      <c r="AP99" s="1"/>
      <c r="AQ99" s="1"/>
      <c r="AR99" s="1"/>
    </row>
    <row r="100" customFormat="false" ht="15" hidden="false" customHeight="false" outlineLevel="0" collapsed="false">
      <c r="B100" s="539"/>
      <c r="C100" s="1" t="n">
        <f aca="false">'Exogenous tax and expenses'!C99+1</f>
        <v>2025</v>
      </c>
      <c r="D100" s="1"/>
      <c r="E100" s="1"/>
      <c r="F100" s="792" t="n">
        <v>-0.0471</v>
      </c>
      <c r="G100" s="792" t="n">
        <v>-0.0518</v>
      </c>
      <c r="H100" s="794" t="n">
        <v>-0.0395</v>
      </c>
      <c r="I100" s="794" t="n">
        <v>-0.0438</v>
      </c>
      <c r="J100" s="792" t="n">
        <v>-0.0307</v>
      </c>
      <c r="K100" s="792" t="n">
        <v>-0.0347</v>
      </c>
      <c r="L100" s="456" t="n">
        <f aca="false">'Exogenous tax and expenses'!F100+SUM('Exogenous tax and expenses'!R100:V100)-SUM('Exogenous tax and expenses'!X100:AA100)</f>
        <v>-0.0344455282787541</v>
      </c>
      <c r="M100" s="456" t="n">
        <f aca="false">'Exogenous tax and expenses'!G100+SUM('Exogenous tax and expenses'!R100:V100)-SUM('Exogenous tax and expenses'!X100:AA100)</f>
        <v>-0.0391455282787541</v>
      </c>
      <c r="N100" s="456" t="n">
        <f aca="false">'Exogenous tax and expenses'!H100+SUM('Exogenous tax and expenses'!R100:V100)-SUM('Exogenous tax and expenses'!X100:AA100)</f>
        <v>-0.0268455282787541</v>
      </c>
      <c r="O100" s="456" t="n">
        <f aca="false">'Exogenous tax and expenses'!I100+SUM('Exogenous tax and expenses'!R100:V100)-SUM('Exogenous tax and expenses'!X100:AA100)</f>
        <v>-0.0311455282787541</v>
      </c>
      <c r="P100" s="456" t="n">
        <f aca="false">'Exogenous tax and expenses'!J100+SUM('Exogenous tax and expenses'!R100:V100)-SUM('Exogenous tax and expenses'!X100:AA100)</f>
        <v>-0.0180455282787541</v>
      </c>
      <c r="Q100" s="456" t="n">
        <f aca="false">'Exogenous tax and expenses'!K100+SUM('Exogenous tax and expenses'!R100:V100)-SUM('Exogenous tax and expenses'!X100:AA100)</f>
        <v>-0.0220455282787541</v>
      </c>
      <c r="R100" s="456" t="n">
        <f aca="false">'Exogenous tax and expenses'!R99</f>
        <v>0.00717368525436939</v>
      </c>
      <c r="S100" s="456" t="n">
        <f aca="false">'Exogenous tax and expenses'!S99</f>
        <v>0.00264884044328671</v>
      </c>
      <c r="T100" s="784" t="n">
        <f aca="false">'Exogenous tax and expenses'!T99</f>
        <v>0.000157308523483685</v>
      </c>
      <c r="U100" s="456" t="n">
        <f aca="false">'Exogenous tax and expenses'!U99</f>
        <v>0</v>
      </c>
      <c r="V100" s="784" t="n">
        <f aca="false">'Exogenous tax and expenses'!V99</f>
        <v>0.0156925271106058</v>
      </c>
      <c r="W100" s="784"/>
      <c r="X100" s="784" t="n">
        <f aca="false">'Exogenous tax and expenses'!X99</f>
        <v>0.00191293753744961</v>
      </c>
      <c r="Y100" s="456" t="n">
        <f aca="false">'Exogenous tax and expenses'!Y99</f>
        <v>0.00262755013399756</v>
      </c>
      <c r="Z100" s="456" t="n">
        <f aca="false">'Exogenous tax and expenses'!Z99</f>
        <v>0.00695203916219706</v>
      </c>
      <c r="AA100" s="456" t="n">
        <f aca="false">'Exogenous tax and expenses'!AA99</f>
        <v>0.00152536277685544</v>
      </c>
      <c r="AB100" s="456"/>
      <c r="AC100" s="456"/>
      <c r="AD100" s="1"/>
      <c r="AE100" s="1"/>
      <c r="AF100" s="1"/>
      <c r="AG100" s="1"/>
      <c r="AH100" s="1"/>
      <c r="AI100" s="1"/>
      <c r="AJ100" s="1"/>
      <c r="AK100" s="1"/>
      <c r="AL100" s="1"/>
      <c r="AM100" s="1"/>
      <c r="AN100" s="1"/>
      <c r="AO100" s="1"/>
      <c r="AP100" s="1"/>
      <c r="AQ100" s="1"/>
      <c r="AR100" s="1"/>
    </row>
    <row r="101" customFormat="false" ht="15" hidden="false" customHeight="false" outlineLevel="0" collapsed="false">
      <c r="B101" s="539"/>
      <c r="C101" s="1" t="n">
        <f aca="false">'Exogenous tax and expenses'!C100+1</f>
        <v>2026</v>
      </c>
      <c r="D101" s="1"/>
      <c r="E101" s="1"/>
      <c r="F101" s="792" t="n">
        <v>-0.0471</v>
      </c>
      <c r="G101" s="792" t="n">
        <v>-0.0531</v>
      </c>
      <c r="H101" s="795" t="n">
        <v>-0.0373</v>
      </c>
      <c r="I101" s="795" t="n">
        <v>-0.0429</v>
      </c>
      <c r="J101" s="792" t="n">
        <v>-0.0289</v>
      </c>
      <c r="K101" s="792" t="n">
        <v>-0.0339</v>
      </c>
      <c r="L101" s="456" t="n">
        <f aca="false">'Exogenous tax and expenses'!F101+SUM('Exogenous tax and expenses'!R101:V101)-SUM('Exogenous tax and expenses'!X101:AA101)</f>
        <v>-0.0344455282787541</v>
      </c>
      <c r="M101" s="456" t="n">
        <f aca="false">'Exogenous tax and expenses'!G101+SUM('Exogenous tax and expenses'!R101:V101)-SUM('Exogenous tax and expenses'!X101:AA101)</f>
        <v>-0.0404455282787541</v>
      </c>
      <c r="N101" s="456" t="n">
        <f aca="false">'Exogenous tax and expenses'!H101+SUM('Exogenous tax and expenses'!R101:V101)-SUM('Exogenous tax and expenses'!X101:AA101)</f>
        <v>-0.0246455282787541</v>
      </c>
      <c r="O101" s="456" t="n">
        <f aca="false">'Exogenous tax and expenses'!I101+SUM('Exogenous tax and expenses'!R101:V101)-SUM('Exogenous tax and expenses'!X101:AA101)</f>
        <v>-0.0302455282787541</v>
      </c>
      <c r="P101" s="456" t="n">
        <f aca="false">'Exogenous tax and expenses'!J101+SUM('Exogenous tax and expenses'!R101:V101)-SUM('Exogenous tax and expenses'!X101:AA101)</f>
        <v>-0.0162455282787541</v>
      </c>
      <c r="Q101" s="456" t="n">
        <f aca="false">'Exogenous tax and expenses'!K101+SUM('Exogenous tax and expenses'!R101:V101)-SUM('Exogenous tax and expenses'!X101:AA101)</f>
        <v>-0.0212455282787541</v>
      </c>
      <c r="R101" s="456" t="n">
        <f aca="false">'Exogenous tax and expenses'!R100</f>
        <v>0.00717368525436939</v>
      </c>
      <c r="S101" s="456" t="n">
        <f aca="false">'Exogenous tax and expenses'!S100</f>
        <v>0.00264884044328671</v>
      </c>
      <c r="T101" s="784" t="n">
        <f aca="false">'Exogenous tax and expenses'!T100</f>
        <v>0.000157308523483685</v>
      </c>
      <c r="U101" s="456" t="n">
        <f aca="false">'Exogenous tax and expenses'!U100</f>
        <v>0</v>
      </c>
      <c r="V101" s="784" t="n">
        <f aca="false">'Exogenous tax and expenses'!V100</f>
        <v>0.0156925271106058</v>
      </c>
      <c r="W101" s="784"/>
      <c r="X101" s="784" t="n">
        <f aca="false">'Exogenous tax and expenses'!X100</f>
        <v>0.00191293753744961</v>
      </c>
      <c r="Y101" s="456" t="n">
        <f aca="false">'Exogenous tax and expenses'!Y100</f>
        <v>0.00262755013399756</v>
      </c>
      <c r="Z101" s="456" t="n">
        <f aca="false">'Exogenous tax and expenses'!Z100</f>
        <v>0.00695203916219706</v>
      </c>
      <c r="AA101" s="456" t="n">
        <f aca="false">'Exogenous tax and expenses'!AA100</f>
        <v>0.00152536277685544</v>
      </c>
      <c r="AB101" s="456"/>
      <c r="AC101" s="456"/>
      <c r="AD101" s="1"/>
      <c r="AE101" s="1"/>
      <c r="AF101" s="1"/>
      <c r="AG101" s="1"/>
      <c r="AH101" s="1"/>
      <c r="AI101" s="1"/>
      <c r="AJ101" s="1"/>
      <c r="AK101" s="1"/>
      <c r="AL101" s="1"/>
      <c r="AM101" s="1"/>
      <c r="AN101" s="1"/>
      <c r="AO101" s="1"/>
      <c r="AP101" s="1"/>
      <c r="AQ101" s="1"/>
      <c r="AR101" s="1"/>
    </row>
    <row r="102" customFormat="false" ht="15" hidden="false" customHeight="false" outlineLevel="0" collapsed="false">
      <c r="B102" s="539"/>
      <c r="C102" s="1" t="n">
        <f aca="false">'Exogenous tax and expenses'!C101+1</f>
        <v>2027</v>
      </c>
      <c r="D102" s="1"/>
      <c r="E102" s="1"/>
      <c r="F102" s="792" t="n">
        <v>-0.046</v>
      </c>
      <c r="G102" s="792" t="n">
        <v>-0.0533</v>
      </c>
      <c r="H102" s="795" t="n">
        <v>-0.0354</v>
      </c>
      <c r="I102" s="795" t="n">
        <v>-0.0422</v>
      </c>
      <c r="J102" s="792" t="n">
        <v>-0.0258</v>
      </c>
      <c r="K102" s="792" t="n">
        <v>-0.0318</v>
      </c>
      <c r="L102" s="456" t="n">
        <f aca="false">'Exogenous tax and expenses'!F102+SUM('Exogenous tax and expenses'!R102:V102)-SUM('Exogenous tax and expenses'!X102:AA102)</f>
        <v>-0.0333455282787541</v>
      </c>
      <c r="M102" s="456" t="n">
        <f aca="false">'Exogenous tax and expenses'!G102+SUM('Exogenous tax and expenses'!R102:V102)-SUM('Exogenous tax and expenses'!X102:AA102)</f>
        <v>-0.0406455282787541</v>
      </c>
      <c r="N102" s="456" t="n">
        <f aca="false">'Exogenous tax and expenses'!H102+SUM('Exogenous tax and expenses'!R102:V102)-SUM('Exogenous tax and expenses'!X102:AA102)</f>
        <v>-0.0227455282787541</v>
      </c>
      <c r="O102" s="456" t="n">
        <f aca="false">'Exogenous tax and expenses'!I102+SUM('Exogenous tax and expenses'!R102:V102)-SUM('Exogenous tax and expenses'!X102:AA102)</f>
        <v>-0.0295455282787541</v>
      </c>
      <c r="P102" s="456" t="n">
        <f aca="false">'Exogenous tax and expenses'!J102+SUM('Exogenous tax and expenses'!R102:V102)-SUM('Exogenous tax and expenses'!X102:AA102)</f>
        <v>-0.0131455282787541</v>
      </c>
      <c r="Q102" s="456" t="n">
        <f aca="false">'Exogenous tax and expenses'!K102+SUM('Exogenous tax and expenses'!R102:V102)-SUM('Exogenous tax and expenses'!X102:AA102)</f>
        <v>-0.0191455282787541</v>
      </c>
      <c r="R102" s="456" t="n">
        <f aca="false">'Exogenous tax and expenses'!R101</f>
        <v>0.00717368525436939</v>
      </c>
      <c r="S102" s="456" t="n">
        <f aca="false">'Exogenous tax and expenses'!S101</f>
        <v>0.00264884044328671</v>
      </c>
      <c r="T102" s="784" t="n">
        <f aca="false">'Exogenous tax and expenses'!T101</f>
        <v>0.000157308523483685</v>
      </c>
      <c r="U102" s="456" t="n">
        <f aca="false">'Exogenous tax and expenses'!U101</f>
        <v>0</v>
      </c>
      <c r="V102" s="784" t="n">
        <f aca="false">'Exogenous tax and expenses'!V101</f>
        <v>0.0156925271106058</v>
      </c>
      <c r="W102" s="784"/>
      <c r="X102" s="784" t="n">
        <f aca="false">'Exogenous tax and expenses'!X101</f>
        <v>0.00191293753744961</v>
      </c>
      <c r="Y102" s="456" t="n">
        <f aca="false">'Exogenous tax and expenses'!Y101</f>
        <v>0.00262755013399756</v>
      </c>
      <c r="Z102" s="456" t="n">
        <f aca="false">'Exogenous tax and expenses'!Z101</f>
        <v>0.00695203916219706</v>
      </c>
      <c r="AA102" s="456" t="n">
        <f aca="false">'Exogenous tax and expenses'!AA101</f>
        <v>0.00152536277685544</v>
      </c>
      <c r="AB102" s="456"/>
      <c r="AC102" s="456"/>
      <c r="AD102" s="1"/>
      <c r="AE102" s="1"/>
      <c r="AF102" s="1"/>
      <c r="AG102" s="1"/>
      <c r="AH102" s="1"/>
      <c r="AI102" s="1"/>
      <c r="AJ102" s="1"/>
      <c r="AK102" s="1"/>
      <c r="AL102" s="1"/>
      <c r="AM102" s="1"/>
      <c r="AN102" s="1"/>
      <c r="AO102" s="1"/>
      <c r="AP102" s="1"/>
      <c r="AQ102" s="1"/>
      <c r="AR102" s="1"/>
    </row>
    <row r="103" customFormat="false" ht="15" hidden="false" customHeight="false" outlineLevel="0" collapsed="false">
      <c r="B103" s="539"/>
      <c r="C103" s="1" t="n">
        <f aca="false">'Exogenous tax and expenses'!C102+1</f>
        <v>2028</v>
      </c>
      <c r="D103" s="1"/>
      <c r="E103" s="1"/>
      <c r="F103" s="792" t="n">
        <v>-0.0451</v>
      </c>
      <c r="G103" s="792" t="n">
        <v>-0.0538</v>
      </c>
      <c r="H103" s="795" t="n">
        <v>-0.0331</v>
      </c>
      <c r="I103" s="795" t="n">
        <v>-0.041</v>
      </c>
      <c r="J103" s="792" t="n">
        <v>-0.0227</v>
      </c>
      <c r="K103" s="792" t="n">
        <v>-0.0297</v>
      </c>
      <c r="L103" s="456" t="n">
        <f aca="false">'Exogenous tax and expenses'!F103+SUM('Exogenous tax and expenses'!R103:V103)-SUM('Exogenous tax and expenses'!X103:AA103)</f>
        <v>-0.0309201655018987</v>
      </c>
      <c r="M103" s="456" t="n">
        <f aca="false">'Exogenous tax and expenses'!G103+SUM('Exogenous tax and expenses'!R103:V103)-SUM('Exogenous tax and expenses'!X103:AA103)</f>
        <v>-0.0396201655018987</v>
      </c>
      <c r="N103" s="456" t="n">
        <f aca="false">'Exogenous tax and expenses'!H103+SUM('Exogenous tax and expenses'!R103:V103)-SUM('Exogenous tax and expenses'!X103:AA103)</f>
        <v>-0.0189201655018987</v>
      </c>
      <c r="O103" s="456" t="n">
        <f aca="false">'Exogenous tax and expenses'!I103+SUM('Exogenous tax and expenses'!R103:V103)-SUM('Exogenous tax and expenses'!X103:AA103)</f>
        <v>-0.0268201655018987</v>
      </c>
      <c r="P103" s="456" t="n">
        <f aca="false">'Exogenous tax and expenses'!J103+SUM('Exogenous tax and expenses'!R103:V103)-SUM('Exogenous tax and expenses'!X103:AA103)</f>
        <v>-0.00852016550189868</v>
      </c>
      <c r="Q103" s="456" t="n">
        <f aca="false">'Exogenous tax and expenses'!K103+SUM('Exogenous tax and expenses'!R103:V103)-SUM('Exogenous tax and expenses'!X103:AA103)</f>
        <v>-0.0155201655018987</v>
      </c>
      <c r="R103" s="456" t="n">
        <f aca="false">'Exogenous tax and expenses'!R102</f>
        <v>0.00717368525436939</v>
      </c>
      <c r="S103" s="456" t="n">
        <f aca="false">'Exogenous tax and expenses'!S102</f>
        <v>0.00264884044328671</v>
      </c>
      <c r="T103" s="784" t="n">
        <f aca="false">'Exogenous tax and expenses'!T102</f>
        <v>0.000157308523483685</v>
      </c>
      <c r="U103" s="456" t="n">
        <f aca="false">'Exogenous tax and expenses'!U102</f>
        <v>0</v>
      </c>
      <c r="V103" s="784" t="n">
        <f aca="false">'Exogenous tax and expenses'!V102</f>
        <v>0.0156925271106058</v>
      </c>
      <c r="W103" s="784"/>
      <c r="X103" s="784" t="n">
        <f aca="false">'Exogenous tax and expenses'!X102</f>
        <v>0.00191293753744961</v>
      </c>
      <c r="Y103" s="456" t="n">
        <f aca="false">'Exogenous tax and expenses'!Y102</f>
        <v>0.00262755013399756</v>
      </c>
      <c r="Z103" s="456" t="n">
        <f aca="false">'Exogenous tax and expenses'!Z102</f>
        <v>0.00695203916219706</v>
      </c>
      <c r="AA103" s="1" t="n">
        <v>0</v>
      </c>
      <c r="AB103" s="456"/>
      <c r="AC103" s="456"/>
      <c r="AD103" s="1"/>
      <c r="AE103" s="1"/>
      <c r="AF103" s="1"/>
      <c r="AG103" s="1"/>
      <c r="AH103" s="1"/>
      <c r="AI103" s="1"/>
      <c r="AJ103" s="1"/>
      <c r="AK103" s="1"/>
      <c r="AL103" s="1"/>
      <c r="AM103" s="1"/>
      <c r="AN103" s="1"/>
      <c r="AO103" s="1"/>
      <c r="AP103" s="1"/>
      <c r="AQ103" s="1"/>
      <c r="AR103" s="1"/>
    </row>
    <row r="104" customFormat="false" ht="15" hidden="false" customHeight="false" outlineLevel="0" collapsed="false">
      <c r="B104" s="539"/>
      <c r="C104" s="1" t="n">
        <f aca="false">'Exogenous tax and expenses'!C103+1</f>
        <v>2029</v>
      </c>
      <c r="D104" s="1"/>
      <c r="E104" s="1"/>
      <c r="F104" s="792" t="n">
        <v>-0.0433</v>
      </c>
      <c r="G104" s="792" t="n">
        <v>-0.0531</v>
      </c>
      <c r="H104" s="794" t="n">
        <v>-0.0315</v>
      </c>
      <c r="I104" s="794" t="n">
        <v>-0.0404</v>
      </c>
      <c r="J104" s="792" t="n">
        <v>-0.02</v>
      </c>
      <c r="K104" s="792" t="n">
        <v>-0.0278</v>
      </c>
      <c r="L104" s="456" t="n">
        <f aca="false">'Exogenous tax and expenses'!F104+SUM('Exogenous tax and expenses'!R104:V104)-SUM('Exogenous tax and expenses'!X104:AA104)</f>
        <v>-0.0291201655018987</v>
      </c>
      <c r="M104" s="456" t="n">
        <f aca="false">'Exogenous tax and expenses'!G104+SUM('Exogenous tax and expenses'!R104:V104)-SUM('Exogenous tax and expenses'!X104:AA104)</f>
        <v>-0.0389201655018987</v>
      </c>
      <c r="N104" s="456" t="n">
        <f aca="false">'Exogenous tax and expenses'!H104+SUM('Exogenous tax and expenses'!R104:V104)-SUM('Exogenous tax and expenses'!X104:AA104)</f>
        <v>-0.0173201655018987</v>
      </c>
      <c r="O104" s="456" t="n">
        <f aca="false">'Exogenous tax and expenses'!I104+SUM('Exogenous tax and expenses'!R104:V104)-SUM('Exogenous tax and expenses'!X104:AA104)</f>
        <v>-0.0262201655018987</v>
      </c>
      <c r="P104" s="456" t="n">
        <f aca="false">'Exogenous tax and expenses'!J104+SUM('Exogenous tax and expenses'!R104:V104)-SUM('Exogenous tax and expenses'!X104:AA104)</f>
        <v>-0.00582016550189868</v>
      </c>
      <c r="Q104" s="456" t="n">
        <f aca="false">'Exogenous tax and expenses'!K104+SUM('Exogenous tax and expenses'!R104:V104)-SUM('Exogenous tax and expenses'!X104:AA104)</f>
        <v>-0.0136201655018987</v>
      </c>
      <c r="R104" s="456" t="n">
        <f aca="false">'Exogenous tax and expenses'!R103</f>
        <v>0.00717368525436939</v>
      </c>
      <c r="S104" s="456" t="n">
        <f aca="false">'Exogenous tax and expenses'!S103</f>
        <v>0.00264884044328671</v>
      </c>
      <c r="T104" s="784" t="n">
        <f aca="false">'Exogenous tax and expenses'!T103</f>
        <v>0.000157308523483685</v>
      </c>
      <c r="U104" s="456" t="n">
        <f aca="false">'Exogenous tax and expenses'!U103</f>
        <v>0</v>
      </c>
      <c r="V104" s="784" t="n">
        <f aca="false">'Exogenous tax and expenses'!V103</f>
        <v>0.0156925271106058</v>
      </c>
      <c r="W104" s="784"/>
      <c r="X104" s="784" t="n">
        <f aca="false">'Exogenous tax and expenses'!X103</f>
        <v>0.00191293753744961</v>
      </c>
      <c r="Y104" s="456" t="n">
        <f aca="false">'Exogenous tax and expenses'!Y103</f>
        <v>0.00262755013399756</v>
      </c>
      <c r="Z104" s="456" t="n">
        <f aca="false">'Exogenous tax and expenses'!Z103</f>
        <v>0.00695203916219706</v>
      </c>
      <c r="AA104" s="1" t="n">
        <v>0</v>
      </c>
      <c r="AB104" s="456"/>
      <c r="AC104" s="456"/>
      <c r="AD104" s="1"/>
      <c r="AE104" s="1"/>
      <c r="AF104" s="1"/>
      <c r="AG104" s="1"/>
      <c r="AH104" s="1"/>
      <c r="AI104" s="1"/>
      <c r="AJ104" s="1"/>
      <c r="AK104" s="1"/>
      <c r="AL104" s="1"/>
      <c r="AM104" s="1"/>
      <c r="AN104" s="1"/>
      <c r="AO104" s="1"/>
      <c r="AP104" s="1"/>
      <c r="AQ104" s="1"/>
      <c r="AR104" s="1"/>
    </row>
    <row r="105" customFormat="false" ht="15" hidden="false" customHeight="false" outlineLevel="0" collapsed="false">
      <c r="B105" s="539"/>
      <c r="C105" s="1" t="n">
        <f aca="false">'Exogenous tax and expenses'!C104+1</f>
        <v>2030</v>
      </c>
      <c r="D105" s="1"/>
      <c r="E105" s="1"/>
      <c r="F105" s="792" t="n">
        <v>-0.0428</v>
      </c>
      <c r="G105" s="792" t="n">
        <v>-0.0537</v>
      </c>
      <c r="H105" s="795" t="n">
        <v>-0.031</v>
      </c>
      <c r="I105" s="795" t="n">
        <v>-0.0408</v>
      </c>
      <c r="J105" s="792" t="n">
        <v>-0.0181</v>
      </c>
      <c r="K105" s="792" t="n">
        <v>-0.0266</v>
      </c>
      <c r="L105" s="456" t="n">
        <f aca="false">'Exogenous tax and expenses'!F105+SUM('Exogenous tax and expenses'!R105:V105)-SUM('Exogenous tax and expenses'!X105:AA105)</f>
        <v>-0.0286201655018987</v>
      </c>
      <c r="M105" s="456" t="n">
        <f aca="false">'Exogenous tax and expenses'!G105+SUM('Exogenous tax and expenses'!R105:V105)-SUM('Exogenous tax and expenses'!X105:AA105)</f>
        <v>-0.0395201655018987</v>
      </c>
      <c r="N105" s="456" t="n">
        <f aca="false">'Exogenous tax and expenses'!H105+SUM('Exogenous tax and expenses'!R105:V105)-SUM('Exogenous tax and expenses'!X105:AA105)</f>
        <v>-0.0168201655018987</v>
      </c>
      <c r="O105" s="456" t="n">
        <f aca="false">'Exogenous tax and expenses'!I105+SUM('Exogenous tax and expenses'!R105:V105)-SUM('Exogenous tax and expenses'!X105:AA105)</f>
        <v>-0.0266201655018987</v>
      </c>
      <c r="P105" s="456" t="n">
        <f aca="false">'Exogenous tax and expenses'!J105+SUM('Exogenous tax and expenses'!R105:V105)-SUM('Exogenous tax and expenses'!X105:AA105)</f>
        <v>-0.00392016550189868</v>
      </c>
      <c r="Q105" s="456" t="n">
        <f aca="false">'Exogenous tax and expenses'!K105+SUM('Exogenous tax and expenses'!R105:V105)-SUM('Exogenous tax and expenses'!X105:AA105)</f>
        <v>-0.0124201655018987</v>
      </c>
      <c r="R105" s="456" t="n">
        <f aca="false">'Exogenous tax and expenses'!R104</f>
        <v>0.00717368525436939</v>
      </c>
      <c r="S105" s="456" t="n">
        <f aca="false">'Exogenous tax and expenses'!S104</f>
        <v>0.00264884044328671</v>
      </c>
      <c r="T105" s="784" t="n">
        <f aca="false">'Exogenous tax and expenses'!T104</f>
        <v>0.000157308523483685</v>
      </c>
      <c r="U105" s="456" t="n">
        <f aca="false">'Exogenous tax and expenses'!U104</f>
        <v>0</v>
      </c>
      <c r="V105" s="784" t="n">
        <f aca="false">'Exogenous tax and expenses'!V104</f>
        <v>0.0156925271106058</v>
      </c>
      <c r="W105" s="784"/>
      <c r="X105" s="784" t="n">
        <f aca="false">'Exogenous tax and expenses'!X104</f>
        <v>0.00191293753744961</v>
      </c>
      <c r="Y105" s="456" t="n">
        <f aca="false">'Exogenous tax and expenses'!Y104</f>
        <v>0.00262755013399756</v>
      </c>
      <c r="Z105" s="456" t="n">
        <f aca="false">'Exogenous tax and expenses'!Z104</f>
        <v>0.00695203916219706</v>
      </c>
      <c r="AA105" s="1" t="n">
        <v>0</v>
      </c>
      <c r="AB105" s="1"/>
      <c r="AC105" s="1"/>
      <c r="AD105" s="1"/>
      <c r="AE105" s="1"/>
      <c r="AF105" s="1"/>
      <c r="AG105" s="1"/>
      <c r="AH105" s="1"/>
      <c r="AI105" s="1"/>
      <c r="AJ105" s="1"/>
      <c r="AK105" s="1"/>
      <c r="AL105" s="1"/>
      <c r="AM105" s="1"/>
      <c r="AN105" s="1"/>
      <c r="AO105" s="1"/>
      <c r="AP105" s="1"/>
      <c r="AQ105" s="1"/>
      <c r="AR105" s="1"/>
    </row>
    <row r="106" customFormat="false" ht="15" hidden="false" customHeight="false" outlineLevel="0" collapsed="false">
      <c r="B106" s="539"/>
      <c r="C106" s="1" t="n">
        <f aca="false">'Exogenous tax and expenses'!C105+1</f>
        <v>2031</v>
      </c>
      <c r="D106" s="1"/>
      <c r="E106" s="1"/>
      <c r="F106" s="792" t="n">
        <v>-0.0416</v>
      </c>
      <c r="G106" s="792" t="n">
        <v>-0.0535</v>
      </c>
      <c r="H106" s="795" t="n">
        <v>-0.0295</v>
      </c>
      <c r="I106" s="795" t="n">
        <v>-0.0402</v>
      </c>
      <c r="J106" s="792" t="n">
        <v>-0.0163</v>
      </c>
      <c r="K106" s="792" t="n">
        <v>-0.0254</v>
      </c>
      <c r="L106" s="456" t="n">
        <f aca="false">'Exogenous tax and expenses'!F106+SUM('Exogenous tax and expenses'!R106:V106)-SUM('Exogenous tax and expenses'!X106:AA106)</f>
        <v>-0.0274201655018987</v>
      </c>
      <c r="M106" s="456" t="n">
        <f aca="false">'Exogenous tax and expenses'!G106+SUM('Exogenous tax and expenses'!R106:V106)-SUM('Exogenous tax and expenses'!X106:AA106)</f>
        <v>-0.0393201655018987</v>
      </c>
      <c r="N106" s="456" t="n">
        <f aca="false">'Exogenous tax and expenses'!H106+SUM('Exogenous tax and expenses'!R106:V106)-SUM('Exogenous tax and expenses'!X106:AA106)</f>
        <v>-0.0153201655018987</v>
      </c>
      <c r="O106" s="456" t="n">
        <f aca="false">'Exogenous tax and expenses'!I106+SUM('Exogenous tax and expenses'!R106:V106)-SUM('Exogenous tax and expenses'!X106:AA106)</f>
        <v>-0.0260201655018987</v>
      </c>
      <c r="P106" s="456" t="n">
        <f aca="false">'Exogenous tax and expenses'!J106+SUM('Exogenous tax and expenses'!R106:V106)-SUM('Exogenous tax and expenses'!X106:AA106)</f>
        <v>-0.00212016550189868</v>
      </c>
      <c r="Q106" s="456" t="n">
        <f aca="false">'Exogenous tax and expenses'!K106+SUM('Exogenous tax and expenses'!R106:V106)-SUM('Exogenous tax and expenses'!X106:AA106)</f>
        <v>-0.0112201655018987</v>
      </c>
      <c r="R106" s="456" t="n">
        <f aca="false">'Exogenous tax and expenses'!R105</f>
        <v>0.00717368525436939</v>
      </c>
      <c r="S106" s="456" t="n">
        <f aca="false">'Exogenous tax and expenses'!S105</f>
        <v>0.00264884044328671</v>
      </c>
      <c r="T106" s="784" t="n">
        <f aca="false">'Exogenous tax and expenses'!T105</f>
        <v>0.000157308523483685</v>
      </c>
      <c r="U106" s="456" t="n">
        <f aca="false">'Exogenous tax and expenses'!U105</f>
        <v>0</v>
      </c>
      <c r="V106" s="784" t="n">
        <f aca="false">'Exogenous tax and expenses'!V105</f>
        <v>0.0156925271106058</v>
      </c>
      <c r="W106" s="784"/>
      <c r="X106" s="784" t="n">
        <f aca="false">'Exogenous tax and expenses'!X105</f>
        <v>0.00191293753744961</v>
      </c>
      <c r="Y106" s="456" t="n">
        <f aca="false">'Exogenous tax and expenses'!Y105</f>
        <v>0.00262755013399756</v>
      </c>
      <c r="Z106" s="456" t="n">
        <f aca="false">'Exogenous tax and expenses'!Z105</f>
        <v>0.00695203916219706</v>
      </c>
      <c r="AA106" s="1" t="n">
        <v>0</v>
      </c>
      <c r="AB106" s="1"/>
      <c r="AC106" s="1"/>
      <c r="AD106" s="1"/>
      <c r="AE106" s="1"/>
      <c r="AF106" s="1"/>
      <c r="AG106" s="1"/>
      <c r="AH106" s="1"/>
      <c r="AI106" s="1"/>
      <c r="AJ106" s="1"/>
      <c r="AK106" s="1"/>
      <c r="AL106" s="1"/>
      <c r="AM106" s="1"/>
      <c r="AN106" s="1"/>
      <c r="AO106" s="1"/>
      <c r="AP106" s="1"/>
      <c r="AQ106" s="1"/>
      <c r="AR106" s="1"/>
    </row>
    <row r="107" customFormat="false" ht="15" hidden="false" customHeight="false" outlineLevel="0" collapsed="false">
      <c r="B107" s="539"/>
      <c r="C107" s="1" t="n">
        <f aca="false">'Exogenous tax and expenses'!C106+1</f>
        <v>2032</v>
      </c>
      <c r="D107" s="1"/>
      <c r="E107" s="1"/>
      <c r="F107" s="792" t="n">
        <v>-0.0421</v>
      </c>
      <c r="G107" s="792" t="n">
        <v>-0.0552</v>
      </c>
      <c r="H107" s="795" t="n">
        <v>-0.0279</v>
      </c>
      <c r="I107" s="795" t="n">
        <v>-0.0394</v>
      </c>
      <c r="J107" s="792" t="n">
        <v>-0.0151</v>
      </c>
      <c r="K107" s="792" t="n">
        <v>-0.025</v>
      </c>
      <c r="L107" s="456" t="n">
        <f aca="false">'Exogenous tax and expenses'!F107+SUM('Exogenous tax and expenses'!R107:V107)-SUM('Exogenous tax and expenses'!X107:AA107)</f>
        <v>-0.0279201655018987</v>
      </c>
      <c r="M107" s="456" t="n">
        <f aca="false">'Exogenous tax and expenses'!G107+SUM('Exogenous tax and expenses'!R107:V107)-SUM('Exogenous tax and expenses'!X107:AA107)</f>
        <v>-0.0410201655018987</v>
      </c>
      <c r="N107" s="456" t="n">
        <f aca="false">'Exogenous tax and expenses'!H107+SUM('Exogenous tax and expenses'!R107:V107)-SUM('Exogenous tax and expenses'!X107:AA107)</f>
        <v>-0.0137201655018987</v>
      </c>
      <c r="O107" s="456" t="n">
        <f aca="false">'Exogenous tax and expenses'!I107+SUM('Exogenous tax and expenses'!R107:V107)-SUM('Exogenous tax and expenses'!X107:AA107)</f>
        <v>-0.0252201655018987</v>
      </c>
      <c r="P107" s="456" t="n">
        <f aca="false">'Exogenous tax and expenses'!J107+SUM('Exogenous tax and expenses'!R107:V107)-SUM('Exogenous tax and expenses'!X107:AA107)</f>
        <v>-0.000920165501898679</v>
      </c>
      <c r="Q107" s="456" t="n">
        <f aca="false">'Exogenous tax and expenses'!K107+SUM('Exogenous tax and expenses'!R107:V107)-SUM('Exogenous tax and expenses'!X107:AA107)</f>
        <v>-0.0108201655018987</v>
      </c>
      <c r="R107" s="456" t="n">
        <f aca="false">'Exogenous tax and expenses'!R106</f>
        <v>0.00717368525436939</v>
      </c>
      <c r="S107" s="456" t="n">
        <f aca="false">'Exogenous tax and expenses'!S106</f>
        <v>0.00264884044328671</v>
      </c>
      <c r="T107" s="784" t="n">
        <f aca="false">'Exogenous tax and expenses'!T106</f>
        <v>0.000157308523483685</v>
      </c>
      <c r="U107" s="456" t="n">
        <f aca="false">'Exogenous tax and expenses'!U106</f>
        <v>0</v>
      </c>
      <c r="V107" s="784" t="n">
        <f aca="false">'Exogenous tax and expenses'!V106</f>
        <v>0.0156925271106058</v>
      </c>
      <c r="W107" s="784"/>
      <c r="X107" s="784" t="n">
        <f aca="false">'Exogenous tax and expenses'!X106</f>
        <v>0.00191293753744961</v>
      </c>
      <c r="Y107" s="456" t="n">
        <f aca="false">'Exogenous tax and expenses'!Y106</f>
        <v>0.00262755013399756</v>
      </c>
      <c r="Z107" s="456" t="n">
        <f aca="false">'Exogenous tax and expenses'!Z106</f>
        <v>0.00695203916219706</v>
      </c>
      <c r="AA107" s="1" t="n">
        <v>0</v>
      </c>
      <c r="AB107" s="1"/>
      <c r="AC107" s="1"/>
      <c r="AD107" s="1"/>
      <c r="AE107" s="1"/>
      <c r="AF107" s="1"/>
      <c r="AG107" s="1"/>
      <c r="AH107" s="1"/>
      <c r="AI107" s="1"/>
      <c r="AJ107" s="1"/>
      <c r="AK107" s="1"/>
      <c r="AL107" s="1"/>
      <c r="AM107" s="1"/>
      <c r="AN107" s="1"/>
      <c r="AO107" s="1"/>
      <c r="AP107" s="1"/>
      <c r="AQ107" s="1"/>
      <c r="AR107" s="1"/>
    </row>
    <row r="108" customFormat="false" ht="15" hidden="false" customHeight="false" outlineLevel="0" collapsed="false">
      <c r="B108" s="539"/>
      <c r="C108" s="1" t="n">
        <f aca="false">'Exogenous tax and expenses'!C107+1</f>
        <v>2033</v>
      </c>
      <c r="D108" s="1"/>
      <c r="E108" s="1"/>
      <c r="F108" s="792" t="n">
        <v>-0.0414</v>
      </c>
      <c r="G108" s="792" t="n">
        <v>-0.0555</v>
      </c>
      <c r="H108" s="794" t="n">
        <v>-0.0273</v>
      </c>
      <c r="I108" s="794" t="n">
        <v>-0.0397</v>
      </c>
      <c r="J108" s="792" t="n">
        <v>-0.0145</v>
      </c>
      <c r="K108" s="792" t="n">
        <v>-0.025</v>
      </c>
      <c r="L108" s="456" t="n">
        <f aca="false">'Exogenous tax and expenses'!F108+SUM('Exogenous tax and expenses'!R108:V108)-SUM('Exogenous tax and expenses'!X108:AA108)</f>
        <v>-0.0272201655018987</v>
      </c>
      <c r="M108" s="456" t="n">
        <f aca="false">'Exogenous tax and expenses'!G108+SUM('Exogenous tax and expenses'!R108:V108)-SUM('Exogenous tax and expenses'!X108:AA108)</f>
        <v>-0.0413201655018987</v>
      </c>
      <c r="N108" s="456" t="n">
        <f aca="false">'Exogenous tax and expenses'!H108+SUM('Exogenous tax and expenses'!R108:V108)-SUM('Exogenous tax and expenses'!X108:AA108)</f>
        <v>-0.0131201655018987</v>
      </c>
      <c r="O108" s="456" t="n">
        <f aca="false">'Exogenous tax and expenses'!I108+SUM('Exogenous tax and expenses'!R108:V108)-SUM('Exogenous tax and expenses'!X108:AA108)</f>
        <v>-0.0255201655018987</v>
      </c>
      <c r="P108" s="456" t="n">
        <f aca="false">'Exogenous tax and expenses'!J108+SUM('Exogenous tax and expenses'!R108:V108)-SUM('Exogenous tax and expenses'!X108:AA108)</f>
        <v>-0.00032016550189868</v>
      </c>
      <c r="Q108" s="456" t="n">
        <f aca="false">'Exogenous tax and expenses'!K108+SUM('Exogenous tax and expenses'!R108:V108)-SUM('Exogenous tax and expenses'!X108:AA108)</f>
        <v>-0.0108201655018987</v>
      </c>
      <c r="R108" s="456" t="n">
        <f aca="false">'Exogenous tax and expenses'!R107</f>
        <v>0.00717368525436939</v>
      </c>
      <c r="S108" s="456" t="n">
        <f aca="false">'Exogenous tax and expenses'!S107</f>
        <v>0.00264884044328671</v>
      </c>
      <c r="T108" s="784" t="n">
        <f aca="false">'Exogenous tax and expenses'!T107</f>
        <v>0.000157308523483685</v>
      </c>
      <c r="U108" s="456" t="n">
        <f aca="false">'Exogenous tax and expenses'!U107</f>
        <v>0</v>
      </c>
      <c r="V108" s="784" t="n">
        <f aca="false">'Exogenous tax and expenses'!V107</f>
        <v>0.0156925271106058</v>
      </c>
      <c r="W108" s="784"/>
      <c r="X108" s="784" t="n">
        <f aca="false">'Exogenous tax and expenses'!X107</f>
        <v>0.00191293753744961</v>
      </c>
      <c r="Y108" s="456" t="n">
        <f aca="false">'Exogenous tax and expenses'!Y107</f>
        <v>0.00262755013399756</v>
      </c>
      <c r="Z108" s="456" t="n">
        <f aca="false">'Exogenous tax and expenses'!Z107</f>
        <v>0.00695203916219706</v>
      </c>
      <c r="AA108" s="1" t="n">
        <v>0</v>
      </c>
      <c r="AB108" s="1"/>
      <c r="AC108" s="1"/>
      <c r="AD108" s="1"/>
      <c r="AE108" s="1"/>
      <c r="AF108" s="1"/>
      <c r="AG108" s="1"/>
      <c r="AH108" s="1"/>
      <c r="AI108" s="1"/>
      <c r="AJ108" s="1"/>
      <c r="AK108" s="1"/>
      <c r="AL108" s="1"/>
      <c r="AM108" s="1"/>
      <c r="AN108" s="1"/>
      <c r="AO108" s="1"/>
      <c r="AP108" s="1"/>
      <c r="AQ108" s="1"/>
      <c r="AR108" s="1"/>
    </row>
    <row r="109" customFormat="false" ht="15" hidden="false" customHeight="false" outlineLevel="0" collapsed="false">
      <c r="B109" s="539"/>
      <c r="C109" s="1" t="n">
        <f aca="false">'Exogenous tax and expenses'!C108+1</f>
        <v>2034</v>
      </c>
      <c r="D109" s="1"/>
      <c r="E109" s="1"/>
      <c r="F109" s="792" t="n">
        <v>-0.0412</v>
      </c>
      <c r="G109" s="792" t="n">
        <v>-0.0564</v>
      </c>
      <c r="H109" s="795" t="n">
        <v>-0.0266</v>
      </c>
      <c r="I109" s="795" t="n">
        <v>-0.0399</v>
      </c>
      <c r="J109" s="792" t="n">
        <v>-0.0134</v>
      </c>
      <c r="K109" s="792" t="n">
        <v>-0.0246</v>
      </c>
      <c r="L109" s="456" t="n">
        <f aca="false">'Exogenous tax and expenses'!F109+SUM('Exogenous tax and expenses'!R109:V109)-SUM('Exogenous tax and expenses'!X109:AA109)</f>
        <v>-0.0270201655018987</v>
      </c>
      <c r="M109" s="456" t="n">
        <f aca="false">'Exogenous tax and expenses'!G109+SUM('Exogenous tax and expenses'!R109:V109)-SUM('Exogenous tax and expenses'!X109:AA109)</f>
        <v>-0.0422201655018987</v>
      </c>
      <c r="N109" s="456" t="n">
        <f aca="false">'Exogenous tax and expenses'!H109+SUM('Exogenous tax and expenses'!R109:V109)-SUM('Exogenous tax and expenses'!X109:AA109)</f>
        <v>-0.0124201655018987</v>
      </c>
      <c r="O109" s="456" t="n">
        <f aca="false">'Exogenous tax and expenses'!I109+SUM('Exogenous tax and expenses'!R109:V109)-SUM('Exogenous tax and expenses'!X109:AA109)</f>
        <v>-0.0257201655018987</v>
      </c>
      <c r="P109" s="456" t="n">
        <f aca="false">'Exogenous tax and expenses'!J109+SUM('Exogenous tax and expenses'!R109:V109)-SUM('Exogenous tax and expenses'!X109:AA109)</f>
        <v>0.000779834498101321</v>
      </c>
      <c r="Q109" s="456" t="n">
        <f aca="false">'Exogenous tax and expenses'!K109+SUM('Exogenous tax and expenses'!R109:V109)-SUM('Exogenous tax and expenses'!X109:AA109)</f>
        <v>-0.0104201655018987</v>
      </c>
      <c r="R109" s="456" t="n">
        <f aca="false">'Exogenous tax and expenses'!R108</f>
        <v>0.00717368525436939</v>
      </c>
      <c r="S109" s="456" t="n">
        <f aca="false">'Exogenous tax and expenses'!S108</f>
        <v>0.00264884044328671</v>
      </c>
      <c r="T109" s="784" t="n">
        <f aca="false">'Exogenous tax and expenses'!T108</f>
        <v>0.000157308523483685</v>
      </c>
      <c r="U109" s="456" t="n">
        <f aca="false">'Exogenous tax and expenses'!U108</f>
        <v>0</v>
      </c>
      <c r="V109" s="784" t="n">
        <f aca="false">'Exogenous tax and expenses'!V108</f>
        <v>0.0156925271106058</v>
      </c>
      <c r="W109" s="784"/>
      <c r="X109" s="784" t="n">
        <f aca="false">'Exogenous tax and expenses'!X108</f>
        <v>0.00191293753744961</v>
      </c>
      <c r="Y109" s="456" t="n">
        <f aca="false">'Exogenous tax and expenses'!Y108</f>
        <v>0.00262755013399756</v>
      </c>
      <c r="Z109" s="456" t="n">
        <f aca="false">'Exogenous tax and expenses'!Z108</f>
        <v>0.00695203916219706</v>
      </c>
      <c r="AA109" s="1" t="n">
        <v>0</v>
      </c>
      <c r="AB109" s="1"/>
      <c r="AC109" s="1"/>
      <c r="AD109" s="1"/>
      <c r="AE109" s="1"/>
      <c r="AF109" s="1"/>
      <c r="AG109" s="1"/>
      <c r="AH109" s="1"/>
      <c r="AI109" s="1"/>
      <c r="AJ109" s="1"/>
      <c r="AK109" s="1"/>
      <c r="AL109" s="1"/>
      <c r="AM109" s="1"/>
      <c r="AN109" s="1"/>
      <c r="AO109" s="1"/>
      <c r="AP109" s="1"/>
      <c r="AQ109" s="1"/>
      <c r="AR109" s="1"/>
    </row>
    <row r="110" customFormat="false" ht="15" hidden="false" customHeight="false" outlineLevel="0" collapsed="false">
      <c r="B110" s="539"/>
      <c r="C110" s="1" t="n">
        <f aca="false">'Exogenous tax and expenses'!C109+1</f>
        <v>2035</v>
      </c>
      <c r="D110" s="1"/>
      <c r="E110" s="1"/>
      <c r="F110" s="792" t="n">
        <v>-0.0403</v>
      </c>
      <c r="G110" s="792" t="n">
        <v>-0.0564</v>
      </c>
      <c r="H110" s="795" t="n">
        <v>-0.0258</v>
      </c>
      <c r="I110" s="795" t="n">
        <v>-0.0397</v>
      </c>
      <c r="J110" s="792" t="n">
        <v>-0.0123</v>
      </c>
      <c r="K110" s="792" t="n">
        <v>-0.0241</v>
      </c>
      <c r="L110" s="456" t="n">
        <f aca="false">'Exogenous tax and expenses'!F110+SUM('Exogenous tax and expenses'!R110:V110)-SUM('Exogenous tax and expenses'!X110:AA110)</f>
        <v>-0.0261201655018987</v>
      </c>
      <c r="M110" s="456" t="n">
        <f aca="false">'Exogenous tax and expenses'!G110+SUM('Exogenous tax and expenses'!R110:V110)-SUM('Exogenous tax and expenses'!X110:AA110)</f>
        <v>-0.0422201655018987</v>
      </c>
      <c r="N110" s="456" t="n">
        <f aca="false">'Exogenous tax and expenses'!H110+SUM('Exogenous tax and expenses'!R110:V110)-SUM('Exogenous tax and expenses'!X110:AA110)</f>
        <v>-0.0116201655018987</v>
      </c>
      <c r="O110" s="456" t="n">
        <f aca="false">'Exogenous tax and expenses'!I110+SUM('Exogenous tax and expenses'!R110:V110)-SUM('Exogenous tax and expenses'!X110:AA110)</f>
        <v>-0.0255201655018987</v>
      </c>
      <c r="P110" s="456" t="n">
        <f aca="false">'Exogenous tax and expenses'!J110+SUM('Exogenous tax and expenses'!R110:V110)-SUM('Exogenous tax and expenses'!X110:AA110)</f>
        <v>0.00187983449810132</v>
      </c>
      <c r="Q110" s="456" t="n">
        <f aca="false">'Exogenous tax and expenses'!K110+SUM('Exogenous tax and expenses'!R110:V110)-SUM('Exogenous tax and expenses'!X110:AA110)</f>
        <v>-0.00992016550189868</v>
      </c>
      <c r="R110" s="456" t="n">
        <f aca="false">'Exogenous tax and expenses'!R109</f>
        <v>0.00717368525436939</v>
      </c>
      <c r="S110" s="456" t="n">
        <f aca="false">'Exogenous tax and expenses'!S109</f>
        <v>0.00264884044328671</v>
      </c>
      <c r="T110" s="784" t="n">
        <f aca="false">'Exogenous tax and expenses'!T109</f>
        <v>0.000157308523483685</v>
      </c>
      <c r="U110" s="456" t="n">
        <f aca="false">'Exogenous tax and expenses'!U109</f>
        <v>0</v>
      </c>
      <c r="V110" s="784" t="n">
        <f aca="false">'Exogenous tax and expenses'!V109</f>
        <v>0.0156925271106058</v>
      </c>
      <c r="W110" s="784"/>
      <c r="X110" s="784" t="n">
        <f aca="false">'Exogenous tax and expenses'!X109</f>
        <v>0.00191293753744961</v>
      </c>
      <c r="Y110" s="456" t="n">
        <f aca="false">'Exogenous tax and expenses'!Y109</f>
        <v>0.00262755013399756</v>
      </c>
      <c r="Z110" s="456" t="n">
        <f aca="false">'Exogenous tax and expenses'!Z109</f>
        <v>0.00695203916219706</v>
      </c>
      <c r="AA110" s="1" t="n">
        <v>0</v>
      </c>
      <c r="AB110" s="1"/>
      <c r="AC110" s="1"/>
      <c r="AD110" s="1"/>
      <c r="AE110" s="1"/>
      <c r="AF110" s="1"/>
      <c r="AG110" s="1"/>
      <c r="AH110" s="1"/>
      <c r="AI110" s="1"/>
      <c r="AJ110" s="1"/>
      <c r="AK110" s="1"/>
      <c r="AL110" s="1"/>
      <c r="AM110" s="1"/>
      <c r="AN110" s="1"/>
      <c r="AO110" s="1"/>
      <c r="AP110" s="1"/>
      <c r="AQ110" s="1"/>
      <c r="AR110" s="1"/>
    </row>
    <row r="111" customFormat="false" ht="15" hidden="false" customHeight="false" outlineLevel="0" collapsed="false">
      <c r="B111" s="539"/>
      <c r="C111" s="1" t="n">
        <f aca="false">'Exogenous tax and expenses'!C110+1</f>
        <v>2036</v>
      </c>
      <c r="D111" s="1"/>
      <c r="E111" s="1"/>
      <c r="F111" s="792" t="n">
        <v>-0.0393</v>
      </c>
      <c r="G111" s="792" t="n">
        <v>-0.0564</v>
      </c>
      <c r="H111" s="795" t="n">
        <v>-0.0241</v>
      </c>
      <c r="I111" s="795" t="n">
        <v>-0.0387</v>
      </c>
      <c r="J111" s="792" t="n">
        <v>-0.0111</v>
      </c>
      <c r="K111" s="792" t="n">
        <v>-0.0235</v>
      </c>
      <c r="L111" s="456" t="n">
        <f aca="false">'Exogenous tax and expenses'!F111+SUM('Exogenous tax and expenses'!R111:V111)-SUM('Exogenous tax and expenses'!X111:AA111)</f>
        <v>-0.0251201655018987</v>
      </c>
      <c r="M111" s="456" t="n">
        <f aca="false">'Exogenous tax and expenses'!G111+SUM('Exogenous tax and expenses'!R111:V111)-SUM('Exogenous tax and expenses'!X111:AA111)</f>
        <v>-0.0422201655018987</v>
      </c>
      <c r="N111" s="456" t="n">
        <f aca="false">'Exogenous tax and expenses'!H111+SUM('Exogenous tax and expenses'!R111:V111)-SUM('Exogenous tax and expenses'!X111:AA111)</f>
        <v>-0.00992016550189868</v>
      </c>
      <c r="O111" s="456" t="n">
        <f aca="false">'Exogenous tax and expenses'!I111+SUM('Exogenous tax and expenses'!R111:V111)-SUM('Exogenous tax and expenses'!X111:AA111)</f>
        <v>-0.0245201655018987</v>
      </c>
      <c r="P111" s="456" t="n">
        <f aca="false">'Exogenous tax and expenses'!J111+SUM('Exogenous tax and expenses'!R111:V111)-SUM('Exogenous tax and expenses'!X111:AA111)</f>
        <v>0.00307983449810132</v>
      </c>
      <c r="Q111" s="456" t="n">
        <f aca="false">'Exogenous tax and expenses'!K111+SUM('Exogenous tax and expenses'!R111:V111)-SUM('Exogenous tax and expenses'!X111:AA111)</f>
        <v>-0.00932016550189868</v>
      </c>
      <c r="R111" s="456" t="n">
        <f aca="false">'Exogenous tax and expenses'!R110</f>
        <v>0.00717368525436939</v>
      </c>
      <c r="S111" s="456" t="n">
        <f aca="false">'Exogenous tax and expenses'!S110</f>
        <v>0.00264884044328671</v>
      </c>
      <c r="T111" s="784" t="n">
        <f aca="false">'Exogenous tax and expenses'!T110</f>
        <v>0.000157308523483685</v>
      </c>
      <c r="U111" s="456" t="n">
        <f aca="false">'Exogenous tax and expenses'!U110</f>
        <v>0</v>
      </c>
      <c r="V111" s="784" t="n">
        <f aca="false">'Exogenous tax and expenses'!V110</f>
        <v>0.0156925271106058</v>
      </c>
      <c r="W111" s="784"/>
      <c r="X111" s="784" t="n">
        <f aca="false">'Exogenous tax and expenses'!X110</f>
        <v>0.00191293753744961</v>
      </c>
      <c r="Y111" s="456" t="n">
        <f aca="false">'Exogenous tax and expenses'!Y110</f>
        <v>0.00262755013399756</v>
      </c>
      <c r="Z111" s="456" t="n">
        <f aca="false">'Exogenous tax and expenses'!Z110</f>
        <v>0.00695203916219706</v>
      </c>
      <c r="AA111" s="1" t="n">
        <v>0</v>
      </c>
      <c r="AB111" s="1"/>
      <c r="AC111" s="1"/>
      <c r="AD111" s="1"/>
      <c r="AE111" s="1"/>
      <c r="AF111" s="1"/>
      <c r="AG111" s="1"/>
      <c r="AH111" s="1"/>
      <c r="AI111" s="1"/>
      <c r="AJ111" s="1"/>
      <c r="AK111" s="1"/>
      <c r="AL111" s="1"/>
      <c r="AM111" s="1"/>
      <c r="AN111" s="1"/>
      <c r="AO111" s="1"/>
      <c r="AP111" s="1"/>
      <c r="AQ111" s="1"/>
      <c r="AR111" s="1"/>
    </row>
    <row r="112" customFormat="false" ht="15" hidden="false" customHeight="false" outlineLevel="0" collapsed="false">
      <c r="B112" s="539"/>
      <c r="C112" s="1" t="n">
        <f aca="false">'Exogenous tax and expenses'!C111+1</f>
        <v>2037</v>
      </c>
      <c r="D112" s="1"/>
      <c r="E112" s="1"/>
      <c r="F112" s="792" t="n">
        <v>-0.0383</v>
      </c>
      <c r="G112" s="792" t="n">
        <v>-0.0565</v>
      </c>
      <c r="H112" s="794" t="n">
        <v>-0.0235</v>
      </c>
      <c r="I112" s="794" t="n">
        <v>-0.0391</v>
      </c>
      <c r="J112" s="792" t="n">
        <v>-0.0093</v>
      </c>
      <c r="K112" s="792" t="n">
        <v>-0.0224</v>
      </c>
      <c r="L112" s="456" t="n">
        <f aca="false">'Exogenous tax and expenses'!F112+SUM('Exogenous tax and expenses'!R112:V112)-SUM('Exogenous tax and expenses'!X112:AA112)</f>
        <v>-0.0241201655018987</v>
      </c>
      <c r="M112" s="456" t="n">
        <f aca="false">'Exogenous tax and expenses'!G112+SUM('Exogenous tax and expenses'!R112:V112)-SUM('Exogenous tax and expenses'!X112:AA112)</f>
        <v>-0.0423201655018987</v>
      </c>
      <c r="N112" s="456" t="n">
        <f aca="false">'Exogenous tax and expenses'!H112+SUM('Exogenous tax and expenses'!R112:V112)-SUM('Exogenous tax and expenses'!X112:AA112)</f>
        <v>-0.00932016550189868</v>
      </c>
      <c r="O112" s="456" t="n">
        <f aca="false">'Exogenous tax and expenses'!I112+SUM('Exogenous tax and expenses'!R112:V112)-SUM('Exogenous tax and expenses'!X112:AA112)</f>
        <v>-0.0249201655018987</v>
      </c>
      <c r="P112" s="456" t="n">
        <f aca="false">'Exogenous tax and expenses'!J112+SUM('Exogenous tax and expenses'!R112:V112)-SUM('Exogenous tax and expenses'!X112:AA112)</f>
        <v>0.00487983449810132</v>
      </c>
      <c r="Q112" s="456" t="n">
        <f aca="false">'Exogenous tax and expenses'!K112+SUM('Exogenous tax and expenses'!R112:V112)-SUM('Exogenous tax and expenses'!X112:AA112)</f>
        <v>-0.00822016550189868</v>
      </c>
      <c r="R112" s="456" t="n">
        <f aca="false">'Exogenous tax and expenses'!R111</f>
        <v>0.00717368525436939</v>
      </c>
      <c r="S112" s="456" t="n">
        <f aca="false">'Exogenous tax and expenses'!S111</f>
        <v>0.00264884044328671</v>
      </c>
      <c r="T112" s="784" t="n">
        <f aca="false">'Exogenous tax and expenses'!T111</f>
        <v>0.000157308523483685</v>
      </c>
      <c r="U112" s="456" t="n">
        <f aca="false">'Exogenous tax and expenses'!U111</f>
        <v>0</v>
      </c>
      <c r="V112" s="784" t="n">
        <f aca="false">'Exogenous tax and expenses'!V111</f>
        <v>0.0156925271106058</v>
      </c>
      <c r="W112" s="784"/>
      <c r="X112" s="784" t="n">
        <f aca="false">'Exogenous tax and expenses'!X111</f>
        <v>0.00191293753744961</v>
      </c>
      <c r="Y112" s="456" t="n">
        <f aca="false">'Exogenous tax and expenses'!Y111</f>
        <v>0.00262755013399756</v>
      </c>
      <c r="Z112" s="456" t="n">
        <f aca="false">'Exogenous tax and expenses'!Z111</f>
        <v>0.00695203916219706</v>
      </c>
      <c r="AA112" s="1" t="n">
        <v>0</v>
      </c>
      <c r="AB112" s="1"/>
      <c r="AC112" s="1"/>
      <c r="AD112" s="1"/>
      <c r="AE112" s="1"/>
      <c r="AF112" s="1"/>
      <c r="AG112" s="1"/>
      <c r="AH112" s="1"/>
      <c r="AI112" s="1"/>
      <c r="AJ112" s="1"/>
      <c r="AK112" s="1"/>
      <c r="AL112" s="1"/>
      <c r="AM112" s="1"/>
      <c r="AN112" s="1"/>
      <c r="AO112" s="1"/>
      <c r="AP112" s="1"/>
      <c r="AQ112" s="1"/>
      <c r="AR112" s="1"/>
    </row>
    <row r="113" customFormat="false" ht="15" hidden="false" customHeight="false" outlineLevel="0" collapsed="false">
      <c r="B113" s="539"/>
      <c r="C113" s="1" t="n">
        <f aca="false">'Exogenous tax and expenses'!C112+1</f>
        <v>2038</v>
      </c>
      <c r="D113" s="1"/>
      <c r="E113" s="1"/>
      <c r="F113" s="792" t="n">
        <v>-0.0381</v>
      </c>
      <c r="G113" s="792" t="n">
        <v>-0.0573</v>
      </c>
      <c r="H113" s="795" t="n">
        <v>-0.0231</v>
      </c>
      <c r="I113" s="795" t="n">
        <v>-0.0395</v>
      </c>
      <c r="J113" s="792" t="n">
        <v>-0.0076</v>
      </c>
      <c r="K113" s="792" t="n">
        <v>-0.0212</v>
      </c>
      <c r="L113" s="456" t="n">
        <f aca="false">'Exogenous tax and expenses'!F113+SUM('Exogenous tax and expenses'!R113:V113)-SUM('Exogenous tax and expenses'!X113:AA113)</f>
        <v>-0.0239201655018987</v>
      </c>
      <c r="M113" s="456" t="n">
        <f aca="false">'Exogenous tax and expenses'!G113+SUM('Exogenous tax and expenses'!R113:V113)-SUM('Exogenous tax and expenses'!X113:AA113)</f>
        <v>-0.0431201655018987</v>
      </c>
      <c r="N113" s="456" t="n">
        <f aca="false">'Exogenous tax and expenses'!H113+SUM('Exogenous tax and expenses'!R113:V113)-SUM('Exogenous tax and expenses'!X113:AA113)</f>
        <v>-0.00892016550189868</v>
      </c>
      <c r="O113" s="456" t="n">
        <f aca="false">'Exogenous tax and expenses'!I113+SUM('Exogenous tax and expenses'!R113:V113)-SUM('Exogenous tax and expenses'!X113:AA113)</f>
        <v>-0.0253201655018987</v>
      </c>
      <c r="P113" s="456" t="n">
        <f aca="false">'Exogenous tax and expenses'!J113+SUM('Exogenous tax and expenses'!R113:V113)-SUM('Exogenous tax and expenses'!X113:AA113)</f>
        <v>0.00657983449810132</v>
      </c>
      <c r="Q113" s="456" t="n">
        <f aca="false">'Exogenous tax and expenses'!K113+SUM('Exogenous tax and expenses'!R113:V113)-SUM('Exogenous tax and expenses'!X113:AA113)</f>
        <v>-0.00702016550189868</v>
      </c>
      <c r="R113" s="456" t="n">
        <f aca="false">'Exogenous tax and expenses'!R112</f>
        <v>0.00717368525436939</v>
      </c>
      <c r="S113" s="456" t="n">
        <f aca="false">'Exogenous tax and expenses'!S112</f>
        <v>0.00264884044328671</v>
      </c>
      <c r="T113" s="784" t="n">
        <f aca="false">'Exogenous tax and expenses'!T112</f>
        <v>0.000157308523483685</v>
      </c>
      <c r="U113" s="456" t="n">
        <f aca="false">'Exogenous tax and expenses'!U112</f>
        <v>0</v>
      </c>
      <c r="V113" s="784" t="n">
        <f aca="false">'Exogenous tax and expenses'!V112</f>
        <v>0.0156925271106058</v>
      </c>
      <c r="W113" s="784"/>
      <c r="X113" s="784" t="n">
        <f aca="false">'Exogenous tax and expenses'!X112</f>
        <v>0.00191293753744961</v>
      </c>
      <c r="Y113" s="456" t="n">
        <f aca="false">'Exogenous tax and expenses'!Y112</f>
        <v>0.00262755013399756</v>
      </c>
      <c r="Z113" s="456" t="n">
        <f aca="false">'Exogenous tax and expenses'!Z112</f>
        <v>0.00695203916219706</v>
      </c>
      <c r="AA113" s="1" t="n">
        <v>0</v>
      </c>
      <c r="AB113" s="1"/>
      <c r="AC113" s="1"/>
      <c r="AD113" s="1"/>
      <c r="AE113" s="1"/>
      <c r="AF113" s="1"/>
      <c r="AG113" s="1"/>
      <c r="AH113" s="1"/>
      <c r="AI113" s="1"/>
      <c r="AJ113" s="1"/>
      <c r="AK113" s="1"/>
      <c r="AL113" s="1"/>
      <c r="AM113" s="1"/>
      <c r="AN113" s="1"/>
      <c r="AO113" s="1"/>
      <c r="AP113" s="1"/>
      <c r="AQ113" s="1"/>
      <c r="AR113" s="1"/>
    </row>
    <row r="114" customFormat="false" ht="15" hidden="false" customHeight="false" outlineLevel="0" collapsed="false">
      <c r="B114" s="539"/>
      <c r="C114" s="1" t="n">
        <f aca="false">'Exogenous tax and expenses'!C113+1</f>
        <v>2039</v>
      </c>
      <c r="D114" s="1"/>
      <c r="E114" s="1"/>
      <c r="F114" s="792" t="n">
        <v>-0.0383</v>
      </c>
      <c r="G114" s="792" t="n">
        <v>-0.0588</v>
      </c>
      <c r="H114" s="795" t="n">
        <v>-0.0226</v>
      </c>
      <c r="I114" s="795" t="n">
        <v>-0.0398</v>
      </c>
      <c r="J114" s="792" t="n">
        <v>-0.0073</v>
      </c>
      <c r="K114" s="792" t="n">
        <v>-0.0217</v>
      </c>
      <c r="L114" s="456" t="n">
        <f aca="false">'Exogenous tax and expenses'!F114+SUM('Exogenous tax and expenses'!R114:V114)-SUM('Exogenous tax and expenses'!X114:AA114)</f>
        <v>-0.0241201655018987</v>
      </c>
      <c r="M114" s="456" t="n">
        <f aca="false">'Exogenous tax and expenses'!G114+SUM('Exogenous tax and expenses'!R114:V114)-SUM('Exogenous tax and expenses'!X114:AA114)</f>
        <v>-0.0446201655018987</v>
      </c>
      <c r="N114" s="456" t="n">
        <f aca="false">'Exogenous tax and expenses'!H114+SUM('Exogenous tax and expenses'!R114:V114)-SUM('Exogenous tax and expenses'!X114:AA114)</f>
        <v>-0.00842016550189868</v>
      </c>
      <c r="O114" s="456" t="n">
        <f aca="false">'Exogenous tax and expenses'!I114+SUM('Exogenous tax and expenses'!R114:V114)-SUM('Exogenous tax and expenses'!X114:AA114)</f>
        <v>-0.0256201655018987</v>
      </c>
      <c r="P114" s="456" t="n">
        <f aca="false">'Exogenous tax and expenses'!J114+SUM('Exogenous tax and expenses'!R114:V114)-SUM('Exogenous tax and expenses'!X114:AA114)</f>
        <v>0.00687983449810132</v>
      </c>
      <c r="Q114" s="456" t="n">
        <f aca="false">'Exogenous tax and expenses'!K114+SUM('Exogenous tax and expenses'!R114:V114)-SUM('Exogenous tax and expenses'!X114:AA114)</f>
        <v>-0.00752016550189868</v>
      </c>
      <c r="R114" s="456" t="n">
        <f aca="false">'Exogenous tax and expenses'!R113</f>
        <v>0.00717368525436939</v>
      </c>
      <c r="S114" s="456" t="n">
        <f aca="false">'Exogenous tax and expenses'!S113</f>
        <v>0.00264884044328671</v>
      </c>
      <c r="T114" s="784" t="n">
        <f aca="false">'Exogenous tax and expenses'!T113</f>
        <v>0.000157308523483685</v>
      </c>
      <c r="U114" s="456" t="n">
        <f aca="false">'Exogenous tax and expenses'!U113</f>
        <v>0</v>
      </c>
      <c r="V114" s="784" t="n">
        <f aca="false">'Exogenous tax and expenses'!V113</f>
        <v>0.0156925271106058</v>
      </c>
      <c r="W114" s="784"/>
      <c r="X114" s="784" t="n">
        <f aca="false">'Exogenous tax and expenses'!X113</f>
        <v>0.00191293753744961</v>
      </c>
      <c r="Y114" s="456" t="n">
        <f aca="false">'Exogenous tax and expenses'!Y113</f>
        <v>0.00262755013399756</v>
      </c>
      <c r="Z114" s="456" t="n">
        <f aca="false">'Exogenous tax and expenses'!Z113</f>
        <v>0.00695203916219706</v>
      </c>
      <c r="AA114" s="1" t="n">
        <v>0</v>
      </c>
      <c r="AB114" s="1"/>
      <c r="AC114" s="1"/>
      <c r="AD114" s="1"/>
      <c r="AE114" s="1"/>
      <c r="AF114" s="1"/>
      <c r="AG114" s="1"/>
      <c r="AH114" s="1"/>
      <c r="AI114" s="1"/>
      <c r="AJ114" s="1"/>
      <c r="AK114" s="1"/>
      <c r="AL114" s="1"/>
      <c r="AM114" s="1"/>
      <c r="AN114" s="1"/>
      <c r="AO114" s="1"/>
      <c r="AP114" s="1"/>
      <c r="AQ114" s="1"/>
      <c r="AR114" s="1"/>
    </row>
    <row r="115" customFormat="false" ht="15" hidden="false" customHeight="false" outlineLevel="0" collapsed="false">
      <c r="B115" s="539"/>
      <c r="C115" s="1" t="n">
        <f aca="false">'Exogenous tax and expenses'!C114+1</f>
        <v>2040</v>
      </c>
      <c r="D115" s="1"/>
      <c r="E115" s="1"/>
      <c r="F115" s="792" t="n">
        <v>-0.0384</v>
      </c>
      <c r="G115" s="792" t="n">
        <v>-0.0601</v>
      </c>
      <c r="H115" s="795" t="n">
        <v>-0.0217</v>
      </c>
      <c r="I115" s="795" t="n">
        <v>-0.0397</v>
      </c>
      <c r="J115" s="792" t="n">
        <v>-0.0067</v>
      </c>
      <c r="K115" s="792" t="n">
        <v>-0.0216</v>
      </c>
      <c r="L115" s="456" t="n">
        <f aca="false">'Exogenous tax and expenses'!F115+SUM('Exogenous tax and expenses'!R115:V115)-SUM('Exogenous tax and expenses'!X115:AA115)</f>
        <v>-0.0242201655018987</v>
      </c>
      <c r="M115" s="456" t="n">
        <f aca="false">'Exogenous tax and expenses'!G115+SUM('Exogenous tax and expenses'!R115:V115)-SUM('Exogenous tax and expenses'!X115:AA115)</f>
        <v>-0.0459201655018987</v>
      </c>
      <c r="N115" s="456" t="n">
        <f aca="false">'Exogenous tax and expenses'!H115+SUM('Exogenous tax and expenses'!R115:V115)-SUM('Exogenous tax and expenses'!X115:AA115)</f>
        <v>-0.00752016550189868</v>
      </c>
      <c r="O115" s="456" t="n">
        <f aca="false">'Exogenous tax and expenses'!I115+SUM('Exogenous tax and expenses'!R115:V115)-SUM('Exogenous tax and expenses'!X115:AA115)</f>
        <v>-0.0255201655018987</v>
      </c>
      <c r="P115" s="456" t="n">
        <f aca="false">'Exogenous tax and expenses'!J115+SUM('Exogenous tax and expenses'!R115:V115)-SUM('Exogenous tax and expenses'!X115:AA115)</f>
        <v>0.00747983449810132</v>
      </c>
      <c r="Q115" s="456" t="n">
        <f aca="false">'Exogenous tax and expenses'!K115+SUM('Exogenous tax and expenses'!R115:V115)-SUM('Exogenous tax and expenses'!X115:AA115)</f>
        <v>-0.00742016550189868</v>
      </c>
      <c r="R115" s="456" t="n">
        <f aca="false">'Exogenous tax and expenses'!R114</f>
        <v>0.00717368525436939</v>
      </c>
      <c r="S115" s="456" t="n">
        <f aca="false">'Exogenous tax and expenses'!S114</f>
        <v>0.00264884044328671</v>
      </c>
      <c r="T115" s="784" t="n">
        <f aca="false">'Exogenous tax and expenses'!T114</f>
        <v>0.000157308523483685</v>
      </c>
      <c r="U115" s="456" t="n">
        <f aca="false">'Exogenous tax and expenses'!U114</f>
        <v>0</v>
      </c>
      <c r="V115" s="784" t="n">
        <f aca="false">'Exogenous tax and expenses'!V114</f>
        <v>0.0156925271106058</v>
      </c>
      <c r="W115" s="784"/>
      <c r="X115" s="784" t="n">
        <f aca="false">'Exogenous tax and expenses'!X114</f>
        <v>0.00191293753744961</v>
      </c>
      <c r="Y115" s="456" t="n">
        <f aca="false">'Exogenous tax and expenses'!Y114</f>
        <v>0.00262755013399756</v>
      </c>
      <c r="Z115" s="456" t="n">
        <f aca="false">'Exogenous tax and expenses'!Z114</f>
        <v>0.00695203916219706</v>
      </c>
      <c r="AA115" s="1" t="n">
        <v>0</v>
      </c>
      <c r="AB115" s="1"/>
      <c r="AC115" s="1"/>
      <c r="AD115" s="1"/>
      <c r="AE115" s="1"/>
      <c r="AF115" s="1"/>
      <c r="AG115" s="1"/>
      <c r="AH115" s="1"/>
      <c r="AI115" s="1"/>
      <c r="AJ115" s="1"/>
      <c r="AK115" s="1"/>
      <c r="AL115" s="1"/>
      <c r="AM115" s="1"/>
      <c r="AN115" s="1"/>
      <c r="AO115" s="1"/>
      <c r="AP115" s="1"/>
      <c r="AQ115" s="1"/>
      <c r="AR115" s="1"/>
    </row>
    <row r="116" customFormat="false" ht="15" hidden="false" customHeight="false" outlineLevel="0" collapsed="false">
      <c r="B116" s="1"/>
      <c r="C116" s="1"/>
      <c r="D116" s="1"/>
      <c r="E116" s="1"/>
      <c r="F116" s="604" t="s">
        <v>1050</v>
      </c>
      <c r="G116" s="604"/>
      <c r="H116" s="604"/>
      <c r="I116" s="604"/>
      <c r="J116" s="604"/>
      <c r="K116" s="604"/>
      <c r="L116" s="604" t="s">
        <v>1051</v>
      </c>
      <c r="M116" s="604"/>
      <c r="N116" s="604"/>
      <c r="O116" s="604"/>
      <c r="P116" s="604"/>
      <c r="Q116" s="604"/>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customFormat="false" ht="15" hidden="false" customHeight="false" outlineLevel="0" collapsed="false">
      <c r="B117" s="1"/>
      <c r="C117" s="1"/>
      <c r="D117" s="1"/>
      <c r="E117" s="1"/>
      <c r="F117" s="1" t="s">
        <v>1054</v>
      </c>
      <c r="G117" s="1" t="s">
        <v>1055</v>
      </c>
      <c r="H117" s="1" t="s">
        <v>1056</v>
      </c>
      <c r="I117" s="1" t="s">
        <v>1057</v>
      </c>
      <c r="J117" s="1" t="s">
        <v>1058</v>
      </c>
      <c r="K117" s="1" t="s">
        <v>1059</v>
      </c>
      <c r="L117" s="1" t="s">
        <v>1054</v>
      </c>
      <c r="M117" s="1" t="s">
        <v>1060</v>
      </c>
      <c r="N117" s="1" t="s">
        <v>1056</v>
      </c>
      <c r="O117" s="1" t="s">
        <v>1061</v>
      </c>
      <c r="P117" s="1" t="s">
        <v>1058</v>
      </c>
      <c r="Q117" s="1" t="s">
        <v>1059</v>
      </c>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customFormat="false" ht="15" hidden="false" customHeight="false" outlineLevel="0" collapsed="false">
      <c r="B118" s="796"/>
      <c r="C118" s="1" t="n">
        <v>2014</v>
      </c>
      <c r="D118" s="1"/>
      <c r="E118" s="745" t="n">
        <v>-0.00129286375596846</v>
      </c>
      <c r="F118" s="1"/>
      <c r="G118" s="1"/>
      <c r="H118" s="797" t="n">
        <v>-0.0208</v>
      </c>
      <c r="I118" s="1"/>
      <c r="J118" s="1"/>
      <c r="K118" s="1"/>
      <c r="L118" s="1"/>
      <c r="M118" s="1"/>
      <c r="N118" s="456" t="n">
        <f aca="false">'Exogenous tax and expenses'!H118+SUM('Exogenous tax and expenses'!Q53:S53)+'Exogenous tax and expenses'!W53+'Exogenous tax and expenses'!U53+'Cuenta Ahorro-Inversión-Financi'!L30/1000/'PIB corriente base 2004'!X18-SUM('Exogenous tax and expenses'!Y53:AC53)</f>
        <v>5.07583843274845E-005</v>
      </c>
      <c r="O118" s="1"/>
      <c r="P118" s="1"/>
      <c r="Q118" s="730"/>
      <c r="R118" s="1"/>
      <c r="S118" s="1"/>
      <c r="T118" s="1"/>
      <c r="U118" s="1"/>
      <c r="V118" s="1"/>
      <c r="W118" s="1"/>
      <c r="X118" s="1"/>
      <c r="Y118" s="1"/>
      <c r="Z118" s="1"/>
      <c r="AA118" s="1"/>
    </row>
    <row r="119" customFormat="false" ht="15" hidden="false" customHeight="false" outlineLevel="0" collapsed="false">
      <c r="B119" s="796"/>
      <c r="C119" s="1" t="n">
        <f aca="false">'Exogenous tax and expenses'!C118+1</f>
        <v>2015</v>
      </c>
      <c r="D119" s="1"/>
      <c r="E119" s="744" t="n">
        <v>-0.00763621219284721</v>
      </c>
      <c r="F119" s="1"/>
      <c r="G119" s="1"/>
      <c r="H119" s="797" t="n">
        <v>-0.0328</v>
      </c>
      <c r="I119" s="1"/>
      <c r="J119" s="1"/>
      <c r="K119" s="1"/>
      <c r="L119" s="1"/>
      <c r="M119" s="1"/>
      <c r="N119" s="456" t="n">
        <f aca="false">'Exogenous tax and expenses'!H119+SUM('Exogenous tax and expenses'!Q54:S54)+'Exogenous tax and expenses'!W54+'Exogenous tax and expenses'!U54+'Cuenta Ahorro-Inversión-Financi'!L31/1000/'PIB corriente base 2004'!X19-SUM('Exogenous tax and expenses'!Y54:AC54)</f>
        <v>-0.0115582382091378</v>
      </c>
      <c r="O119" s="1"/>
      <c r="P119" s="1"/>
      <c r="Q119" s="1"/>
      <c r="R119" s="1"/>
      <c r="S119" s="1"/>
      <c r="T119" s="1"/>
      <c r="U119" s="1"/>
      <c r="V119" s="1"/>
      <c r="W119" s="1"/>
      <c r="X119" s="1"/>
      <c r="Y119" s="1"/>
      <c r="Z119" s="1"/>
      <c r="AA119" s="1"/>
    </row>
    <row r="120" customFormat="false" ht="15" hidden="false" customHeight="false" outlineLevel="0" collapsed="false">
      <c r="B120" s="796"/>
      <c r="C120" s="1" t="n">
        <f aca="false">'Exogenous tax and expenses'!C119+1</f>
        <v>2016</v>
      </c>
      <c r="D120" s="1"/>
      <c r="E120" s="745" t="n">
        <v>-0.0172805475280802</v>
      </c>
      <c r="F120" s="1"/>
      <c r="G120" s="1"/>
      <c r="H120" s="797" t="n">
        <v>-0.0317</v>
      </c>
      <c r="I120" s="797" t="n">
        <v>-0.0317</v>
      </c>
      <c r="J120" s="1"/>
      <c r="K120" s="1"/>
      <c r="L120" s="1"/>
      <c r="M120" s="1"/>
      <c r="N120" s="456" t="n">
        <f aca="false">'Exogenous tax and expenses'!H120+SUM('Exogenous tax and expenses'!Q55:S55)+'Exogenous tax and expenses'!W55+'Exogenous tax and expenses'!U55+'Cuenta Ahorro-Inversión-Financi'!L32/1000/'PIB corriente base 2004'!X20-SUM('Exogenous tax and expenses'!Y55:AC55)</f>
        <v>-0.0128139766351672</v>
      </c>
      <c r="O120" s="1"/>
      <c r="P120" s="1"/>
      <c r="Q120" s="1"/>
      <c r="R120" s="1"/>
      <c r="S120" s="1"/>
      <c r="T120" s="1"/>
      <c r="U120" s="1"/>
      <c r="V120" s="1"/>
      <c r="W120" s="1"/>
      <c r="X120" s="1"/>
      <c r="Y120" s="1"/>
      <c r="Z120" s="1"/>
      <c r="AA120" s="1"/>
    </row>
    <row r="121" customFormat="false" ht="15" hidden="false" customHeight="false" outlineLevel="0" collapsed="false">
      <c r="B121" s="796"/>
      <c r="C121" s="1" t="n">
        <f aca="false">'Exogenous tax and expenses'!C120+1</f>
        <v>2017</v>
      </c>
      <c r="D121" s="1"/>
      <c r="E121" s="744" t="n">
        <v>-0.0215857033492145</v>
      </c>
      <c r="F121" s="792" t="n">
        <v>-0.0364</v>
      </c>
      <c r="G121" s="792" t="n">
        <v>-0.0369</v>
      </c>
      <c r="H121" s="797" t="n">
        <v>-0.0363</v>
      </c>
      <c r="I121" s="797" t="n">
        <v>-0.0368</v>
      </c>
      <c r="J121" s="792" t="n">
        <v>-0.0362</v>
      </c>
      <c r="K121" s="792" t="n">
        <v>-0.0366</v>
      </c>
      <c r="L121" s="456" t="n">
        <f aca="false">'Exogenous tax and expenses'!F121+SUM('Exogenous tax and expenses'!Q56:S56)+'Exogenous tax and expenses'!W56+'Exogenous tax and expenses'!U56+('Cuenta Ahorro-Inversión-Financi'!L33-'Cuenta Ahorro-Inversión-Financi'!CH33)/1000/'PIB corriente base 2004'!X21-SUM('Exogenous tax and expenses'!Y56:AC56)</f>
        <v>-0.0288520423850262</v>
      </c>
      <c r="M121" s="456" t="n">
        <f aca="false">'Exogenous tax and expenses'!G121+SUM('Exogenous tax and expenses'!Q56:S56)+'Exogenous tax and expenses'!W56+'Exogenous tax and expenses'!U56+('Cuenta Ahorro-Inversión-Financi'!L33-'Cuenta Ahorro-Inversión-Financi'!CH33)/1000/'PIB corriente base 2004'!X21-SUM('Exogenous tax and expenses'!Y56:AC56)</f>
        <v>-0.0293520423850262</v>
      </c>
      <c r="N121" s="456" t="n">
        <f aca="false">'Exogenous tax and expenses'!H121+SUM('Exogenous tax and expenses'!Q56:S56)+'Exogenous tax and expenses'!W56+'Exogenous tax and expenses'!U56+('Cuenta Ahorro-Inversión-Financi'!L33-'Cuenta Ahorro-Inversión-Financi'!CH33)/1000/'PIB corriente base 2004'!X21-SUM('Exogenous tax and expenses'!Y56:AC56)</f>
        <v>-0.0287520423850262</v>
      </c>
      <c r="O121" s="456" t="n">
        <f aca="false">'Exogenous tax and expenses'!I121+SUM('Exogenous tax and expenses'!Q56:S56)+'Exogenous tax and expenses'!W56+'Exogenous tax and expenses'!U56+('Cuenta Ahorro-Inversión-Financi'!L33-'Cuenta Ahorro-Inversión-Financi'!CH33)/1000/'PIB corriente base 2004'!X21-SUM('Exogenous tax and expenses'!Y56:AC56)</f>
        <v>-0.0292520423850262</v>
      </c>
      <c r="P121" s="456" t="n">
        <f aca="false">'Exogenous tax and expenses'!J121+SUM('Exogenous tax and expenses'!Q56:S56)+'Exogenous tax and expenses'!W56+'Exogenous tax and expenses'!U56+('Cuenta Ahorro-Inversión-Financi'!L33-'Cuenta Ahorro-Inversión-Financi'!CH33)/1000/'PIB corriente base 2004'!X21-SUM('Exogenous tax and expenses'!Y56:AC56)</f>
        <v>-0.0286520423850262</v>
      </c>
      <c r="Q121" s="456" t="n">
        <f aca="false">'Exogenous tax and expenses'!K121+SUM('Exogenous tax and expenses'!Q56:S56)+'Exogenous tax and expenses'!W56+'Exogenous tax and expenses'!U56+('Cuenta Ahorro-Inversión-Financi'!L33-'Cuenta Ahorro-Inversión-Financi'!CH33)/1000/'PIB corriente base 2004'!X21-SUM('Exogenous tax and expenses'!Y56:AC56)</f>
        <v>-0.0290520423850262</v>
      </c>
      <c r="R121" s="1"/>
      <c r="S121" s="1"/>
      <c r="T121" s="1"/>
      <c r="U121" s="1"/>
      <c r="V121" s="1"/>
      <c r="W121" s="1"/>
      <c r="X121" s="1"/>
      <c r="Y121" s="1"/>
      <c r="Z121" s="1"/>
      <c r="AA121" s="1"/>
    </row>
    <row r="122" customFormat="false" ht="15" hidden="false" customHeight="false" outlineLevel="0" collapsed="false">
      <c r="B122" s="796"/>
      <c r="C122" s="1" t="n">
        <v>2018</v>
      </c>
      <c r="D122" s="1"/>
      <c r="E122" s="1"/>
      <c r="F122" s="792" t="n">
        <v>-0.0335</v>
      </c>
      <c r="G122" s="792" t="n">
        <v>-0.0344</v>
      </c>
      <c r="H122" s="797" t="n">
        <v>-0.0325</v>
      </c>
      <c r="I122" s="797" t="n">
        <v>-0.0333</v>
      </c>
      <c r="J122" s="792" t="n">
        <v>-0.0313</v>
      </c>
      <c r="K122" s="792" t="n">
        <v>-0.0321</v>
      </c>
      <c r="L122" s="456" t="n">
        <f aca="false">'Exogenous tax and expenses'!F122+SUM('Exogenous tax and expenses'!R122:V122)-SUM('Exogenous tax and expenses'!X122:AA122)</f>
        <v>-0.0104612648756429</v>
      </c>
      <c r="M122" s="456" t="n">
        <f aca="false">'Exogenous tax and expenses'!G122+SUM('Exogenous tax and expenses'!R122:V122)-SUM('Exogenous tax and expenses'!X122:AA122)</f>
        <v>-0.0113612648756429</v>
      </c>
      <c r="N122" s="456" t="n">
        <f aca="false">'Exogenous tax and expenses'!H122+SUM('Exogenous tax and expenses'!R122:V122)-SUM('Exogenous tax and expenses'!X122:AA122)</f>
        <v>-0.00946126487564289</v>
      </c>
      <c r="O122" s="456" t="n">
        <f aca="false">'Exogenous tax and expenses'!I122+SUM('Exogenous tax and expenses'!R122:V122)-SUM('Exogenous tax and expenses'!X122:AA122)</f>
        <v>-0.0102612648756429</v>
      </c>
      <c r="P122" s="456" t="n">
        <f aca="false">'Exogenous tax and expenses'!J122+SUM('Exogenous tax and expenses'!R122:V122)-SUM('Exogenous tax and expenses'!X122:AA122)</f>
        <v>-0.00826126487564289</v>
      </c>
      <c r="Q122" s="456" t="n">
        <f aca="false">'Exogenous tax and expenses'!K122+SUM('Exogenous tax and expenses'!R122:V122)-SUM('Exogenous tax and expenses'!X122:AA122)</f>
        <v>-0.00906126487564289</v>
      </c>
      <c r="R122" s="456" t="n">
        <f aca="false">S61</f>
        <v>0.00717368525436939</v>
      </c>
      <c r="S122" s="456" t="n">
        <f aca="false">T61</f>
        <v>0.00264884044328671</v>
      </c>
      <c r="T122" s="456" t="n">
        <f aca="false">U61</f>
        <v>0.000157308523483685</v>
      </c>
      <c r="U122" s="456" t="n">
        <f aca="false">Q89</f>
        <v>0.0103842634031112</v>
      </c>
      <c r="V122" s="456" t="n">
        <f aca="false">W61</f>
        <v>0.0156925271106058</v>
      </c>
      <c r="W122" s="456"/>
      <c r="X122" s="456" t="n">
        <f aca="false">Y61</f>
        <v>0.00191293753744961</v>
      </c>
      <c r="Y122" s="456" t="n">
        <f aca="false">AA61</f>
        <v>0.00262755013399756</v>
      </c>
      <c r="Z122" s="456" t="n">
        <f aca="false">AB61</f>
        <v>0.00695203916219706</v>
      </c>
      <c r="AA122" s="456" t="n">
        <f aca="false">AC61</f>
        <v>0.00152536277685544</v>
      </c>
    </row>
    <row r="123" customFormat="false" ht="15" hidden="false" customHeight="false" outlineLevel="0" collapsed="false">
      <c r="B123" s="796" t="s">
        <v>1065</v>
      </c>
      <c r="C123" s="1" t="n">
        <f aca="false">'Exogenous tax and expenses'!C122+1</f>
        <v>2019</v>
      </c>
      <c r="D123" s="1"/>
      <c r="E123" s="1"/>
      <c r="F123" s="792" t="n">
        <v>-0.0356</v>
      </c>
      <c r="G123" s="792" t="n">
        <v>-0.0369</v>
      </c>
      <c r="H123" s="797" t="n">
        <v>-0.0331</v>
      </c>
      <c r="I123" s="797" t="n">
        <v>-0.0344</v>
      </c>
      <c r="J123" s="792" t="n">
        <v>-0.0312</v>
      </c>
      <c r="K123" s="792" t="n">
        <v>-0.0325</v>
      </c>
      <c r="L123" s="456" t="n">
        <f aca="false">'Exogenous tax and expenses'!F123+SUM('Exogenous tax and expenses'!R123:V123)-SUM('Exogenous tax and expenses'!X123:AA123)</f>
        <v>-0.0125612648756429</v>
      </c>
      <c r="M123" s="456" t="n">
        <f aca="false">'Exogenous tax and expenses'!G123+SUM('Exogenous tax and expenses'!R123:V123)-SUM('Exogenous tax and expenses'!X123:AA123)</f>
        <v>-0.0138612648756429</v>
      </c>
      <c r="N123" s="456" t="n">
        <f aca="false">'Exogenous tax and expenses'!H123+SUM('Exogenous tax and expenses'!R123:V123)-SUM('Exogenous tax and expenses'!X123:AA123)</f>
        <v>-0.0100612648756429</v>
      </c>
      <c r="O123" s="456" t="n">
        <f aca="false">'Exogenous tax and expenses'!I123+SUM('Exogenous tax and expenses'!R123:V123)-SUM('Exogenous tax and expenses'!X123:AA123)</f>
        <v>-0.0113612648756429</v>
      </c>
      <c r="P123" s="456" t="n">
        <f aca="false">'Exogenous tax and expenses'!J123+SUM('Exogenous tax and expenses'!R123:V123)-SUM('Exogenous tax and expenses'!X123:AA123)</f>
        <v>-0.00816126487564289</v>
      </c>
      <c r="Q123" s="456" t="n">
        <f aca="false">'Exogenous tax and expenses'!K123+SUM('Exogenous tax and expenses'!R123:V123)-SUM('Exogenous tax and expenses'!X123:AA123)</f>
        <v>-0.00946126487564289</v>
      </c>
      <c r="R123" s="456" t="n">
        <f aca="false">'Exogenous tax and expenses'!R122</f>
        <v>0.00717368525436939</v>
      </c>
      <c r="S123" s="456" t="n">
        <f aca="false">'Exogenous tax and expenses'!S122</f>
        <v>0.00264884044328671</v>
      </c>
      <c r="T123" s="784" t="n">
        <f aca="false">'Exogenous tax and expenses'!T122</f>
        <v>0.000157308523483685</v>
      </c>
      <c r="U123" s="456" t="n">
        <f aca="false">U122</f>
        <v>0.0103842634031112</v>
      </c>
      <c r="V123" s="784" t="n">
        <f aca="false">'Exogenous tax and expenses'!V122</f>
        <v>0.0156925271106058</v>
      </c>
      <c r="W123" s="784"/>
      <c r="X123" s="784" t="n">
        <f aca="false">'Exogenous tax and expenses'!X122</f>
        <v>0.00191293753744961</v>
      </c>
      <c r="Y123" s="456" t="n">
        <f aca="false">'Exogenous tax and expenses'!Y122</f>
        <v>0.00262755013399756</v>
      </c>
      <c r="Z123" s="456" t="n">
        <f aca="false">'Exogenous tax and expenses'!Z122</f>
        <v>0.00695203916219706</v>
      </c>
      <c r="AA123" s="456" t="n">
        <f aca="false">'Exogenous tax and expenses'!AA122</f>
        <v>0.00152536277685544</v>
      </c>
    </row>
    <row r="124" customFormat="false" ht="15" hidden="false" customHeight="false" outlineLevel="0" collapsed="false">
      <c r="B124" s="796"/>
      <c r="C124" s="1" t="n">
        <f aca="false">'Exogenous tax and expenses'!C123+1</f>
        <v>2020</v>
      </c>
      <c r="D124" s="1"/>
      <c r="E124" s="1"/>
      <c r="F124" s="792" t="n">
        <v>-0.0371</v>
      </c>
      <c r="G124" s="792" t="n">
        <v>-0.0389</v>
      </c>
      <c r="H124" s="797" t="n">
        <v>-0.0342</v>
      </c>
      <c r="I124" s="797" t="n">
        <v>-0.0359</v>
      </c>
      <c r="J124" s="792" t="n">
        <v>-0.0324</v>
      </c>
      <c r="K124" s="792" t="n">
        <v>-0.0342</v>
      </c>
      <c r="L124" s="456" t="n">
        <f aca="false">'Exogenous tax and expenses'!F124+SUM('Exogenous tax and expenses'!R124:V124)-SUM('Exogenous tax and expenses'!X124:AA124)</f>
        <v>-0.0140612648756429</v>
      </c>
      <c r="M124" s="456" t="n">
        <f aca="false">'Exogenous tax and expenses'!G124+SUM('Exogenous tax and expenses'!R124:V124)-SUM('Exogenous tax and expenses'!X124:AA124)</f>
        <v>-0.0158612648756429</v>
      </c>
      <c r="N124" s="456" t="n">
        <f aca="false">'Exogenous tax and expenses'!H124+SUM('Exogenous tax and expenses'!R124:V124)-SUM('Exogenous tax and expenses'!X124:AA124)</f>
        <v>-0.0111612648756429</v>
      </c>
      <c r="O124" s="456" t="n">
        <f aca="false">'Exogenous tax and expenses'!I124+SUM('Exogenous tax and expenses'!R124:V124)-SUM('Exogenous tax and expenses'!X124:AA124)</f>
        <v>-0.0128612648756429</v>
      </c>
      <c r="P124" s="456" t="n">
        <f aca="false">'Exogenous tax and expenses'!J124+SUM('Exogenous tax and expenses'!R124:V124)-SUM('Exogenous tax and expenses'!X124:AA124)</f>
        <v>-0.00936126487564289</v>
      </c>
      <c r="Q124" s="456" t="n">
        <f aca="false">'Exogenous tax and expenses'!K124+SUM('Exogenous tax and expenses'!R124:V124)-SUM('Exogenous tax and expenses'!X124:AA124)</f>
        <v>-0.0111612648756429</v>
      </c>
      <c r="R124" s="456" t="n">
        <f aca="false">'Exogenous tax and expenses'!R123</f>
        <v>0.00717368525436939</v>
      </c>
      <c r="S124" s="456" t="n">
        <f aca="false">'Exogenous tax and expenses'!S123</f>
        <v>0.00264884044328671</v>
      </c>
      <c r="T124" s="784" t="n">
        <f aca="false">'Exogenous tax and expenses'!T123</f>
        <v>0.000157308523483685</v>
      </c>
      <c r="U124" s="456" t="n">
        <f aca="false">U123</f>
        <v>0.0103842634031112</v>
      </c>
      <c r="V124" s="784" t="n">
        <f aca="false">'Exogenous tax and expenses'!V123</f>
        <v>0.0156925271106058</v>
      </c>
      <c r="W124" s="784"/>
      <c r="X124" s="784" t="n">
        <f aca="false">'Exogenous tax and expenses'!X123</f>
        <v>0.00191293753744961</v>
      </c>
      <c r="Y124" s="456" t="n">
        <f aca="false">'Exogenous tax and expenses'!Y123</f>
        <v>0.00262755013399756</v>
      </c>
      <c r="Z124" s="456" t="n">
        <f aca="false">'Exogenous tax and expenses'!Z123</f>
        <v>0.00695203916219706</v>
      </c>
      <c r="AA124" s="456" t="n">
        <f aca="false">'Exogenous tax and expenses'!AA123</f>
        <v>0.00152536277685544</v>
      </c>
    </row>
    <row r="125" customFormat="false" ht="15" hidden="false" customHeight="false" outlineLevel="0" collapsed="false">
      <c r="B125" s="796"/>
      <c r="C125" s="1" t="n">
        <f aca="false">'Exogenous tax and expenses'!C124+1</f>
        <v>2021</v>
      </c>
      <c r="D125" s="1"/>
      <c r="E125" s="1"/>
      <c r="F125" s="792" t="n">
        <v>-0.0373</v>
      </c>
      <c r="G125" s="792" t="n">
        <v>-0.0395</v>
      </c>
      <c r="H125" s="797" t="n">
        <v>-0.0336</v>
      </c>
      <c r="I125" s="797" t="n">
        <v>-0.0357</v>
      </c>
      <c r="J125" s="792" t="n">
        <v>-0.0309</v>
      </c>
      <c r="K125" s="792" t="n">
        <v>-0.033</v>
      </c>
      <c r="L125" s="456" t="n">
        <f aca="false">'Exogenous tax and expenses'!F125+SUM('Exogenous tax and expenses'!R125:V125)-SUM('Exogenous tax and expenses'!X125:AA125)</f>
        <v>-0.0142612648756429</v>
      </c>
      <c r="M125" s="456" t="n">
        <f aca="false">'Exogenous tax and expenses'!G125+SUM('Exogenous tax and expenses'!R125:V125)-SUM('Exogenous tax and expenses'!X125:AA125)</f>
        <v>-0.0164612648756429</v>
      </c>
      <c r="N125" s="456" t="n">
        <f aca="false">'Exogenous tax and expenses'!H125+SUM('Exogenous tax and expenses'!R125:V125)-SUM('Exogenous tax and expenses'!X125:AA125)</f>
        <v>-0.0105612648756429</v>
      </c>
      <c r="O125" s="456" t="n">
        <f aca="false">'Exogenous tax and expenses'!I125+SUM('Exogenous tax and expenses'!R125:V125)-SUM('Exogenous tax and expenses'!X125:AA125)</f>
        <v>-0.0126612648756429</v>
      </c>
      <c r="P125" s="456" t="n">
        <f aca="false">'Exogenous tax and expenses'!J125+SUM('Exogenous tax and expenses'!R125:V125)-SUM('Exogenous tax and expenses'!X125:AA125)</f>
        <v>-0.00786126487564289</v>
      </c>
      <c r="Q125" s="456" t="n">
        <f aca="false">'Exogenous tax and expenses'!K125+SUM('Exogenous tax and expenses'!R125:V125)-SUM('Exogenous tax and expenses'!X125:AA125)</f>
        <v>-0.00996126487564289</v>
      </c>
      <c r="R125" s="456" t="n">
        <f aca="false">'Exogenous tax and expenses'!R124</f>
        <v>0.00717368525436939</v>
      </c>
      <c r="S125" s="456" t="n">
        <f aca="false">'Exogenous tax and expenses'!S124</f>
        <v>0.00264884044328671</v>
      </c>
      <c r="T125" s="784" t="n">
        <f aca="false">'Exogenous tax and expenses'!T124</f>
        <v>0.000157308523483685</v>
      </c>
      <c r="U125" s="456" t="n">
        <f aca="false">U124</f>
        <v>0.0103842634031112</v>
      </c>
      <c r="V125" s="784" t="n">
        <f aca="false">'Exogenous tax and expenses'!V124</f>
        <v>0.0156925271106058</v>
      </c>
      <c r="W125" s="784"/>
      <c r="X125" s="784" t="n">
        <f aca="false">'Exogenous tax and expenses'!X124</f>
        <v>0.00191293753744961</v>
      </c>
      <c r="Y125" s="456" t="n">
        <f aca="false">'Exogenous tax and expenses'!Y124</f>
        <v>0.00262755013399756</v>
      </c>
      <c r="Z125" s="456" t="n">
        <f aca="false">'Exogenous tax and expenses'!Z124</f>
        <v>0.00695203916219706</v>
      </c>
      <c r="AA125" s="456" t="n">
        <f aca="false">'Exogenous tax and expenses'!AA124</f>
        <v>0.00152536277685544</v>
      </c>
    </row>
    <row r="126" customFormat="false" ht="15" hidden="false" customHeight="false" outlineLevel="0" collapsed="false">
      <c r="B126" s="796"/>
      <c r="C126" s="1" t="n">
        <f aca="false">'Exogenous tax and expenses'!C125+1</f>
        <v>2022</v>
      </c>
      <c r="D126" s="1"/>
      <c r="E126" s="1"/>
      <c r="F126" s="792" t="n">
        <v>-0.0369</v>
      </c>
      <c r="G126" s="792" t="n">
        <v>-0.0396</v>
      </c>
      <c r="H126" s="797" t="n">
        <v>-0.0328</v>
      </c>
      <c r="I126" s="797" t="n">
        <v>-0.0354</v>
      </c>
      <c r="J126" s="792" t="n">
        <v>-0.0298</v>
      </c>
      <c r="K126" s="792" t="n">
        <v>-0.0324</v>
      </c>
      <c r="L126" s="456" t="n">
        <f aca="false">'Exogenous tax and expenses'!F126+SUM('Exogenous tax and expenses'!R126:V126)-SUM('Exogenous tax and expenses'!X126:AA126)</f>
        <v>-0.0138612648756429</v>
      </c>
      <c r="M126" s="456" t="n">
        <f aca="false">'Exogenous tax and expenses'!G126+SUM('Exogenous tax and expenses'!R126:V126)-SUM('Exogenous tax and expenses'!X126:AA126)</f>
        <v>-0.0165612648756429</v>
      </c>
      <c r="N126" s="456" t="n">
        <f aca="false">'Exogenous tax and expenses'!H126+SUM('Exogenous tax and expenses'!R126:V126)-SUM('Exogenous tax and expenses'!X126:AA126)</f>
        <v>-0.00976126487564289</v>
      </c>
      <c r="O126" s="456" t="n">
        <f aca="false">'Exogenous tax and expenses'!I126+SUM('Exogenous tax and expenses'!R126:V126)-SUM('Exogenous tax and expenses'!X126:AA126)</f>
        <v>-0.0123612648756429</v>
      </c>
      <c r="P126" s="456" t="n">
        <f aca="false">'Exogenous tax and expenses'!J126+SUM('Exogenous tax and expenses'!R126:V126)-SUM('Exogenous tax and expenses'!X126:AA126)</f>
        <v>-0.00676126487564289</v>
      </c>
      <c r="Q126" s="456" t="n">
        <f aca="false">'Exogenous tax and expenses'!K126+SUM('Exogenous tax and expenses'!R126:V126)-SUM('Exogenous tax and expenses'!X126:AA126)</f>
        <v>-0.00936126487564289</v>
      </c>
      <c r="R126" s="456" t="n">
        <f aca="false">'Exogenous tax and expenses'!R125</f>
        <v>0.00717368525436939</v>
      </c>
      <c r="S126" s="456" t="n">
        <f aca="false">'Exogenous tax and expenses'!S125</f>
        <v>0.00264884044328671</v>
      </c>
      <c r="T126" s="784" t="n">
        <f aca="false">'Exogenous tax and expenses'!T125</f>
        <v>0.000157308523483685</v>
      </c>
      <c r="U126" s="456" t="n">
        <f aca="false">U125</f>
        <v>0.0103842634031112</v>
      </c>
      <c r="V126" s="784" t="n">
        <f aca="false">'Exogenous tax and expenses'!V125</f>
        <v>0.0156925271106058</v>
      </c>
      <c r="W126" s="784"/>
      <c r="X126" s="784" t="n">
        <f aca="false">'Exogenous tax and expenses'!X125</f>
        <v>0.00191293753744961</v>
      </c>
      <c r="Y126" s="456" t="n">
        <f aca="false">'Exogenous tax and expenses'!Y125</f>
        <v>0.00262755013399756</v>
      </c>
      <c r="Z126" s="456" t="n">
        <f aca="false">'Exogenous tax and expenses'!Z125</f>
        <v>0.00695203916219706</v>
      </c>
      <c r="AA126" s="456" t="n">
        <f aca="false">'Exogenous tax and expenses'!AA125</f>
        <v>0.00152536277685544</v>
      </c>
    </row>
    <row r="127" customFormat="false" ht="15" hidden="false" customHeight="false" outlineLevel="0" collapsed="false">
      <c r="B127" s="796"/>
      <c r="C127" s="1" t="n">
        <f aca="false">'Exogenous tax and expenses'!C126+1</f>
        <v>2023</v>
      </c>
      <c r="D127" s="1"/>
      <c r="E127" s="1"/>
      <c r="F127" s="792" t="n">
        <v>-0.0366</v>
      </c>
      <c r="G127" s="792" t="n">
        <v>-0.0397</v>
      </c>
      <c r="H127" s="797" t="n">
        <v>-0.0317</v>
      </c>
      <c r="I127" s="797" t="n">
        <v>-0.0348</v>
      </c>
      <c r="J127" s="792" t="n">
        <v>-0.0283</v>
      </c>
      <c r="K127" s="792" t="n">
        <v>-0.0313</v>
      </c>
      <c r="L127" s="456" t="n">
        <f aca="false">'Exogenous tax and expenses'!F127+SUM('Exogenous tax and expenses'!R127:V127)-SUM('Exogenous tax and expenses'!X127:AA127)</f>
        <v>-0.0135612648756429</v>
      </c>
      <c r="M127" s="456" t="n">
        <f aca="false">'Exogenous tax and expenses'!G127+SUM('Exogenous tax and expenses'!R127:V127)-SUM('Exogenous tax and expenses'!X127:AA127)</f>
        <v>-0.0166612648756429</v>
      </c>
      <c r="N127" s="456" t="n">
        <f aca="false">'Exogenous tax and expenses'!H127+SUM('Exogenous tax and expenses'!R127:V127)-SUM('Exogenous tax and expenses'!X127:AA127)</f>
        <v>-0.00866126487564289</v>
      </c>
      <c r="O127" s="456" t="n">
        <f aca="false">'Exogenous tax and expenses'!I127+SUM('Exogenous tax and expenses'!R127:V127)-SUM('Exogenous tax and expenses'!X127:AA127)</f>
        <v>-0.0117612648756429</v>
      </c>
      <c r="P127" s="456" t="n">
        <f aca="false">'Exogenous tax and expenses'!J127+SUM('Exogenous tax and expenses'!R127:V127)-SUM('Exogenous tax and expenses'!X127:AA127)</f>
        <v>-0.00526126487564289</v>
      </c>
      <c r="Q127" s="456" t="n">
        <f aca="false">'Exogenous tax and expenses'!K127+SUM('Exogenous tax and expenses'!R127:V127)-SUM('Exogenous tax and expenses'!X127:AA127)</f>
        <v>-0.00826126487564289</v>
      </c>
      <c r="R127" s="456" t="n">
        <f aca="false">'Exogenous tax and expenses'!R126</f>
        <v>0.00717368525436939</v>
      </c>
      <c r="S127" s="456" t="n">
        <f aca="false">'Exogenous tax and expenses'!S126</f>
        <v>0.00264884044328671</v>
      </c>
      <c r="T127" s="784" t="n">
        <f aca="false">'Exogenous tax and expenses'!T126</f>
        <v>0.000157308523483685</v>
      </c>
      <c r="U127" s="456" t="n">
        <f aca="false">U126</f>
        <v>0.0103842634031112</v>
      </c>
      <c r="V127" s="784" t="n">
        <f aca="false">'Exogenous tax and expenses'!V126</f>
        <v>0.0156925271106058</v>
      </c>
      <c r="W127" s="784"/>
      <c r="X127" s="784" t="n">
        <f aca="false">'Exogenous tax and expenses'!X126</f>
        <v>0.00191293753744961</v>
      </c>
      <c r="Y127" s="456" t="n">
        <f aca="false">'Exogenous tax and expenses'!Y126</f>
        <v>0.00262755013399756</v>
      </c>
      <c r="Z127" s="456" t="n">
        <f aca="false">'Exogenous tax and expenses'!Z126</f>
        <v>0.00695203916219706</v>
      </c>
      <c r="AA127" s="456" t="n">
        <f aca="false">'Exogenous tax and expenses'!AA126</f>
        <v>0.00152536277685544</v>
      </c>
    </row>
    <row r="128" customFormat="false" ht="15" hidden="false" customHeight="false" outlineLevel="0" collapsed="false">
      <c r="B128" s="796"/>
      <c r="C128" s="1" t="n">
        <f aca="false">'Exogenous tax and expenses'!C127+1</f>
        <v>2024</v>
      </c>
      <c r="D128" s="1"/>
      <c r="E128" s="1"/>
      <c r="F128" s="792" t="n">
        <v>-0.0358</v>
      </c>
      <c r="G128" s="792" t="n">
        <v>-0.0394</v>
      </c>
      <c r="H128" s="793" t="n">
        <v>-0.0316</v>
      </c>
      <c r="I128" s="793" t="n">
        <v>-0.0353</v>
      </c>
      <c r="J128" s="792" t="n">
        <v>-0.0279</v>
      </c>
      <c r="K128" s="792" t="n">
        <v>-0.0314</v>
      </c>
      <c r="L128" s="456" t="n">
        <f aca="false">'Exogenous tax and expenses'!F128+SUM('Exogenous tax and expenses'!R128:V128)-SUM('Exogenous tax and expenses'!X128:AA128)</f>
        <v>-0.0127612648756429</v>
      </c>
      <c r="M128" s="456" t="n">
        <f aca="false">'Exogenous tax and expenses'!G128+SUM('Exogenous tax and expenses'!R128:V128)-SUM('Exogenous tax and expenses'!X128:AA128)</f>
        <v>-0.0163612648756429</v>
      </c>
      <c r="N128" s="456" t="n">
        <f aca="false">'Exogenous tax and expenses'!H128+SUM('Exogenous tax and expenses'!R128:V128)-SUM('Exogenous tax and expenses'!X128:AA128)</f>
        <v>-0.00856126487564289</v>
      </c>
      <c r="O128" s="456" t="n">
        <f aca="false">'Exogenous tax and expenses'!I128+SUM('Exogenous tax and expenses'!R128:V128)-SUM('Exogenous tax and expenses'!X128:AA128)</f>
        <v>-0.0122612648756429</v>
      </c>
      <c r="P128" s="456" t="n">
        <f aca="false">'Exogenous tax and expenses'!J128+SUM('Exogenous tax and expenses'!R128:V128)-SUM('Exogenous tax and expenses'!X128:AA128)</f>
        <v>-0.00486126487564289</v>
      </c>
      <c r="Q128" s="456" t="n">
        <f aca="false">'Exogenous tax and expenses'!K128+SUM('Exogenous tax and expenses'!R128:V128)-SUM('Exogenous tax and expenses'!X128:AA128)</f>
        <v>-0.00836126487564289</v>
      </c>
      <c r="R128" s="456" t="n">
        <f aca="false">'Exogenous tax and expenses'!R127</f>
        <v>0.00717368525436939</v>
      </c>
      <c r="S128" s="456" t="n">
        <f aca="false">'Exogenous tax and expenses'!S127</f>
        <v>0.00264884044328671</v>
      </c>
      <c r="T128" s="784" t="n">
        <f aca="false">'Exogenous tax and expenses'!T127</f>
        <v>0.000157308523483685</v>
      </c>
      <c r="U128" s="456" t="n">
        <f aca="false">U127</f>
        <v>0.0103842634031112</v>
      </c>
      <c r="V128" s="784" t="n">
        <f aca="false">'Exogenous tax and expenses'!V127</f>
        <v>0.0156925271106058</v>
      </c>
      <c r="W128" s="784"/>
      <c r="X128" s="784" t="n">
        <f aca="false">'Exogenous tax and expenses'!X127</f>
        <v>0.00191293753744961</v>
      </c>
      <c r="Y128" s="456" t="n">
        <f aca="false">'Exogenous tax and expenses'!Y127</f>
        <v>0.00262755013399756</v>
      </c>
      <c r="Z128" s="456" t="n">
        <f aca="false">'Exogenous tax and expenses'!Z127</f>
        <v>0.00695203916219706</v>
      </c>
      <c r="AA128" s="456" t="n">
        <f aca="false">'Exogenous tax and expenses'!AA127</f>
        <v>0.00152536277685544</v>
      </c>
    </row>
    <row r="129" customFormat="false" ht="15" hidden="false" customHeight="false" outlineLevel="0" collapsed="false">
      <c r="B129" s="796"/>
      <c r="C129" s="1" t="n">
        <f aca="false">'Exogenous tax and expenses'!C128+1</f>
        <v>2025</v>
      </c>
      <c r="D129" s="1"/>
      <c r="E129" s="1"/>
      <c r="F129" s="792" t="n">
        <v>-0.0353</v>
      </c>
      <c r="G129" s="792" t="n">
        <v>-0.0403</v>
      </c>
      <c r="H129" s="798" t="n">
        <v>-0.0309</v>
      </c>
      <c r="I129" s="798" t="n">
        <v>-0.0358</v>
      </c>
      <c r="J129" s="792" t="n">
        <v>-0.027</v>
      </c>
      <c r="K129" s="792" t="n">
        <v>-0.0317</v>
      </c>
      <c r="L129" s="456" t="n">
        <f aca="false">'Exogenous tax and expenses'!F129+SUM('Exogenous tax and expenses'!R129:V129)-SUM('Exogenous tax and expenses'!X129:AA129)</f>
        <v>-0.0122612648756429</v>
      </c>
      <c r="M129" s="456" t="n">
        <f aca="false">'Exogenous tax and expenses'!G129+SUM('Exogenous tax and expenses'!R129:V129)-SUM('Exogenous tax and expenses'!X129:AA129)</f>
        <v>-0.0172612648756429</v>
      </c>
      <c r="N129" s="456" t="n">
        <f aca="false">'Exogenous tax and expenses'!H129+SUM('Exogenous tax and expenses'!R129:V129)-SUM('Exogenous tax and expenses'!X129:AA129)</f>
        <v>-0.00786126487564289</v>
      </c>
      <c r="O129" s="456" t="n">
        <f aca="false">'Exogenous tax and expenses'!I129+SUM('Exogenous tax and expenses'!R129:V129)-SUM('Exogenous tax and expenses'!X129:AA129)</f>
        <v>-0.0127612648756429</v>
      </c>
      <c r="P129" s="456" t="n">
        <f aca="false">'Exogenous tax and expenses'!J129+SUM('Exogenous tax and expenses'!R129:V129)-SUM('Exogenous tax and expenses'!X129:AA129)</f>
        <v>-0.00396126487564289</v>
      </c>
      <c r="Q129" s="456" t="n">
        <f aca="false">'Exogenous tax and expenses'!K129+SUM('Exogenous tax and expenses'!R129:V129)-SUM('Exogenous tax and expenses'!X129:AA129)</f>
        <v>-0.00866126487564289</v>
      </c>
      <c r="R129" s="456" t="n">
        <f aca="false">'Exogenous tax and expenses'!R128</f>
        <v>0.00717368525436939</v>
      </c>
      <c r="S129" s="456" t="n">
        <f aca="false">'Exogenous tax and expenses'!S128</f>
        <v>0.00264884044328671</v>
      </c>
      <c r="T129" s="784" t="n">
        <f aca="false">'Exogenous tax and expenses'!T128</f>
        <v>0.000157308523483685</v>
      </c>
      <c r="U129" s="456" t="n">
        <f aca="false">U128</f>
        <v>0.0103842634031112</v>
      </c>
      <c r="V129" s="784" t="n">
        <f aca="false">'Exogenous tax and expenses'!V128</f>
        <v>0.0156925271106058</v>
      </c>
      <c r="W129" s="784"/>
      <c r="X129" s="784" t="n">
        <f aca="false">'Exogenous tax and expenses'!X128</f>
        <v>0.00191293753744961</v>
      </c>
      <c r="Y129" s="456" t="n">
        <f aca="false">'Exogenous tax and expenses'!Y128</f>
        <v>0.00262755013399756</v>
      </c>
      <c r="Z129" s="456" t="n">
        <f aca="false">'Exogenous tax and expenses'!Z128</f>
        <v>0.00695203916219706</v>
      </c>
      <c r="AA129" s="456" t="n">
        <f aca="false">'Exogenous tax and expenses'!AA128</f>
        <v>0.00152536277685544</v>
      </c>
    </row>
    <row r="130" customFormat="false" ht="15" hidden="false" customHeight="false" outlineLevel="0" collapsed="false">
      <c r="B130" s="796"/>
      <c r="C130" s="1" t="n">
        <f aca="false">'Exogenous tax and expenses'!C129+1</f>
        <v>2026</v>
      </c>
      <c r="D130" s="1"/>
      <c r="E130" s="1"/>
      <c r="F130" s="792" t="n">
        <v>-0.0354</v>
      </c>
      <c r="G130" s="792" t="n">
        <v>-0.0417</v>
      </c>
      <c r="H130" s="798" t="n">
        <v>-0.0305</v>
      </c>
      <c r="I130" s="798" t="n">
        <v>-0.0368</v>
      </c>
      <c r="J130" s="792" t="n">
        <v>-0.0261</v>
      </c>
      <c r="K130" s="792" t="n">
        <v>-0.0321</v>
      </c>
      <c r="L130" s="456" t="n">
        <f aca="false">'Exogenous tax and expenses'!F130+SUM('Exogenous tax and expenses'!R130:V130)-SUM('Exogenous tax and expenses'!X130:AA130)</f>
        <v>-0.0123612648756429</v>
      </c>
      <c r="M130" s="456" t="n">
        <f aca="false">'Exogenous tax and expenses'!G130+SUM('Exogenous tax and expenses'!R130:V130)-SUM('Exogenous tax and expenses'!X130:AA130)</f>
        <v>-0.0186612648756429</v>
      </c>
      <c r="N130" s="456" t="n">
        <f aca="false">'Exogenous tax and expenses'!H130+SUM('Exogenous tax and expenses'!R130:V130)-SUM('Exogenous tax and expenses'!X130:AA130)</f>
        <v>-0.00746126487564289</v>
      </c>
      <c r="O130" s="456" t="n">
        <f aca="false">'Exogenous tax and expenses'!I130+SUM('Exogenous tax and expenses'!R130:V130)-SUM('Exogenous tax and expenses'!X130:AA130)</f>
        <v>-0.0137612648756429</v>
      </c>
      <c r="P130" s="456" t="n">
        <f aca="false">'Exogenous tax and expenses'!J130+SUM('Exogenous tax and expenses'!R130:V130)-SUM('Exogenous tax and expenses'!X130:AA130)</f>
        <v>-0.00306126487564289</v>
      </c>
      <c r="Q130" s="456" t="n">
        <f aca="false">'Exogenous tax and expenses'!K130+SUM('Exogenous tax and expenses'!R130:V130)-SUM('Exogenous tax and expenses'!X130:AA130)</f>
        <v>-0.00906126487564289</v>
      </c>
      <c r="R130" s="456" t="n">
        <f aca="false">'Exogenous tax and expenses'!R129</f>
        <v>0.00717368525436939</v>
      </c>
      <c r="S130" s="456" t="n">
        <f aca="false">'Exogenous tax and expenses'!S129</f>
        <v>0.00264884044328671</v>
      </c>
      <c r="T130" s="784" t="n">
        <f aca="false">'Exogenous tax and expenses'!T129</f>
        <v>0.000157308523483685</v>
      </c>
      <c r="U130" s="456" t="n">
        <f aca="false">U129</f>
        <v>0.0103842634031112</v>
      </c>
      <c r="V130" s="784" t="n">
        <f aca="false">'Exogenous tax and expenses'!V129</f>
        <v>0.0156925271106058</v>
      </c>
      <c r="W130" s="784"/>
      <c r="X130" s="784" t="n">
        <f aca="false">'Exogenous tax and expenses'!X129</f>
        <v>0.00191293753744961</v>
      </c>
      <c r="Y130" s="456" t="n">
        <f aca="false">'Exogenous tax and expenses'!Y129</f>
        <v>0.00262755013399756</v>
      </c>
      <c r="Z130" s="456" t="n">
        <f aca="false">'Exogenous tax and expenses'!Z129</f>
        <v>0.00695203916219706</v>
      </c>
      <c r="AA130" s="456" t="n">
        <f aca="false">'Exogenous tax and expenses'!AA129</f>
        <v>0.00152536277685544</v>
      </c>
    </row>
    <row r="131" customFormat="false" ht="15" hidden="false" customHeight="false" outlineLevel="0" collapsed="false">
      <c r="B131" s="796"/>
      <c r="C131" s="1" t="n">
        <f aca="false">'Exogenous tax and expenses'!C130+1</f>
        <v>2027</v>
      </c>
      <c r="D131" s="1"/>
      <c r="E131" s="1"/>
      <c r="F131" s="792" t="n">
        <v>-0.0349</v>
      </c>
      <c r="G131" s="792" t="n">
        <v>-0.0426</v>
      </c>
      <c r="H131" s="798" t="n">
        <v>-0.0299</v>
      </c>
      <c r="I131" s="798" t="n">
        <v>-0.0377</v>
      </c>
      <c r="J131" s="792" t="n">
        <v>-0.0246</v>
      </c>
      <c r="K131" s="792" t="n">
        <v>-0.032</v>
      </c>
      <c r="L131" s="456" t="n">
        <f aca="false">'Exogenous tax and expenses'!F131+SUM('Exogenous tax and expenses'!R131:V131)-SUM('Exogenous tax and expenses'!X131:AA131)</f>
        <v>-0.0118612648756429</v>
      </c>
      <c r="M131" s="456" t="n">
        <f aca="false">'Exogenous tax and expenses'!G131+SUM('Exogenous tax and expenses'!R131:V131)-SUM('Exogenous tax and expenses'!X131:AA131)</f>
        <v>-0.0195612648756429</v>
      </c>
      <c r="N131" s="456" t="n">
        <f aca="false">'Exogenous tax and expenses'!H131+SUM('Exogenous tax and expenses'!R131:V131)-SUM('Exogenous tax and expenses'!X131:AA131)</f>
        <v>-0.00686126487564289</v>
      </c>
      <c r="O131" s="456" t="n">
        <f aca="false">'Exogenous tax and expenses'!I131+SUM('Exogenous tax and expenses'!R131:V131)-SUM('Exogenous tax and expenses'!X131:AA131)</f>
        <v>-0.0146612648756429</v>
      </c>
      <c r="P131" s="456" t="n">
        <f aca="false">'Exogenous tax and expenses'!J131+SUM('Exogenous tax and expenses'!R131:V131)-SUM('Exogenous tax and expenses'!X131:AA131)</f>
        <v>-0.00156126487564289</v>
      </c>
      <c r="Q131" s="456" t="n">
        <f aca="false">'Exogenous tax and expenses'!K131+SUM('Exogenous tax and expenses'!R131:V131)-SUM('Exogenous tax and expenses'!X131:AA131)</f>
        <v>-0.00896126487564289</v>
      </c>
      <c r="R131" s="456" t="n">
        <f aca="false">'Exogenous tax and expenses'!R130</f>
        <v>0.00717368525436939</v>
      </c>
      <c r="S131" s="456" t="n">
        <f aca="false">'Exogenous tax and expenses'!S130</f>
        <v>0.00264884044328671</v>
      </c>
      <c r="T131" s="784" t="n">
        <f aca="false">'Exogenous tax and expenses'!T130</f>
        <v>0.000157308523483685</v>
      </c>
      <c r="U131" s="456" t="n">
        <f aca="false">U130</f>
        <v>0.0103842634031112</v>
      </c>
      <c r="V131" s="784" t="n">
        <f aca="false">'Exogenous tax and expenses'!V130</f>
        <v>0.0156925271106058</v>
      </c>
      <c r="W131" s="784"/>
      <c r="X131" s="784" t="n">
        <f aca="false">'Exogenous tax and expenses'!X130</f>
        <v>0.00191293753744961</v>
      </c>
      <c r="Y131" s="456" t="n">
        <f aca="false">'Exogenous tax and expenses'!Y130</f>
        <v>0.00262755013399756</v>
      </c>
      <c r="Z131" s="456" t="n">
        <f aca="false">'Exogenous tax and expenses'!Z130</f>
        <v>0.00695203916219706</v>
      </c>
      <c r="AA131" s="456" t="n">
        <f aca="false">'Exogenous tax and expenses'!AA130</f>
        <v>0.00152536277685544</v>
      </c>
    </row>
    <row r="132" customFormat="false" ht="15" hidden="false" customHeight="false" outlineLevel="0" collapsed="false">
      <c r="B132" s="796"/>
      <c r="C132" s="1" t="n">
        <f aca="false">'Exogenous tax and expenses'!C131+1</f>
        <v>2028</v>
      </c>
      <c r="D132" s="1"/>
      <c r="E132" s="1"/>
      <c r="F132" s="792" t="n">
        <v>-0.0338</v>
      </c>
      <c r="G132" s="792" t="n">
        <v>-0.043</v>
      </c>
      <c r="H132" s="798" t="n">
        <v>-0.0283</v>
      </c>
      <c r="I132" s="798" t="n">
        <v>-0.0375</v>
      </c>
      <c r="J132" s="792" t="n">
        <v>-0.0226</v>
      </c>
      <c r="K132" s="792" t="n">
        <v>-0.0314</v>
      </c>
      <c r="L132" s="456" t="n">
        <f aca="false">'Exogenous tax and expenses'!F132+SUM('Exogenous tax and expenses'!R132:V132)-SUM('Exogenous tax and expenses'!X132:AA132)</f>
        <v>-0.00923590209878745</v>
      </c>
      <c r="M132" s="456" t="n">
        <f aca="false">'Exogenous tax and expenses'!G132+SUM('Exogenous tax and expenses'!R132:V132)-SUM('Exogenous tax and expenses'!X132:AA132)</f>
        <v>-0.0184359020987874</v>
      </c>
      <c r="N132" s="456" t="n">
        <f aca="false">'Exogenous tax and expenses'!H132+SUM('Exogenous tax and expenses'!R132:V132)-SUM('Exogenous tax and expenses'!X132:AA132)</f>
        <v>-0.00373590209878745</v>
      </c>
      <c r="O132" s="456" t="n">
        <f aca="false">'Exogenous tax and expenses'!I132+SUM('Exogenous tax and expenses'!R132:V132)-SUM('Exogenous tax and expenses'!X132:AA132)</f>
        <v>-0.0129359020987874</v>
      </c>
      <c r="P132" s="456" t="n">
        <f aca="false">'Exogenous tax and expenses'!J132+SUM('Exogenous tax and expenses'!R132:V132)-SUM('Exogenous tax and expenses'!X132:AA132)</f>
        <v>0.00196409790121255</v>
      </c>
      <c r="Q132" s="456" t="n">
        <f aca="false">'Exogenous tax and expenses'!K132+SUM('Exogenous tax and expenses'!R132:V132)-SUM('Exogenous tax and expenses'!X132:AA132)</f>
        <v>-0.00683590209878745</v>
      </c>
      <c r="R132" s="456" t="n">
        <f aca="false">'Exogenous tax and expenses'!R131</f>
        <v>0.00717368525436939</v>
      </c>
      <c r="S132" s="456" t="n">
        <f aca="false">'Exogenous tax and expenses'!S131</f>
        <v>0.00264884044328671</v>
      </c>
      <c r="T132" s="784" t="n">
        <f aca="false">'Exogenous tax and expenses'!T131</f>
        <v>0.000157308523483685</v>
      </c>
      <c r="U132" s="456" t="n">
        <f aca="false">U131</f>
        <v>0.0103842634031112</v>
      </c>
      <c r="V132" s="784" t="n">
        <f aca="false">'Exogenous tax and expenses'!V131</f>
        <v>0.0156925271106058</v>
      </c>
      <c r="W132" s="784"/>
      <c r="X132" s="784" t="n">
        <f aca="false">'Exogenous tax and expenses'!X131</f>
        <v>0.00191293753744961</v>
      </c>
      <c r="Y132" s="456" t="n">
        <f aca="false">'Exogenous tax and expenses'!Y131</f>
        <v>0.00262755013399756</v>
      </c>
      <c r="Z132" s="456" t="n">
        <f aca="false">'Exogenous tax and expenses'!Z131</f>
        <v>0.00695203916219706</v>
      </c>
      <c r="AA132" s="1" t="n">
        <v>0</v>
      </c>
    </row>
    <row r="133" customFormat="false" ht="15" hidden="false" customHeight="false" outlineLevel="0" collapsed="false">
      <c r="B133" s="796"/>
      <c r="C133" s="1" t="n">
        <f aca="false">'Exogenous tax and expenses'!C132+1</f>
        <v>2029</v>
      </c>
      <c r="D133" s="1"/>
      <c r="E133" s="1"/>
      <c r="F133" s="792" t="n">
        <v>-0.0328</v>
      </c>
      <c r="G133" s="792" t="n">
        <v>-0.0433</v>
      </c>
      <c r="H133" s="798" t="n">
        <v>-0.0273</v>
      </c>
      <c r="I133" s="798" t="n">
        <v>-0.0377</v>
      </c>
      <c r="J133" s="792" t="n">
        <v>-0.0212</v>
      </c>
      <c r="K133" s="792" t="n">
        <v>-0.0312</v>
      </c>
      <c r="L133" s="456" t="n">
        <f aca="false">'Exogenous tax and expenses'!F133+SUM('Exogenous tax and expenses'!R133:V133)-SUM('Exogenous tax and expenses'!X133:AA133)</f>
        <v>-0.00823590209878745</v>
      </c>
      <c r="M133" s="456" t="n">
        <f aca="false">'Exogenous tax and expenses'!G133+SUM('Exogenous tax and expenses'!R133:V133)-SUM('Exogenous tax and expenses'!X133:AA133)</f>
        <v>-0.0187359020987875</v>
      </c>
      <c r="N133" s="456" t="n">
        <f aca="false">'Exogenous tax and expenses'!H133+SUM('Exogenous tax and expenses'!R133:V133)-SUM('Exogenous tax and expenses'!X133:AA133)</f>
        <v>-0.00273590209878745</v>
      </c>
      <c r="O133" s="456" t="n">
        <f aca="false">'Exogenous tax and expenses'!I133+SUM('Exogenous tax and expenses'!R133:V133)-SUM('Exogenous tax and expenses'!X133:AA133)</f>
        <v>-0.0131359020987875</v>
      </c>
      <c r="P133" s="456" t="n">
        <f aca="false">'Exogenous tax and expenses'!J133+SUM('Exogenous tax and expenses'!R133:V133)-SUM('Exogenous tax and expenses'!X133:AA133)</f>
        <v>0.00336409790121255</v>
      </c>
      <c r="Q133" s="456" t="n">
        <f aca="false">'Exogenous tax and expenses'!K133+SUM('Exogenous tax and expenses'!R133:V133)-SUM('Exogenous tax and expenses'!X133:AA133)</f>
        <v>-0.00663590209878745</v>
      </c>
      <c r="R133" s="456" t="n">
        <f aca="false">'Exogenous tax and expenses'!R132</f>
        <v>0.00717368525436939</v>
      </c>
      <c r="S133" s="456" t="n">
        <f aca="false">'Exogenous tax and expenses'!S132</f>
        <v>0.00264884044328671</v>
      </c>
      <c r="T133" s="784" t="n">
        <f aca="false">'Exogenous tax and expenses'!T132</f>
        <v>0.000157308523483685</v>
      </c>
      <c r="U133" s="456" t="n">
        <f aca="false">U132</f>
        <v>0.0103842634031112</v>
      </c>
      <c r="V133" s="784" t="n">
        <f aca="false">'Exogenous tax and expenses'!V132</f>
        <v>0.0156925271106058</v>
      </c>
      <c r="W133" s="784"/>
      <c r="X133" s="784" t="n">
        <f aca="false">'Exogenous tax and expenses'!X132</f>
        <v>0.00191293753744961</v>
      </c>
      <c r="Y133" s="456" t="n">
        <f aca="false">'Exogenous tax and expenses'!Y132</f>
        <v>0.00262755013399756</v>
      </c>
      <c r="Z133" s="456" t="n">
        <f aca="false">'Exogenous tax and expenses'!Z132</f>
        <v>0.00695203916219706</v>
      </c>
      <c r="AA133" s="1" t="n">
        <v>0</v>
      </c>
    </row>
    <row r="134" customFormat="false" ht="15" hidden="false" customHeight="false" outlineLevel="0" collapsed="false">
      <c r="B134" s="796"/>
      <c r="C134" s="1" t="n">
        <f aca="false">'Exogenous tax and expenses'!C133+1</f>
        <v>2030</v>
      </c>
      <c r="D134" s="1"/>
      <c r="E134" s="1"/>
      <c r="F134" s="792" t="n">
        <v>-0.0328</v>
      </c>
      <c r="G134" s="792" t="n">
        <v>-0.0445</v>
      </c>
      <c r="H134" s="798" t="n">
        <v>-0.0271</v>
      </c>
      <c r="I134" s="798" t="n">
        <v>-0.0388</v>
      </c>
      <c r="J134" s="792" t="n">
        <v>-0.0212</v>
      </c>
      <c r="K134" s="792" t="n">
        <v>-0.0323</v>
      </c>
      <c r="L134" s="456" t="n">
        <f aca="false">'Exogenous tax and expenses'!F134+SUM('Exogenous tax and expenses'!R134:V134)-SUM('Exogenous tax and expenses'!X134:AA134)</f>
        <v>-0.00823590209878745</v>
      </c>
      <c r="M134" s="456" t="n">
        <f aca="false">'Exogenous tax and expenses'!G134+SUM('Exogenous tax and expenses'!R134:V134)-SUM('Exogenous tax and expenses'!X134:AA134)</f>
        <v>-0.0199359020987874</v>
      </c>
      <c r="N134" s="456" t="n">
        <f aca="false">'Exogenous tax and expenses'!H134+SUM('Exogenous tax and expenses'!R134:V134)-SUM('Exogenous tax and expenses'!X134:AA134)</f>
        <v>-0.00253590209878745</v>
      </c>
      <c r="O134" s="456" t="n">
        <f aca="false">'Exogenous tax and expenses'!I134+SUM('Exogenous tax and expenses'!R134:V134)-SUM('Exogenous tax and expenses'!X134:AA134)</f>
        <v>-0.0142359020987874</v>
      </c>
      <c r="P134" s="456" t="n">
        <f aca="false">'Exogenous tax and expenses'!J134+SUM('Exogenous tax and expenses'!R134:V134)-SUM('Exogenous tax and expenses'!X134:AA134)</f>
        <v>0.00336409790121255</v>
      </c>
      <c r="Q134" s="456" t="n">
        <f aca="false">'Exogenous tax and expenses'!K134+SUM('Exogenous tax and expenses'!R134:V134)-SUM('Exogenous tax and expenses'!X134:AA134)</f>
        <v>-0.00773590209878745</v>
      </c>
      <c r="R134" s="456" t="n">
        <f aca="false">'Exogenous tax and expenses'!R133</f>
        <v>0.00717368525436939</v>
      </c>
      <c r="S134" s="456" t="n">
        <f aca="false">'Exogenous tax and expenses'!S133</f>
        <v>0.00264884044328671</v>
      </c>
      <c r="T134" s="784" t="n">
        <f aca="false">'Exogenous tax and expenses'!T133</f>
        <v>0.000157308523483685</v>
      </c>
      <c r="U134" s="456" t="n">
        <f aca="false">U133</f>
        <v>0.0103842634031112</v>
      </c>
      <c r="V134" s="784" t="n">
        <f aca="false">'Exogenous tax and expenses'!V133</f>
        <v>0.0156925271106058</v>
      </c>
      <c r="W134" s="784"/>
      <c r="X134" s="784" t="n">
        <f aca="false">'Exogenous tax and expenses'!X133</f>
        <v>0.00191293753744961</v>
      </c>
      <c r="Y134" s="456" t="n">
        <f aca="false">'Exogenous tax and expenses'!Y133</f>
        <v>0.00262755013399756</v>
      </c>
      <c r="Z134" s="456" t="n">
        <f aca="false">'Exogenous tax and expenses'!Z133</f>
        <v>0.00695203916219706</v>
      </c>
      <c r="AA134" s="1" t="n">
        <v>0</v>
      </c>
    </row>
    <row r="135" customFormat="false" ht="15" hidden="false" customHeight="false" outlineLevel="0" collapsed="false">
      <c r="B135" s="796"/>
      <c r="C135" s="1" t="n">
        <f aca="false">'Exogenous tax and expenses'!C134+1</f>
        <v>2031</v>
      </c>
      <c r="D135" s="1"/>
      <c r="E135" s="1"/>
      <c r="F135" s="792" t="n">
        <v>-0.0316</v>
      </c>
      <c r="G135" s="792" t="n">
        <v>-0.0446</v>
      </c>
      <c r="H135" s="798" t="n">
        <v>-0.0271</v>
      </c>
      <c r="I135" s="798" t="n">
        <v>-0.0397</v>
      </c>
      <c r="J135" s="792" t="n">
        <v>-0.0213</v>
      </c>
      <c r="K135" s="792" t="n">
        <v>-0.0335</v>
      </c>
      <c r="L135" s="456" t="n">
        <f aca="false">'Exogenous tax and expenses'!F135+SUM('Exogenous tax and expenses'!R135:V135)-SUM('Exogenous tax and expenses'!X135:AA135)</f>
        <v>-0.00703590209878745</v>
      </c>
      <c r="M135" s="456" t="n">
        <f aca="false">'Exogenous tax and expenses'!G135+SUM('Exogenous tax and expenses'!R135:V135)-SUM('Exogenous tax and expenses'!X135:AA135)</f>
        <v>-0.0200359020987874</v>
      </c>
      <c r="N135" s="456" t="n">
        <f aca="false">'Exogenous tax and expenses'!H135+SUM('Exogenous tax and expenses'!R135:V135)-SUM('Exogenous tax and expenses'!X135:AA135)</f>
        <v>-0.00253590209878745</v>
      </c>
      <c r="O135" s="456" t="n">
        <f aca="false">'Exogenous tax and expenses'!I135+SUM('Exogenous tax and expenses'!R135:V135)-SUM('Exogenous tax and expenses'!X135:AA135)</f>
        <v>-0.0151359020987874</v>
      </c>
      <c r="P135" s="456" t="n">
        <f aca="false">'Exogenous tax and expenses'!J135+SUM('Exogenous tax and expenses'!R135:V135)-SUM('Exogenous tax and expenses'!X135:AA135)</f>
        <v>0.00326409790121255</v>
      </c>
      <c r="Q135" s="456" t="n">
        <f aca="false">'Exogenous tax and expenses'!K135+SUM('Exogenous tax and expenses'!R135:V135)-SUM('Exogenous tax and expenses'!X135:AA135)</f>
        <v>-0.00893590209878745</v>
      </c>
      <c r="R135" s="456" t="n">
        <f aca="false">'Exogenous tax and expenses'!R134</f>
        <v>0.00717368525436939</v>
      </c>
      <c r="S135" s="456" t="n">
        <f aca="false">'Exogenous tax and expenses'!S134</f>
        <v>0.00264884044328671</v>
      </c>
      <c r="T135" s="784" t="n">
        <f aca="false">'Exogenous tax and expenses'!T134</f>
        <v>0.000157308523483685</v>
      </c>
      <c r="U135" s="456" t="n">
        <f aca="false">U134</f>
        <v>0.0103842634031112</v>
      </c>
      <c r="V135" s="784" t="n">
        <f aca="false">'Exogenous tax and expenses'!V134</f>
        <v>0.0156925271106058</v>
      </c>
      <c r="W135" s="784"/>
      <c r="X135" s="784" t="n">
        <f aca="false">'Exogenous tax and expenses'!X134</f>
        <v>0.00191293753744961</v>
      </c>
      <c r="Y135" s="456" t="n">
        <f aca="false">'Exogenous tax and expenses'!Y134</f>
        <v>0.00262755013399756</v>
      </c>
      <c r="Z135" s="456" t="n">
        <f aca="false">'Exogenous tax and expenses'!Z134</f>
        <v>0.00695203916219706</v>
      </c>
      <c r="AA135" s="1" t="n">
        <v>0</v>
      </c>
    </row>
    <row r="136" customFormat="false" ht="15" hidden="false" customHeight="false" outlineLevel="0" collapsed="false">
      <c r="B136" s="796"/>
      <c r="C136" s="1" t="n">
        <f aca="false">'Exogenous tax and expenses'!C135+1</f>
        <v>2032</v>
      </c>
      <c r="D136" s="1"/>
      <c r="E136" s="1"/>
      <c r="F136" s="792" t="n">
        <v>-0.0315</v>
      </c>
      <c r="G136" s="792" t="n">
        <v>-0.0458</v>
      </c>
      <c r="H136" s="798" t="n">
        <v>-0.0279</v>
      </c>
      <c r="I136" s="798" t="n">
        <v>-0.0417</v>
      </c>
      <c r="J136" s="792" t="n">
        <v>-0.0221</v>
      </c>
      <c r="K136" s="792" t="n">
        <v>-0.0355</v>
      </c>
      <c r="L136" s="456" t="n">
        <f aca="false">'Exogenous tax and expenses'!F136+SUM('Exogenous tax and expenses'!R136:V136)-SUM('Exogenous tax and expenses'!X136:AA136)</f>
        <v>-0.00693590209878745</v>
      </c>
      <c r="M136" s="456" t="n">
        <f aca="false">'Exogenous tax and expenses'!G136+SUM('Exogenous tax and expenses'!R136:V136)-SUM('Exogenous tax and expenses'!X136:AA136)</f>
        <v>-0.0212359020987874</v>
      </c>
      <c r="N136" s="456" t="n">
        <f aca="false">'Exogenous tax and expenses'!H136+SUM('Exogenous tax and expenses'!R136:V136)-SUM('Exogenous tax and expenses'!X136:AA136)</f>
        <v>-0.00333590209878745</v>
      </c>
      <c r="O136" s="456" t="n">
        <f aca="false">'Exogenous tax and expenses'!I136+SUM('Exogenous tax and expenses'!R136:V136)-SUM('Exogenous tax and expenses'!X136:AA136)</f>
        <v>-0.0171359020987874</v>
      </c>
      <c r="P136" s="456" t="n">
        <f aca="false">'Exogenous tax and expenses'!J136+SUM('Exogenous tax and expenses'!R136:V136)-SUM('Exogenous tax and expenses'!X136:AA136)</f>
        <v>0.00246409790121255</v>
      </c>
      <c r="Q136" s="456" t="n">
        <f aca="false">'Exogenous tax and expenses'!K136+SUM('Exogenous tax and expenses'!R136:V136)-SUM('Exogenous tax and expenses'!X136:AA136)</f>
        <v>-0.0109359020987874</v>
      </c>
      <c r="R136" s="456" t="n">
        <f aca="false">'Exogenous tax and expenses'!R135</f>
        <v>0.00717368525436939</v>
      </c>
      <c r="S136" s="456" t="n">
        <f aca="false">'Exogenous tax and expenses'!S135</f>
        <v>0.00264884044328671</v>
      </c>
      <c r="T136" s="784" t="n">
        <f aca="false">'Exogenous tax and expenses'!T135</f>
        <v>0.000157308523483685</v>
      </c>
      <c r="U136" s="456" t="n">
        <f aca="false">U135</f>
        <v>0.0103842634031112</v>
      </c>
      <c r="V136" s="784" t="n">
        <f aca="false">'Exogenous tax and expenses'!V135</f>
        <v>0.0156925271106058</v>
      </c>
      <c r="W136" s="784"/>
      <c r="X136" s="784" t="n">
        <f aca="false">'Exogenous tax and expenses'!X135</f>
        <v>0.00191293753744961</v>
      </c>
      <c r="Y136" s="456" t="n">
        <f aca="false">'Exogenous tax and expenses'!Y135</f>
        <v>0.00262755013399756</v>
      </c>
      <c r="Z136" s="456" t="n">
        <f aca="false">'Exogenous tax and expenses'!Z135</f>
        <v>0.00695203916219706</v>
      </c>
      <c r="AA136" s="1" t="n">
        <v>0</v>
      </c>
    </row>
    <row r="137" customFormat="false" ht="15" hidden="false" customHeight="false" outlineLevel="0" collapsed="false">
      <c r="B137" s="796"/>
      <c r="C137" s="1" t="n">
        <f aca="false">'Exogenous tax and expenses'!C136+1</f>
        <v>2033</v>
      </c>
      <c r="D137" s="1"/>
      <c r="E137" s="1"/>
      <c r="F137" s="792" t="n">
        <v>-0.0315</v>
      </c>
      <c r="G137" s="792" t="n">
        <v>-0.047</v>
      </c>
      <c r="H137" s="798" t="n">
        <v>-0.0289</v>
      </c>
      <c r="I137" s="798" t="n">
        <v>-0.044</v>
      </c>
      <c r="J137" s="792" t="n">
        <v>-0.0222</v>
      </c>
      <c r="K137" s="792" t="n">
        <v>-0.0367</v>
      </c>
      <c r="L137" s="456" t="n">
        <f aca="false">'Exogenous tax and expenses'!F137+SUM('Exogenous tax and expenses'!R137:V137)-SUM('Exogenous tax and expenses'!X137:AA137)</f>
        <v>-0.00693590209878745</v>
      </c>
      <c r="M137" s="456" t="n">
        <f aca="false">'Exogenous tax and expenses'!G137+SUM('Exogenous tax and expenses'!R137:V137)-SUM('Exogenous tax and expenses'!X137:AA137)</f>
        <v>-0.0224359020987874</v>
      </c>
      <c r="N137" s="456" t="n">
        <f aca="false">'Exogenous tax and expenses'!H137+SUM('Exogenous tax and expenses'!R137:V137)-SUM('Exogenous tax and expenses'!X137:AA137)</f>
        <v>-0.00433590209878745</v>
      </c>
      <c r="O137" s="456" t="n">
        <f aca="false">'Exogenous tax and expenses'!I137+SUM('Exogenous tax and expenses'!R137:V137)-SUM('Exogenous tax and expenses'!X137:AA137)</f>
        <v>-0.0194359020987874</v>
      </c>
      <c r="P137" s="456" t="n">
        <f aca="false">'Exogenous tax and expenses'!J137+SUM('Exogenous tax and expenses'!R137:V137)-SUM('Exogenous tax and expenses'!X137:AA137)</f>
        <v>0.00236409790121255</v>
      </c>
      <c r="Q137" s="456" t="n">
        <f aca="false">'Exogenous tax and expenses'!K137+SUM('Exogenous tax and expenses'!R137:V137)-SUM('Exogenous tax and expenses'!X137:AA137)</f>
        <v>-0.0121359020987875</v>
      </c>
      <c r="R137" s="456" t="n">
        <f aca="false">'Exogenous tax and expenses'!R136</f>
        <v>0.00717368525436939</v>
      </c>
      <c r="S137" s="456" t="n">
        <f aca="false">'Exogenous tax and expenses'!S136</f>
        <v>0.00264884044328671</v>
      </c>
      <c r="T137" s="784" t="n">
        <f aca="false">'Exogenous tax and expenses'!T136</f>
        <v>0.000157308523483685</v>
      </c>
      <c r="U137" s="456" t="n">
        <f aca="false">U136</f>
        <v>0.0103842634031112</v>
      </c>
      <c r="V137" s="784" t="n">
        <f aca="false">'Exogenous tax and expenses'!V136</f>
        <v>0.0156925271106058</v>
      </c>
      <c r="W137" s="784"/>
      <c r="X137" s="784" t="n">
        <f aca="false">'Exogenous tax and expenses'!X136</f>
        <v>0.00191293753744961</v>
      </c>
      <c r="Y137" s="456" t="n">
        <f aca="false">'Exogenous tax and expenses'!Y136</f>
        <v>0.00262755013399756</v>
      </c>
      <c r="Z137" s="456" t="n">
        <f aca="false">'Exogenous tax and expenses'!Z136</f>
        <v>0.00695203916219706</v>
      </c>
      <c r="AA137" s="1" t="n">
        <v>0</v>
      </c>
    </row>
    <row r="138" customFormat="false" ht="15" hidden="false" customHeight="false" outlineLevel="0" collapsed="false">
      <c r="B138" s="796"/>
      <c r="C138" s="1" t="n">
        <f aca="false">'Exogenous tax and expenses'!C137+1</f>
        <v>2034</v>
      </c>
      <c r="D138" s="1"/>
      <c r="E138" s="1"/>
      <c r="F138" s="792" t="n">
        <v>-0.0314</v>
      </c>
      <c r="G138" s="792" t="n">
        <v>-0.0481</v>
      </c>
      <c r="H138" s="798" t="n">
        <v>-0.0293</v>
      </c>
      <c r="I138" s="798" t="n">
        <v>-0.0455</v>
      </c>
      <c r="J138" s="792" t="n">
        <v>-0.0219</v>
      </c>
      <c r="K138" s="792" t="n">
        <v>-0.0376</v>
      </c>
      <c r="L138" s="456" t="n">
        <f aca="false">'Exogenous tax and expenses'!F138+SUM('Exogenous tax and expenses'!R138:V138)-SUM('Exogenous tax and expenses'!X138:AA138)</f>
        <v>-0.00683590209878745</v>
      </c>
      <c r="M138" s="456" t="n">
        <f aca="false">'Exogenous tax and expenses'!G138+SUM('Exogenous tax and expenses'!R138:V138)-SUM('Exogenous tax and expenses'!X138:AA138)</f>
        <v>-0.0235359020987874</v>
      </c>
      <c r="N138" s="456" t="n">
        <f aca="false">'Exogenous tax and expenses'!H138+SUM('Exogenous tax and expenses'!R138:V138)-SUM('Exogenous tax and expenses'!X138:AA138)</f>
        <v>-0.00473590209878745</v>
      </c>
      <c r="O138" s="456" t="n">
        <f aca="false">'Exogenous tax and expenses'!I138+SUM('Exogenous tax and expenses'!R138:V138)-SUM('Exogenous tax and expenses'!X138:AA138)</f>
        <v>-0.0209359020987874</v>
      </c>
      <c r="P138" s="456" t="n">
        <f aca="false">'Exogenous tax and expenses'!J138+SUM('Exogenous tax and expenses'!R138:V138)-SUM('Exogenous tax and expenses'!X138:AA138)</f>
        <v>0.00266409790121255</v>
      </c>
      <c r="Q138" s="456" t="n">
        <f aca="false">'Exogenous tax and expenses'!K138+SUM('Exogenous tax and expenses'!R138:V138)-SUM('Exogenous tax and expenses'!X138:AA138)</f>
        <v>-0.0130359020987874</v>
      </c>
      <c r="R138" s="456" t="n">
        <f aca="false">'Exogenous tax and expenses'!R137</f>
        <v>0.00717368525436939</v>
      </c>
      <c r="S138" s="456" t="n">
        <f aca="false">'Exogenous tax and expenses'!S137</f>
        <v>0.00264884044328671</v>
      </c>
      <c r="T138" s="784" t="n">
        <f aca="false">'Exogenous tax and expenses'!T137</f>
        <v>0.000157308523483685</v>
      </c>
      <c r="U138" s="456" t="n">
        <f aca="false">U137</f>
        <v>0.0103842634031112</v>
      </c>
      <c r="V138" s="784" t="n">
        <f aca="false">'Exogenous tax and expenses'!V137</f>
        <v>0.0156925271106058</v>
      </c>
      <c r="W138" s="784"/>
      <c r="X138" s="784" t="n">
        <f aca="false">'Exogenous tax and expenses'!X137</f>
        <v>0.00191293753744961</v>
      </c>
      <c r="Y138" s="456" t="n">
        <f aca="false">'Exogenous tax and expenses'!Y137</f>
        <v>0.00262755013399756</v>
      </c>
      <c r="Z138" s="456" t="n">
        <f aca="false">'Exogenous tax and expenses'!Z137</f>
        <v>0.00695203916219706</v>
      </c>
      <c r="AA138" s="1" t="n">
        <v>0</v>
      </c>
    </row>
    <row r="139" customFormat="false" ht="15" hidden="false" customHeight="false" outlineLevel="0" collapsed="false">
      <c r="B139" s="796"/>
      <c r="C139" s="1" t="n">
        <f aca="false">'Exogenous tax and expenses'!C138+1</f>
        <v>2035</v>
      </c>
      <c r="D139" s="1"/>
      <c r="E139" s="1"/>
      <c r="F139" s="792" t="n">
        <v>-0.0315</v>
      </c>
      <c r="G139" s="792" t="n">
        <v>-0.0492</v>
      </c>
      <c r="H139" s="798" t="n">
        <v>-0.0296</v>
      </c>
      <c r="I139" s="798" t="n">
        <v>-0.0468</v>
      </c>
      <c r="J139" s="792" t="n">
        <v>-0.0221</v>
      </c>
      <c r="K139" s="792" t="n">
        <v>-0.0389</v>
      </c>
      <c r="L139" s="456" t="n">
        <f aca="false">'Exogenous tax and expenses'!F139+SUM('Exogenous tax and expenses'!R139:V139)-SUM('Exogenous tax and expenses'!X139:AA139)</f>
        <v>-0.00693590209878745</v>
      </c>
      <c r="M139" s="456" t="n">
        <f aca="false">'Exogenous tax and expenses'!G139+SUM('Exogenous tax and expenses'!R139:V139)-SUM('Exogenous tax and expenses'!X139:AA139)</f>
        <v>-0.0246359020987874</v>
      </c>
      <c r="N139" s="456" t="n">
        <f aca="false">'Exogenous tax and expenses'!H139+SUM('Exogenous tax and expenses'!R139:V139)-SUM('Exogenous tax and expenses'!X139:AA139)</f>
        <v>-0.00503590209878745</v>
      </c>
      <c r="O139" s="456" t="n">
        <f aca="false">'Exogenous tax and expenses'!I139+SUM('Exogenous tax and expenses'!R139:V139)-SUM('Exogenous tax and expenses'!X139:AA139)</f>
        <v>-0.0222359020987874</v>
      </c>
      <c r="P139" s="456" t="n">
        <f aca="false">'Exogenous tax and expenses'!J139+SUM('Exogenous tax and expenses'!R139:V139)-SUM('Exogenous tax and expenses'!X139:AA139)</f>
        <v>0.00246409790121255</v>
      </c>
      <c r="Q139" s="456" t="n">
        <f aca="false">'Exogenous tax and expenses'!K139+SUM('Exogenous tax and expenses'!R139:V139)-SUM('Exogenous tax and expenses'!X139:AA139)</f>
        <v>-0.0143359020987875</v>
      </c>
      <c r="R139" s="456" t="n">
        <f aca="false">'Exogenous tax and expenses'!R138</f>
        <v>0.00717368525436939</v>
      </c>
      <c r="S139" s="456" t="n">
        <f aca="false">'Exogenous tax and expenses'!S138</f>
        <v>0.00264884044328671</v>
      </c>
      <c r="T139" s="784" t="n">
        <f aca="false">'Exogenous tax and expenses'!T138</f>
        <v>0.000157308523483685</v>
      </c>
      <c r="U139" s="456" t="n">
        <f aca="false">U138</f>
        <v>0.0103842634031112</v>
      </c>
      <c r="V139" s="784" t="n">
        <f aca="false">'Exogenous tax and expenses'!V138</f>
        <v>0.0156925271106058</v>
      </c>
      <c r="W139" s="784"/>
      <c r="X139" s="784" t="n">
        <f aca="false">'Exogenous tax and expenses'!X138</f>
        <v>0.00191293753744961</v>
      </c>
      <c r="Y139" s="456" t="n">
        <f aca="false">'Exogenous tax and expenses'!Y138</f>
        <v>0.00262755013399756</v>
      </c>
      <c r="Z139" s="456" t="n">
        <f aca="false">'Exogenous tax and expenses'!Z138</f>
        <v>0.00695203916219706</v>
      </c>
      <c r="AA139" s="1" t="n">
        <v>0</v>
      </c>
    </row>
    <row r="140" customFormat="false" ht="15" hidden="false" customHeight="false" outlineLevel="0" collapsed="false">
      <c r="B140" s="796"/>
      <c r="C140" s="1" t="n">
        <f aca="false">'Exogenous tax and expenses'!C139+1</f>
        <v>2036</v>
      </c>
      <c r="D140" s="1"/>
      <c r="E140" s="1"/>
      <c r="F140" s="792" t="n">
        <v>-0.0313</v>
      </c>
      <c r="G140" s="792" t="n">
        <v>-0.0504</v>
      </c>
      <c r="H140" s="798" t="n">
        <v>-0.0293</v>
      </c>
      <c r="I140" s="798" t="n">
        <v>-0.048</v>
      </c>
      <c r="J140" s="792" t="n">
        <v>-0.0218</v>
      </c>
      <c r="K140" s="792" t="n">
        <v>-0.0398</v>
      </c>
      <c r="L140" s="456" t="n">
        <f aca="false">'Exogenous tax and expenses'!F140+SUM('Exogenous tax and expenses'!R140:V140)-SUM('Exogenous tax and expenses'!X140:AA140)</f>
        <v>-0.00673590209878745</v>
      </c>
      <c r="M140" s="456" t="n">
        <f aca="false">'Exogenous tax and expenses'!G140+SUM('Exogenous tax and expenses'!R140:V140)-SUM('Exogenous tax and expenses'!X140:AA140)</f>
        <v>-0.0258359020987874</v>
      </c>
      <c r="N140" s="456" t="n">
        <f aca="false">'Exogenous tax and expenses'!H140+SUM('Exogenous tax and expenses'!R140:V140)-SUM('Exogenous tax and expenses'!X140:AA140)</f>
        <v>-0.00473590209878745</v>
      </c>
      <c r="O140" s="456" t="n">
        <f aca="false">'Exogenous tax and expenses'!I140+SUM('Exogenous tax and expenses'!R140:V140)-SUM('Exogenous tax and expenses'!X140:AA140)</f>
        <v>-0.0234359020987874</v>
      </c>
      <c r="P140" s="456" t="n">
        <f aca="false">'Exogenous tax and expenses'!J140+SUM('Exogenous tax and expenses'!R140:V140)-SUM('Exogenous tax and expenses'!X140:AA140)</f>
        <v>0.00276409790121255</v>
      </c>
      <c r="Q140" s="456" t="n">
        <f aca="false">'Exogenous tax and expenses'!K140+SUM('Exogenous tax and expenses'!R140:V140)-SUM('Exogenous tax and expenses'!X140:AA140)</f>
        <v>-0.0152359020987874</v>
      </c>
      <c r="R140" s="456" t="n">
        <f aca="false">'Exogenous tax and expenses'!R139</f>
        <v>0.00717368525436939</v>
      </c>
      <c r="S140" s="456" t="n">
        <f aca="false">'Exogenous tax and expenses'!S139</f>
        <v>0.00264884044328671</v>
      </c>
      <c r="T140" s="784" t="n">
        <f aca="false">'Exogenous tax and expenses'!T139</f>
        <v>0.000157308523483685</v>
      </c>
      <c r="U140" s="456" t="n">
        <f aca="false">U139</f>
        <v>0.0103842634031112</v>
      </c>
      <c r="V140" s="784" t="n">
        <f aca="false">'Exogenous tax and expenses'!V139</f>
        <v>0.0156925271106058</v>
      </c>
      <c r="W140" s="784"/>
      <c r="X140" s="784" t="n">
        <f aca="false">'Exogenous tax and expenses'!X139</f>
        <v>0.00191293753744961</v>
      </c>
      <c r="Y140" s="456" t="n">
        <f aca="false">'Exogenous tax and expenses'!Y139</f>
        <v>0.00262755013399756</v>
      </c>
      <c r="Z140" s="456" t="n">
        <f aca="false">'Exogenous tax and expenses'!Z139</f>
        <v>0.00695203916219706</v>
      </c>
      <c r="AA140" s="1" t="n">
        <v>0</v>
      </c>
    </row>
    <row r="141" customFormat="false" ht="15" hidden="false" customHeight="false" outlineLevel="0" collapsed="false">
      <c r="B141" s="796"/>
      <c r="C141" s="1" t="n">
        <f aca="false">'Exogenous tax and expenses'!C140+1</f>
        <v>2037</v>
      </c>
      <c r="D141" s="1"/>
      <c r="E141" s="1"/>
      <c r="F141" s="792" t="n">
        <v>-0.0305</v>
      </c>
      <c r="G141" s="792" t="n">
        <v>-0.0509</v>
      </c>
      <c r="H141" s="798" t="n">
        <v>-0.0284</v>
      </c>
      <c r="I141" s="798" t="n">
        <v>-0.0487</v>
      </c>
      <c r="J141" s="792" t="n">
        <v>-0.0221</v>
      </c>
      <c r="K141" s="792" t="n">
        <v>-0.0414</v>
      </c>
      <c r="L141" s="456" t="n">
        <f aca="false">'Exogenous tax and expenses'!F141+SUM('Exogenous tax and expenses'!R141:V141)-SUM('Exogenous tax and expenses'!X141:AA141)</f>
        <v>-0.00593590209878745</v>
      </c>
      <c r="M141" s="456" t="n">
        <f aca="false">'Exogenous tax and expenses'!G141+SUM('Exogenous tax and expenses'!R141:V141)-SUM('Exogenous tax and expenses'!X141:AA141)</f>
        <v>-0.0263359020987874</v>
      </c>
      <c r="N141" s="456" t="n">
        <f aca="false">'Exogenous tax and expenses'!H141+SUM('Exogenous tax and expenses'!R141:V141)-SUM('Exogenous tax and expenses'!X141:AA141)</f>
        <v>-0.00383590209878745</v>
      </c>
      <c r="O141" s="456" t="n">
        <f aca="false">'Exogenous tax and expenses'!I141+SUM('Exogenous tax and expenses'!R141:V141)-SUM('Exogenous tax and expenses'!X141:AA141)</f>
        <v>-0.0241359020987874</v>
      </c>
      <c r="P141" s="456" t="n">
        <f aca="false">'Exogenous tax and expenses'!J141+SUM('Exogenous tax and expenses'!R141:V141)-SUM('Exogenous tax and expenses'!X141:AA141)</f>
        <v>0.00246409790121255</v>
      </c>
      <c r="Q141" s="456" t="n">
        <f aca="false">'Exogenous tax and expenses'!K141+SUM('Exogenous tax and expenses'!R141:V141)-SUM('Exogenous tax and expenses'!X141:AA141)</f>
        <v>-0.0168359020987874</v>
      </c>
      <c r="R141" s="456" t="n">
        <f aca="false">'Exogenous tax and expenses'!R140</f>
        <v>0.00717368525436939</v>
      </c>
      <c r="S141" s="456" t="n">
        <f aca="false">'Exogenous tax and expenses'!S140</f>
        <v>0.00264884044328671</v>
      </c>
      <c r="T141" s="784" t="n">
        <f aca="false">'Exogenous tax and expenses'!T140</f>
        <v>0.000157308523483685</v>
      </c>
      <c r="U141" s="456" t="n">
        <f aca="false">U140</f>
        <v>0.0103842634031112</v>
      </c>
      <c r="V141" s="784" t="n">
        <f aca="false">'Exogenous tax and expenses'!V140</f>
        <v>0.0156925271106058</v>
      </c>
      <c r="W141" s="784"/>
      <c r="X141" s="784" t="n">
        <f aca="false">'Exogenous tax and expenses'!X140</f>
        <v>0.00191293753744961</v>
      </c>
      <c r="Y141" s="456" t="n">
        <f aca="false">'Exogenous tax and expenses'!Y140</f>
        <v>0.00262755013399756</v>
      </c>
      <c r="Z141" s="456" t="n">
        <f aca="false">'Exogenous tax and expenses'!Z140</f>
        <v>0.00695203916219706</v>
      </c>
      <c r="AA141" s="1" t="n">
        <v>0</v>
      </c>
    </row>
    <row r="142" customFormat="false" ht="15" hidden="false" customHeight="false" outlineLevel="0" collapsed="false">
      <c r="B142" s="796"/>
      <c r="C142" s="1" t="n">
        <f aca="false">'Exogenous tax and expenses'!C141+1</f>
        <v>2038</v>
      </c>
      <c r="D142" s="1"/>
      <c r="E142" s="1"/>
      <c r="F142" s="792" t="n">
        <v>-0.0305</v>
      </c>
      <c r="G142" s="792" t="n">
        <v>-0.0525</v>
      </c>
      <c r="H142" s="798" t="n">
        <v>-0.0291</v>
      </c>
      <c r="I142" s="798" t="n">
        <v>-0.0509</v>
      </c>
      <c r="J142" s="792" t="n">
        <v>-0.0221</v>
      </c>
      <c r="K142" s="792" t="n">
        <v>-0.0427</v>
      </c>
      <c r="L142" s="456" t="n">
        <f aca="false">'Exogenous tax and expenses'!F142+SUM('Exogenous tax and expenses'!R142:V142)-SUM('Exogenous tax and expenses'!X142:AA142)</f>
        <v>-0.00593590209878745</v>
      </c>
      <c r="M142" s="456" t="n">
        <f aca="false">'Exogenous tax and expenses'!G142+SUM('Exogenous tax and expenses'!R142:V142)-SUM('Exogenous tax and expenses'!X142:AA142)</f>
        <v>-0.0279359020987874</v>
      </c>
      <c r="N142" s="456" t="n">
        <f aca="false">'Exogenous tax and expenses'!H142+SUM('Exogenous tax and expenses'!R142:V142)-SUM('Exogenous tax and expenses'!X142:AA142)</f>
        <v>-0.00453590209878745</v>
      </c>
      <c r="O142" s="456" t="n">
        <f aca="false">'Exogenous tax and expenses'!I142+SUM('Exogenous tax and expenses'!R142:V142)-SUM('Exogenous tax and expenses'!X142:AA142)</f>
        <v>-0.0263359020987874</v>
      </c>
      <c r="P142" s="456" t="n">
        <f aca="false">'Exogenous tax and expenses'!J142+SUM('Exogenous tax and expenses'!R142:V142)-SUM('Exogenous tax and expenses'!X142:AA142)</f>
        <v>0.00246409790121255</v>
      </c>
      <c r="Q142" s="456" t="n">
        <f aca="false">'Exogenous tax and expenses'!K142+SUM('Exogenous tax and expenses'!R142:V142)-SUM('Exogenous tax and expenses'!X142:AA142)</f>
        <v>-0.0181359020987874</v>
      </c>
      <c r="R142" s="456" t="n">
        <f aca="false">'Exogenous tax and expenses'!R141</f>
        <v>0.00717368525436939</v>
      </c>
      <c r="S142" s="456" t="n">
        <f aca="false">'Exogenous tax and expenses'!S141</f>
        <v>0.00264884044328671</v>
      </c>
      <c r="T142" s="784" t="n">
        <f aca="false">'Exogenous tax and expenses'!T141</f>
        <v>0.000157308523483685</v>
      </c>
      <c r="U142" s="456" t="n">
        <f aca="false">U141</f>
        <v>0.0103842634031112</v>
      </c>
      <c r="V142" s="784" t="n">
        <f aca="false">'Exogenous tax and expenses'!V141</f>
        <v>0.0156925271106058</v>
      </c>
      <c r="W142" s="784"/>
      <c r="X142" s="784" t="n">
        <f aca="false">'Exogenous tax and expenses'!X141</f>
        <v>0.00191293753744961</v>
      </c>
      <c r="Y142" s="456" t="n">
        <f aca="false">'Exogenous tax and expenses'!Y141</f>
        <v>0.00262755013399756</v>
      </c>
      <c r="Z142" s="456" t="n">
        <f aca="false">'Exogenous tax and expenses'!Z141</f>
        <v>0.00695203916219706</v>
      </c>
      <c r="AA142" s="1" t="n">
        <v>0</v>
      </c>
    </row>
    <row r="143" customFormat="false" ht="15" hidden="false" customHeight="false" outlineLevel="0" collapsed="false">
      <c r="B143" s="796"/>
      <c r="C143" s="1" t="n">
        <f aca="false">'Exogenous tax and expenses'!C142+1</f>
        <v>2039</v>
      </c>
      <c r="D143" s="1"/>
      <c r="E143" s="1"/>
      <c r="F143" s="792" t="n">
        <v>-0.0299</v>
      </c>
      <c r="G143" s="792" t="n">
        <v>-0.0534</v>
      </c>
      <c r="H143" s="798" t="n">
        <v>-0.0293</v>
      </c>
      <c r="I143" s="798" t="n">
        <v>-0.0526</v>
      </c>
      <c r="J143" s="792" t="n">
        <v>-0.0226</v>
      </c>
      <c r="K143" s="792" t="n">
        <v>-0.0447</v>
      </c>
      <c r="L143" s="456" t="n">
        <f aca="false">'Exogenous tax and expenses'!F143+SUM('Exogenous tax and expenses'!R143:V143)-SUM('Exogenous tax and expenses'!X143:AA143)</f>
        <v>-0.00533590209878745</v>
      </c>
      <c r="M143" s="456" t="n">
        <f aca="false">'Exogenous tax and expenses'!G143+SUM('Exogenous tax and expenses'!R143:V143)-SUM('Exogenous tax and expenses'!X143:AA143)</f>
        <v>-0.0288359020987874</v>
      </c>
      <c r="N143" s="456" t="n">
        <f aca="false">'Exogenous tax and expenses'!H143+SUM('Exogenous tax and expenses'!R143:V143)-SUM('Exogenous tax and expenses'!X143:AA143)</f>
        <v>-0.00473590209878745</v>
      </c>
      <c r="O143" s="456" t="n">
        <f aca="false">'Exogenous tax and expenses'!I143+SUM('Exogenous tax and expenses'!R143:V143)-SUM('Exogenous tax and expenses'!X143:AA143)</f>
        <v>-0.0280359020987874</v>
      </c>
      <c r="P143" s="456" t="n">
        <f aca="false">'Exogenous tax and expenses'!J143+SUM('Exogenous tax and expenses'!R143:V143)-SUM('Exogenous tax and expenses'!X143:AA143)</f>
        <v>0.00196409790121255</v>
      </c>
      <c r="Q143" s="456" t="n">
        <f aca="false">'Exogenous tax and expenses'!K143+SUM('Exogenous tax and expenses'!R143:V143)-SUM('Exogenous tax and expenses'!X143:AA143)</f>
        <v>-0.0201359020987874</v>
      </c>
      <c r="R143" s="456" t="n">
        <f aca="false">'Exogenous tax and expenses'!R142</f>
        <v>0.00717368525436939</v>
      </c>
      <c r="S143" s="456" t="n">
        <f aca="false">'Exogenous tax and expenses'!S142</f>
        <v>0.00264884044328671</v>
      </c>
      <c r="T143" s="784" t="n">
        <f aca="false">'Exogenous tax and expenses'!T142</f>
        <v>0.000157308523483685</v>
      </c>
      <c r="U143" s="456" t="n">
        <f aca="false">U142</f>
        <v>0.0103842634031112</v>
      </c>
      <c r="V143" s="784" t="n">
        <f aca="false">'Exogenous tax and expenses'!V142</f>
        <v>0.0156925271106058</v>
      </c>
      <c r="W143" s="784"/>
      <c r="X143" s="784" t="n">
        <f aca="false">'Exogenous tax and expenses'!X142</f>
        <v>0.00191293753744961</v>
      </c>
      <c r="Y143" s="456" t="n">
        <f aca="false">'Exogenous tax and expenses'!Y142</f>
        <v>0.00262755013399756</v>
      </c>
      <c r="Z143" s="456" t="n">
        <f aca="false">'Exogenous tax and expenses'!Z142</f>
        <v>0.00695203916219706</v>
      </c>
      <c r="AA143" s="1" t="n">
        <v>0</v>
      </c>
    </row>
    <row r="144" customFormat="false" ht="15" hidden="false" customHeight="false" outlineLevel="0" collapsed="false">
      <c r="B144" s="796"/>
      <c r="C144" s="1" t="n">
        <f aca="false">'Exogenous tax and expenses'!C143+1</f>
        <v>2040</v>
      </c>
      <c r="D144" s="1"/>
      <c r="E144" s="1"/>
      <c r="F144" s="792" t="n">
        <v>-0.0305</v>
      </c>
      <c r="G144" s="792" t="n">
        <v>-0.0553</v>
      </c>
      <c r="H144" s="798" t="n">
        <v>-0.0289</v>
      </c>
      <c r="I144" s="798" t="n">
        <v>-0.0535</v>
      </c>
      <c r="J144" s="792" t="n">
        <v>-0.0234</v>
      </c>
      <c r="K144" s="792" t="n">
        <v>-0.0469</v>
      </c>
      <c r="L144" s="456" t="n">
        <f aca="false">'Exogenous tax and expenses'!F144+SUM('Exogenous tax and expenses'!R144:V144)-SUM('Exogenous tax and expenses'!X144:AA144)</f>
        <v>-0.00593590209878745</v>
      </c>
      <c r="M144" s="456" t="n">
        <f aca="false">'Exogenous tax and expenses'!G144+SUM('Exogenous tax and expenses'!R144:V144)-SUM('Exogenous tax and expenses'!X144:AA144)</f>
        <v>-0.0307359020987874</v>
      </c>
      <c r="N144" s="456" t="n">
        <f aca="false">'Exogenous tax and expenses'!H144+SUM('Exogenous tax and expenses'!R144:V144)-SUM('Exogenous tax and expenses'!X144:AA144)</f>
        <v>-0.00433590209878745</v>
      </c>
      <c r="O144" s="456" t="n">
        <f aca="false">'Exogenous tax and expenses'!I144+SUM('Exogenous tax and expenses'!R144:V144)-SUM('Exogenous tax and expenses'!X144:AA144)</f>
        <v>-0.0289359020987874</v>
      </c>
      <c r="P144" s="456" t="n">
        <f aca="false">'Exogenous tax and expenses'!J144+SUM('Exogenous tax and expenses'!R144:V144)-SUM('Exogenous tax and expenses'!X144:AA144)</f>
        <v>0.00116409790121255</v>
      </c>
      <c r="Q144" s="456" t="n">
        <f aca="false">'Exogenous tax and expenses'!K144+SUM('Exogenous tax and expenses'!R144:V144)-SUM('Exogenous tax and expenses'!X144:AA144)</f>
        <v>-0.0223359020987874</v>
      </c>
      <c r="R144" s="456" t="n">
        <f aca="false">'Exogenous tax and expenses'!R143</f>
        <v>0.00717368525436939</v>
      </c>
      <c r="S144" s="456" t="n">
        <f aca="false">'Exogenous tax and expenses'!S143</f>
        <v>0.00264884044328671</v>
      </c>
      <c r="T144" s="784" t="n">
        <f aca="false">'Exogenous tax and expenses'!T143</f>
        <v>0.000157308523483685</v>
      </c>
      <c r="U144" s="456" t="n">
        <f aca="false">U143</f>
        <v>0.0103842634031112</v>
      </c>
      <c r="V144" s="784" t="n">
        <f aca="false">'Exogenous tax and expenses'!V143</f>
        <v>0.0156925271106058</v>
      </c>
      <c r="W144" s="784"/>
      <c r="X144" s="784" t="n">
        <f aca="false">'Exogenous tax and expenses'!X143</f>
        <v>0.00191293753744961</v>
      </c>
      <c r="Y144" s="456" t="n">
        <f aca="false">'Exogenous tax and expenses'!Y143</f>
        <v>0.00262755013399756</v>
      </c>
      <c r="Z144" s="456" t="n">
        <f aca="false">'Exogenous tax and expenses'!Z143</f>
        <v>0.00695203916219706</v>
      </c>
      <c r="AA144" s="1" t="n">
        <v>0</v>
      </c>
    </row>
    <row r="145" customFormat="false" ht="15" hidden="false" customHeight="false" outlineLevel="0" collapsed="false">
      <c r="B145" s="1"/>
      <c r="C145" s="1"/>
      <c r="D145" s="1"/>
      <c r="E145" s="1"/>
    </row>
  </sheetData>
  <mergeCells count="11">
    <mergeCell ref="Q3:V3"/>
    <mergeCell ref="Y3:AB3"/>
    <mergeCell ref="AG3:AH3"/>
    <mergeCell ref="I30:N30"/>
    <mergeCell ref="I33:N43"/>
    <mergeCell ref="D39:D40"/>
    <mergeCell ref="E39:E40"/>
    <mergeCell ref="F60:K60"/>
    <mergeCell ref="L60:Q60"/>
    <mergeCell ref="F116:K116"/>
    <mergeCell ref="L116:Q11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G23" activeCellId="0" sqref="G23"/>
    </sheetView>
  </sheetViews>
  <sheetFormatPr defaultColWidth="10.4453125" defaultRowHeight="15" zeroHeight="false" outlineLevelRow="0" outlineLevelCol="0"/>
  <cols>
    <col collapsed="false" customWidth="true" hidden="false" outlineLevel="0" max="8" min="4" style="0" width="23.87"/>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799"/>
      <c r="D3" s="800" t="s">
        <v>1066</v>
      </c>
      <c r="E3" s="800" t="s">
        <v>1067</v>
      </c>
      <c r="F3" s="800" t="s">
        <v>1068</v>
      </c>
      <c r="G3" s="800" t="s">
        <v>1069</v>
      </c>
      <c r="H3" s="800" t="s">
        <v>1070</v>
      </c>
      <c r="J3" s="801"/>
      <c r="K3" s="801" t="s">
        <v>1071</v>
      </c>
      <c r="L3" s="801" t="s">
        <v>1072</v>
      </c>
      <c r="M3" s="801" t="s">
        <v>1073</v>
      </c>
    </row>
    <row r="4" customFormat="false" ht="15" hidden="false" customHeight="false" outlineLevel="0" collapsed="false">
      <c r="C4" s="802" t="n">
        <v>1994</v>
      </c>
      <c r="D4" s="803" t="e">
        <f aca="false">(#REF!+#REF!+#REF!+#REF!)/#REF!</f>
        <v>#REF!</v>
      </c>
      <c r="E4" s="803" t="e">
        <f aca="false">#REF!/#REF!</f>
        <v>#REF!</v>
      </c>
      <c r="F4" s="804" t="e">
        <f aca="false">#REF!*1000000/#REF!</f>
        <v>#REF!</v>
      </c>
      <c r="G4" s="804" t="n">
        <f aca="false">'[1]Contribuyentes ANSES'!D56/'[1]Beneficiarios de jubilaciones'!V4</f>
        <v>2.51333552026008</v>
      </c>
      <c r="H4" s="804" t="n">
        <f aca="false">'[1]Contribuyentes ANSES'!D56/'[1]Beneficiarios de jubilaciones'!V4</f>
        <v>2.51333552026008</v>
      </c>
      <c r="J4" s="805" t="n">
        <v>1994</v>
      </c>
      <c r="K4" s="806" t="e">
        <f aca="false">(SUM(#REF!))/#REF!</f>
        <v>#REF!</v>
      </c>
      <c r="L4" s="806"/>
      <c r="M4" s="806" t="e">
        <f aca="false">K4+L4</f>
        <v>#REF!</v>
      </c>
    </row>
    <row r="5" customFormat="false" ht="15" hidden="false" customHeight="false" outlineLevel="0" collapsed="false">
      <c r="C5" s="807" t="n">
        <f aca="false">C4+1</f>
        <v>1995</v>
      </c>
      <c r="D5" s="808" t="n">
        <f aca="false">('[1]Beneficiarios de jubilaciones'!O5+'[1]Beneficiarios de jubilaciones'!Q5+'[1]Beneficiarios de jubilaciones'!S5+'[1]Beneficiarios de jubilaciones'!U5)/'[1]Población 1950-2100'!AU80</f>
        <v>0.510323801227695</v>
      </c>
      <c r="E5" s="808" t="n">
        <f aca="false">'[1]Contribuyentes ANSES'!D57/'[1]Población 1950-2100'!$AU$82</f>
        <v>0.250975964853961</v>
      </c>
      <c r="F5" s="809" t="n">
        <f aca="false">'[1]Contribuyentes ANSES'!C5*1000000/'[1]Beneficiarios de jubilaciones'!V5</f>
        <v>0.921359538738319</v>
      </c>
      <c r="G5" s="809" t="n">
        <f aca="false">'[1]Contribuyentes ANSES'!D57/('[1]Beneficiarios de jubilaciones'!B3+'[1]Beneficiarios de jubilaciones'!V5)</f>
        <v>2.28195427118674</v>
      </c>
      <c r="H5" s="809" t="n">
        <f aca="false">'[1]Contribuyentes ANSES'!D57/('[1]Beneficiarios de jubilaciones'!B3+'[1]Beneficiarios de jubilaciones'!V5)</f>
        <v>2.28195427118674</v>
      </c>
      <c r="J5" s="807" t="n">
        <f aca="false">J4+1</f>
        <v>1995</v>
      </c>
      <c r="K5" s="810" t="n">
        <f aca="false">(SUM('[1]Beneficiarios de AAFF y AUH'!C5:F5))/'[1]Población 1950-2100'!$AU$81</f>
        <v>0.005913270776601</v>
      </c>
      <c r="L5" s="810"/>
      <c r="M5" s="810" t="n">
        <f aca="false">K5+L5</f>
        <v>0.005913270776601</v>
      </c>
    </row>
    <row r="6" customFormat="false" ht="15" hidden="false" customHeight="false" outlineLevel="0" collapsed="false">
      <c r="C6" s="802" t="n">
        <f aca="false">C5+1</f>
        <v>1996</v>
      </c>
      <c r="D6" s="803" t="n">
        <f aca="false">('[1]Beneficiarios de jubilaciones'!O6+'[1]Beneficiarios de jubilaciones'!Q6+'[1]Beneficiarios de jubilaciones'!S6+'[1]Beneficiarios de jubilaciones'!U6)/'[1]Población 1950-2100'!AV80</f>
        <v>0.514072237398752</v>
      </c>
      <c r="E6" s="803" t="n">
        <f aca="false">'[1]Contribuyentes ANSES'!D58/'[1]Población 1950-2100'!$AV$82</f>
        <v>0.257670801277916</v>
      </c>
      <c r="F6" s="804" t="n">
        <f aca="false">'[1]Contribuyentes ANSES'!C6*1000000/'[1]Beneficiarios de jubilaciones'!V6</f>
        <v>0.756782068048898</v>
      </c>
      <c r="G6" s="804" t="n">
        <f aca="false">'[1]Contribuyentes ANSES'!D58/('[1]Beneficiarios de jubilaciones'!B4+'[1]Beneficiarios de jubilaciones'!V6)</f>
        <v>2.31921058174471</v>
      </c>
      <c r="H6" s="804" t="n">
        <f aca="false">'[1]Contribuyentes ANSES'!D58/('[1]Beneficiarios de jubilaciones'!B4+'[1]Beneficiarios de jubilaciones'!V6)</f>
        <v>2.31921058174471</v>
      </c>
      <c r="J6" s="805" t="n">
        <f aca="false">J5+1</f>
        <v>1996</v>
      </c>
      <c r="K6" s="806" t="n">
        <f aca="false">(SUM('[1]Beneficiarios de AAFF y AUH'!C6:F6))/'[1]Población 1950-2100'!$AV$81</f>
        <v>0.0130317738288995</v>
      </c>
      <c r="L6" s="806"/>
      <c r="M6" s="806" t="n">
        <f aca="false">K6+L6</f>
        <v>0.0130317738288995</v>
      </c>
    </row>
    <row r="7" customFormat="false" ht="15" hidden="false" customHeight="false" outlineLevel="0" collapsed="false">
      <c r="C7" s="807" t="n">
        <f aca="false">C6+1</f>
        <v>1997</v>
      </c>
      <c r="D7" s="808" t="n">
        <f aca="false">('[1]Beneficiarios de jubilaciones'!O7+'[1]Beneficiarios de jubilaciones'!Q7+'[1]Beneficiarios de jubilaciones'!S7+'[1]Beneficiarios de jubilaciones'!U7)/'[1]Población 1950-2100'!AW80</f>
        <v>0.474510072059151</v>
      </c>
      <c r="E7" s="808" t="n">
        <f aca="false">'[1]Contribuyentes ANSES'!D59/'[1]Población 1950-2100'!$AW$82</f>
        <v>0.264431702333848</v>
      </c>
      <c r="F7" s="809" t="n">
        <f aca="false">'[1]Contribuyentes ANSES'!C7*1000000/'[1]Beneficiarios de jubilaciones'!V7</f>
        <v>0.655074204790306</v>
      </c>
      <c r="G7" s="809" t="n">
        <f aca="false">'[1]Contribuyentes ANSES'!D59/('[1]Beneficiarios de jubilaciones'!B5+'[1]Beneficiarios de jubilaciones'!V7)</f>
        <v>2.56924407035337</v>
      </c>
      <c r="H7" s="809" t="n">
        <f aca="false">'[1]Contribuyentes ANSES'!D59/('[1]Beneficiarios de jubilaciones'!B5+'[1]Beneficiarios de jubilaciones'!V7)</f>
        <v>2.56924407035337</v>
      </c>
      <c r="J7" s="807" t="n">
        <f aca="false">J6+1</f>
        <v>1997</v>
      </c>
      <c r="K7" s="810" t="n">
        <f aca="false">(SUM('[1]Beneficiarios de AAFF y AUH'!C7:F7))/'[1]Población 1950-2100'!$AW$81</f>
        <v>0.037343572537092</v>
      </c>
      <c r="L7" s="810"/>
      <c r="M7" s="810" t="n">
        <f aca="false">K7+L7</f>
        <v>0.037343572537092</v>
      </c>
    </row>
    <row r="8" customFormat="false" ht="15" hidden="false" customHeight="false" outlineLevel="0" collapsed="false">
      <c r="C8" s="802" t="n">
        <f aca="false">C7+1</f>
        <v>1998</v>
      </c>
      <c r="D8" s="803" t="n">
        <f aca="false">('[1]Beneficiarios de jubilaciones'!O8+'[1]Beneficiarios de jubilaciones'!Q8+'[1]Beneficiarios de jubilaciones'!S8+'[1]Beneficiarios de jubilaciones'!U8)/'[1]Población 1950-2100'!AX80</f>
        <v>0.491595366851715</v>
      </c>
      <c r="E8" s="803" t="n">
        <f aca="false">'[1]Contribuyentes ANSES'!D60/'[1]Población 1950-2100'!$AX$82</f>
        <v>0.278864473414839</v>
      </c>
      <c r="F8" s="804" t="n">
        <f aca="false">'[1]Contribuyentes ANSES'!C8*1000000/'[1]Beneficiarios de jubilaciones'!V8</f>
        <v>0.574293269318777</v>
      </c>
      <c r="G8" s="804" t="n">
        <f aca="false">'[1]Contribuyentes ANSES'!D60/('[1]Beneficiarios de jubilaciones'!B6+'[1]Beneficiarios de jubilaciones'!V8)</f>
        <v>2.60735078905109</v>
      </c>
      <c r="H8" s="804" t="n">
        <f aca="false">('[1]Contribuyentes ANSES'!D60-'[1]Contribuyentes ANSES'!F60-'[1]Contribuyentes ANSES'!H60)/('[1]Beneficiarios de jubilaciones'!B6+'[1]Beneficiarios de jubilaciones'!V8)</f>
        <v>2.36041247058067</v>
      </c>
      <c r="J8" s="805" t="n">
        <f aca="false">J7+1</f>
        <v>1998</v>
      </c>
      <c r="K8" s="806" t="n">
        <f aca="false">(SUM('[1]Beneficiarios de AAFF y AUH'!C8:F8))/'[1]Población 1950-2100'!$AX$81</f>
        <v>0.0360905688677892</v>
      </c>
      <c r="L8" s="806"/>
      <c r="M8" s="806" t="n">
        <f aca="false">K8+L8</f>
        <v>0.0360905688677892</v>
      </c>
    </row>
    <row r="9" customFormat="false" ht="15" hidden="false" customHeight="false" outlineLevel="0" collapsed="false">
      <c r="C9" s="807" t="n">
        <f aca="false">C8+1</f>
        <v>1999</v>
      </c>
      <c r="D9" s="808" t="n">
        <f aca="false">('[1]Beneficiarios de jubilaciones'!O9+'[1]Beneficiarios de jubilaciones'!Q9+'[1]Beneficiarios de jubilaciones'!S9+'[1]Beneficiarios de jubilaciones'!U9)/'[1]Población 1950-2100'!AY80</f>
        <v>0.471091741418777</v>
      </c>
      <c r="E9" s="808" t="n">
        <f aca="false">'[1]Contribuyentes ANSES'!D61/'[1]Población 1950-2100'!$AY$82</f>
        <v>0.271321875792289</v>
      </c>
      <c r="F9" s="809" t="n">
        <f aca="false">'[1]Contribuyentes ANSES'!C9*1000000/'[1]Beneficiarios de jubilaciones'!V9</f>
        <v>0.540702950702023</v>
      </c>
      <c r="G9" s="809" t="n">
        <f aca="false">'[1]Contribuyentes ANSES'!D61/('[1]Beneficiarios de jubilaciones'!B7+'[1]Beneficiarios de jubilaciones'!V9)</f>
        <v>2.63116491647035</v>
      </c>
      <c r="H9" s="809" t="n">
        <f aca="false">('[1]Contribuyentes ANSES'!D61-'[1]Contribuyentes ANSES'!F61-'[1]Contribuyentes ANSES'!H61)/('[1]Beneficiarios de jubilaciones'!B7+'[1]Beneficiarios de jubilaciones'!V9)</f>
        <v>2.36831727396947</v>
      </c>
      <c r="J9" s="807" t="n">
        <f aca="false">J8+1</f>
        <v>1999</v>
      </c>
      <c r="K9" s="810" t="n">
        <f aca="false">(SUM('[1]Beneficiarios de AAFF y AUH'!C9:F9))/'[1]Población 1950-2100'!$AY$81</f>
        <v>0.0364917974245971</v>
      </c>
      <c r="L9" s="810"/>
      <c r="M9" s="810" t="n">
        <f aca="false">K9+L9</f>
        <v>0.0364917974245971</v>
      </c>
    </row>
    <row r="10" customFormat="false" ht="15" hidden="false" customHeight="false" outlineLevel="0" collapsed="false">
      <c r="C10" s="802" t="n">
        <f aca="false">C9+1</f>
        <v>2000</v>
      </c>
      <c r="D10" s="803" t="n">
        <f aca="false">('[1]Beneficiarios de jubilaciones'!O10+'[1]Beneficiarios de jubilaciones'!Q10+'[1]Beneficiarios de jubilaciones'!S10+'[1]Beneficiarios de jubilaciones'!U10)/'[1]Población 1950-2100'!AZ80</f>
        <v>0.450472001858193</v>
      </c>
      <c r="E10" s="803" t="n">
        <f aca="false">'[1]Contribuyentes ANSES'!D62/'[1]Población 1950-2100'!$AZ$82</f>
        <v>0.276448468509888</v>
      </c>
      <c r="F10" s="804" t="n">
        <f aca="false">'[1]Contribuyentes ANSES'!C10*1000000/'[1]Beneficiarios de jubilaciones'!V10</f>
        <v>0.506009559279589</v>
      </c>
      <c r="G10" s="804" t="n">
        <f aca="false">'[1]Contribuyentes ANSES'!D62/('[1]Beneficiarios de jubilaciones'!B8+'[1]Beneficiarios de jubilaciones'!V10)</f>
        <v>2.77943463763494</v>
      </c>
      <c r="H10" s="804" t="n">
        <f aca="false">('[1]Contribuyentes ANSES'!D62-'[1]Contribuyentes ANSES'!F62-'[1]Contribuyentes ANSES'!H62)/('[1]Beneficiarios de jubilaciones'!B8+'[1]Beneficiarios de jubilaciones'!V10)</f>
        <v>2.42437305572375</v>
      </c>
      <c r="J10" s="805" t="n">
        <f aca="false">J9+1</f>
        <v>2000</v>
      </c>
      <c r="K10" s="806" t="n">
        <f aca="false">(SUM('[1]Beneficiarios de AAFF y AUH'!C10:F10))/'[1]Población 1950-2100'!$AZ$81</f>
        <v>0.0424826193315992</v>
      </c>
      <c r="L10" s="806"/>
      <c r="M10" s="806" t="n">
        <f aca="false">K10+L10</f>
        <v>0.0424826193315992</v>
      </c>
    </row>
    <row r="11" customFormat="false" ht="15" hidden="false" customHeight="false" outlineLevel="0" collapsed="false">
      <c r="C11" s="807" t="n">
        <f aca="false">C10+1</f>
        <v>2001</v>
      </c>
      <c r="D11" s="808" t="n">
        <f aca="false">('[1]Beneficiarios de jubilaciones'!O11+'[1]Beneficiarios de jubilaciones'!Q11+'[1]Beneficiarios de jubilaciones'!S11+'[1]Beneficiarios de jubilaciones'!U11)/'[1]Población 1950-2100'!BA80</f>
        <v>0.434745013534998</v>
      </c>
      <c r="E11" s="808" t="n">
        <f aca="false">'[1]Contribuyentes ANSES'!D63/'[1]Población 1950-2100'!$BA$82</f>
        <v>0.249786520320761</v>
      </c>
      <c r="F11" s="809" t="n">
        <f aca="false">'[1]Contribuyentes ANSES'!C11*1000000/'[1]Beneficiarios de jubilaciones'!V11</f>
        <v>0.46468521449095</v>
      </c>
      <c r="G11" s="809" t="n">
        <f aca="false">'[1]Contribuyentes ANSES'!D63/('[1]Beneficiarios de jubilaciones'!B9+'[1]Beneficiarios de jubilaciones'!V11)</f>
        <v>2.57311950630721</v>
      </c>
      <c r="H11" s="809" t="n">
        <f aca="false">('[1]Contribuyentes ANSES'!D63-'[1]Contribuyentes ANSES'!F63-'[1]Contribuyentes ANSES'!H63)/('[1]Beneficiarios de jubilaciones'!B9+'[1]Beneficiarios de jubilaciones'!V11)</f>
        <v>2.25826104105868</v>
      </c>
      <c r="J11" s="807" t="n">
        <f aca="false">J10+1</f>
        <v>2001</v>
      </c>
      <c r="K11" s="810" t="n">
        <f aca="false">(SUM('[1]Beneficiarios de AAFF y AUH'!C11:F11))/'[1]Población 1950-2100'!$BA$81</f>
        <v>0.0407753237947181</v>
      </c>
      <c r="L11" s="810"/>
      <c r="M11" s="810" t="n">
        <f aca="false">K11+L11</f>
        <v>0.0407753237947181</v>
      </c>
    </row>
    <row r="12" customFormat="false" ht="15" hidden="false" customHeight="false" outlineLevel="0" collapsed="false">
      <c r="C12" s="802" t="n">
        <f aca="false">C11+1</f>
        <v>2002</v>
      </c>
      <c r="D12" s="803" t="n">
        <f aca="false">('[1]Beneficiarios de jubilaciones'!O12+'[1]Beneficiarios de jubilaciones'!Q12+'[1]Beneficiarios de jubilaciones'!S12+'[1]Beneficiarios de jubilaciones'!U12)/'[1]Población 1950-2100'!BB80</f>
        <v>0.418722196675673</v>
      </c>
      <c r="E12" s="803" t="n">
        <f aca="false">'[1]Contribuyentes ANSES'!D64/'[1]Población 1950-2100'!$BB$82</f>
        <v>0.233563070096019</v>
      </c>
      <c r="F12" s="804" t="n">
        <f aca="false">'[1]Contribuyentes ANSES'!C12*1000000/'[1]Beneficiarios de jubilaciones'!V12</f>
        <v>0.42253640151099</v>
      </c>
      <c r="G12" s="804" t="n">
        <f aca="false">'[1]Contribuyentes ANSES'!D64/('[1]Beneficiarios de jubilaciones'!B10+'[1]Beneficiarios de jubilaciones'!V12)</f>
        <v>2.45844224547246</v>
      </c>
      <c r="H12" s="804" t="n">
        <f aca="false">('[1]Contribuyentes ANSES'!D64-'[1]Contribuyentes ANSES'!F64-'[1]Contribuyentes ANSES'!H64)/('[1]Beneficiarios de jubilaciones'!B10+'[1]Beneficiarios de jubilaciones'!V12)</f>
        <v>2.17899775018279</v>
      </c>
      <c r="J12" s="805" t="n">
        <f aca="false">J11+1</f>
        <v>2002</v>
      </c>
      <c r="K12" s="806" t="n">
        <f aca="false">(SUM('[1]Beneficiarios de AAFF y AUH'!C12:F12))/'[1]Población 1950-2100'!$BB$81</f>
        <v>0.0527550950336396</v>
      </c>
      <c r="L12" s="806"/>
      <c r="M12" s="806" t="n">
        <f aca="false">K12+L12</f>
        <v>0.0527550950336396</v>
      </c>
    </row>
    <row r="13" customFormat="false" ht="15" hidden="false" customHeight="false" outlineLevel="0" collapsed="false">
      <c r="C13" s="807" t="n">
        <f aca="false">C12+1</f>
        <v>2003</v>
      </c>
      <c r="D13" s="808" t="n">
        <f aca="false">('[1]Beneficiarios de jubilaciones'!O13+'[1]Beneficiarios de jubilaciones'!Q13+'[1]Beneficiarios de jubilaciones'!S13+'[1]Beneficiarios de jubilaciones'!U13)/'[1]Población 1950-2100'!BC80</f>
        <v>0.405678565066775</v>
      </c>
      <c r="E13" s="808" t="n">
        <f aca="false">'[1]Contribuyentes ANSES'!D65/'[1]Población 1950-2100'!$BC$82</f>
        <v>0.251282804510864</v>
      </c>
      <c r="F13" s="809" t="n">
        <f aca="false">'[1]Contribuyentes ANSES'!C13*1000000/'[1]Beneficiarios de jubilaciones'!V13</f>
        <v>0.483439770656173</v>
      </c>
      <c r="G13" s="809" t="n">
        <f aca="false">'[1]Contribuyentes ANSES'!D65/('[1]Beneficiarios de jubilaciones'!B11+'[1]Beneficiarios de jubilaciones'!V13)</f>
        <v>2.66574300155016</v>
      </c>
      <c r="H13" s="809" t="n">
        <f aca="false">('[1]Contribuyentes ANSES'!D65-'[1]Contribuyentes ANSES'!F65-'[1]Contribuyentes ANSES'!H65)/('[1]Beneficiarios de jubilaciones'!B11+'[1]Beneficiarios de jubilaciones'!V13)</f>
        <v>2.36490785503472</v>
      </c>
      <c r="J13" s="807" t="n">
        <f aca="false">J12+1</f>
        <v>2003</v>
      </c>
      <c r="K13" s="810" t="n">
        <f aca="false">(SUM('[1]Beneficiarios de AAFF y AUH'!C13:F13))/'[1]Población 1950-2100'!$BC$81</f>
        <v>0.0447118584621405</v>
      </c>
      <c r="L13" s="810"/>
      <c r="M13" s="810" t="n">
        <f aca="false">K13+L13</f>
        <v>0.0447118584621405</v>
      </c>
    </row>
    <row r="14" customFormat="false" ht="15" hidden="false" customHeight="false" outlineLevel="0" collapsed="false">
      <c r="C14" s="802" t="n">
        <f aca="false">C13+1</f>
        <v>2004</v>
      </c>
      <c r="D14" s="803" t="n">
        <f aca="false">('[1]Beneficiarios de jubilaciones'!O14+'[1]Beneficiarios de jubilaciones'!Q14+'[1]Beneficiarios de jubilaciones'!S14+'[1]Beneficiarios de jubilaciones'!U14)/'[1]Población 1950-2100'!BD80</f>
        <v>0.390552011548444</v>
      </c>
      <c r="E14" s="803" t="n">
        <f aca="false">'[1]Contribuyentes ANSES'!D66/'[1]Población 1950-2100'!$BD$82</f>
        <v>0.283873904843088</v>
      </c>
      <c r="F14" s="804" t="n">
        <f aca="false">'[1]Contribuyentes ANSES'!C14*1000000/'[1]Beneficiarios de jubilaciones'!V14</f>
        <v>0.54958704029792</v>
      </c>
      <c r="G14" s="804" t="n">
        <f aca="false">'[1]Contribuyentes ANSES'!D66/('[1]Beneficiarios de jubilaciones'!B12+'[1]Beneficiarios de jubilaciones'!V14)</f>
        <v>3.05852781452744</v>
      </c>
      <c r="H14" s="804" t="n">
        <f aca="false">('[1]Contribuyentes ANSES'!D66-'[1]Contribuyentes ANSES'!F66-'[1]Contribuyentes ANSES'!H66)/('[1]Beneficiarios de jubilaciones'!B12+'[1]Beneficiarios de jubilaciones'!V14)</f>
        <v>2.62459035185066</v>
      </c>
      <c r="J14" s="805" t="n">
        <f aca="false">J13+1</f>
        <v>2004</v>
      </c>
      <c r="K14" s="806" t="n">
        <f aca="false">(SUM('[1]Beneficiarios de AAFF y AUH'!C14:F14))/'[1]Población 1950-2100'!$BD$81</f>
        <v>0.0570531931956199</v>
      </c>
      <c r="L14" s="806"/>
      <c r="M14" s="806" t="n">
        <f aca="false">K14+L14</f>
        <v>0.0570531931956199</v>
      </c>
    </row>
    <row r="15" customFormat="false" ht="15" hidden="false" customHeight="false" outlineLevel="0" collapsed="false">
      <c r="C15" s="807" t="n">
        <f aca="false">C14+1</f>
        <v>2005</v>
      </c>
      <c r="D15" s="808" t="n">
        <f aca="false">('[1]Beneficiarios de jubilaciones'!O15+'[1]Beneficiarios de jubilaciones'!Q15+'[1]Beneficiarios de jubilaciones'!S15+'[1]Beneficiarios de jubilaciones'!U15)/'[1]Población 1950-2100'!BE80</f>
        <v>0.37950052827156</v>
      </c>
      <c r="E15" s="808" t="n">
        <f aca="false">'[1]Contribuyentes ANSES'!D67/'[1]Población 1950-2100'!$BE$82</f>
        <v>0.310004910945473</v>
      </c>
      <c r="F15" s="809" t="n">
        <f aca="false">'[1]Contribuyentes ANSES'!C15*1000000/'[1]Beneficiarios de jubilaciones'!V15</f>
        <v>0.668035025076365</v>
      </c>
      <c r="G15" s="809" t="n">
        <f aca="false">'[1]Contribuyentes ANSES'!D67/('[1]Beneficiarios de jubilaciones'!B13+'[1]Beneficiarios de jubilaciones'!V15)</f>
        <v>3.35931357455726</v>
      </c>
      <c r="H15" s="809" t="n">
        <f aca="false">('[1]Contribuyentes ANSES'!D67-'[1]Contribuyentes ANSES'!F67-'[1]Contribuyentes ANSES'!H67)/('[1]Beneficiarios de jubilaciones'!B13+'[1]Beneficiarios de jubilaciones'!V15)</f>
        <v>2.85289131017769</v>
      </c>
      <c r="J15" s="807" t="n">
        <f aca="false">J14+1</f>
        <v>2005</v>
      </c>
      <c r="K15" s="810" t="n">
        <f aca="false">(SUM('[1]Beneficiarios de AAFF y AUH'!C15:F15))/'[1]Población 1950-2100'!$BE$81</f>
        <v>0.0933237171146911</v>
      </c>
      <c r="L15" s="810"/>
      <c r="M15" s="810" t="n">
        <f aca="false">K15+L15</f>
        <v>0.0933237171146911</v>
      </c>
    </row>
    <row r="16" customFormat="false" ht="15" hidden="false" customHeight="false" outlineLevel="0" collapsed="false">
      <c r="C16" s="802" t="n">
        <f aca="false">C15+1</f>
        <v>2006</v>
      </c>
      <c r="D16" s="803" t="n">
        <f aca="false">('[1]Beneficiarios de jubilaciones'!O16+'[1]Beneficiarios de jubilaciones'!Q16+'[1]Beneficiarios de jubilaciones'!S16+'[1]Beneficiarios de jubilaciones'!U16)/'[1]Población 1950-2100'!BF80</f>
        <v>0.409932272818653</v>
      </c>
      <c r="E16" s="803" t="n">
        <f aca="false">'[1]Contribuyentes ANSES'!D68/'[1]Población 1950-2100'!$BF$82</f>
        <v>0.335636017318812</v>
      </c>
      <c r="F16" s="804" t="n">
        <f aca="false">'[1]Contribuyentes ANSES'!C16*1000000/'[1]Beneficiarios de jubilaciones'!V16</f>
        <v>0.709768184641123</v>
      </c>
      <c r="G16" s="804" t="n">
        <f aca="false">'[1]Contribuyentes ANSES'!D68/('[1]Beneficiarios de jubilaciones'!B14+'[1]Beneficiarios de jubilaciones'!V16)</f>
        <v>3.30801928431984</v>
      </c>
      <c r="H16" s="804" t="n">
        <f aca="false">('[1]Contribuyentes ANSES'!D68-'[1]Contribuyentes ANSES'!F68-'[1]Contribuyentes ANSES'!H68)/('[1]Beneficiarios de jubilaciones'!B14+'[1]Beneficiarios de jubilaciones'!V16)</f>
        <v>2.74418776678254</v>
      </c>
      <c r="J16" s="805" t="n">
        <f aca="false">J15+1</f>
        <v>2006</v>
      </c>
      <c r="K16" s="806" t="n">
        <f aca="false">(SUM('[1]Beneficiarios de AAFF y AUH'!C16:F16))/'[1]Población 1950-2100'!$BF$81</f>
        <v>0.127012058907103</v>
      </c>
      <c r="L16" s="806"/>
      <c r="M16" s="806" t="n">
        <f aca="false">K16+L16</f>
        <v>0.127012058907103</v>
      </c>
    </row>
    <row r="17" customFormat="false" ht="15" hidden="false" customHeight="false" outlineLevel="0" collapsed="false">
      <c r="C17" s="807" t="n">
        <f aca="false">C16+1</f>
        <v>2007</v>
      </c>
      <c r="D17" s="808" t="n">
        <f aca="false">('[1]Beneficiarios de jubilaciones'!O17+'[1]Beneficiarios de jubilaciones'!Q17+'[1]Beneficiarios de jubilaciones'!S17+'[1]Beneficiarios de jubilaciones'!U17)/'[1]Población 1950-2100'!BG80</f>
        <v>0.63254954409942</v>
      </c>
      <c r="E17" s="808" t="n">
        <f aca="false">'[1]Contribuyentes ANSES'!D69/'[1]Población 1950-2100'!$BG$82</f>
        <v>0.356550153228881</v>
      </c>
      <c r="F17" s="809" t="n">
        <f aca="false">'[1]Contribuyentes ANSES'!C17*1000000/'[1]Beneficiarios de jubilaciones'!V17</f>
        <v>0.710857672399949</v>
      </c>
      <c r="G17" s="809" t="n">
        <f aca="false">'[1]Contribuyentes ANSES'!D69/('[1]Beneficiarios de jubilaciones'!B15+'[1]Beneficiarios de jubilaciones'!V17)</f>
        <v>2.29416391153813</v>
      </c>
      <c r="H17" s="809" t="n">
        <f aca="false">('[1]Contribuyentes ANSES'!D69-'[1]Contribuyentes ANSES'!F69-'[1]Contribuyentes ANSES'!H69)/('[1]Beneficiarios de jubilaciones'!B15+'[1]Beneficiarios de jubilaciones'!V17)</f>
        <v>1.89488364162643</v>
      </c>
      <c r="J17" s="807" t="n">
        <f aca="false">J16+1</f>
        <v>2007</v>
      </c>
      <c r="K17" s="810" t="n">
        <f aca="false">(SUM('[1]Beneficiarios de AAFF y AUH'!C17:F17))/'[1]Población 1950-2100'!$BG$81</f>
        <v>0.154027801449047</v>
      </c>
      <c r="L17" s="810"/>
      <c r="M17" s="810" t="n">
        <f aca="false">K17+L17</f>
        <v>0.154027801449047</v>
      </c>
    </row>
    <row r="18" customFormat="false" ht="15" hidden="false" customHeight="false" outlineLevel="0" collapsed="false">
      <c r="C18" s="802" t="s">
        <v>1074</v>
      </c>
      <c r="D18" s="803"/>
      <c r="E18" s="803"/>
      <c r="F18" s="804" t="n">
        <f aca="false">'[1]Contribuyentes ANSES'!C18*1000000/'[1]Beneficiarios de jubilaciones'!V18</f>
        <v>0.96887848326063</v>
      </c>
      <c r="G18" s="804" t="n">
        <f aca="false">'[1]Contribuyentes ANSES'!D70/('[1]Beneficiarios de jubilaciones'!B16+'[1]Beneficiarios de jubilaciones'!V18)</f>
        <v>2.12580398991488</v>
      </c>
      <c r="H18" s="804" t="n">
        <f aca="false">('[1]Contribuyentes ANSES'!D70-'[1]Contribuyentes ANSES'!F70-'[1]Contribuyentes ANSES'!H70)/('[1]Beneficiarios de jubilaciones'!B16+'[1]Beneficiarios de jubilaciones'!V18)</f>
        <v>1.73064396833894</v>
      </c>
      <c r="J18" s="805" t="n">
        <f aca="false">J17+1</f>
        <v>2008</v>
      </c>
      <c r="K18" s="806" t="n">
        <f aca="false">(SUM('[1]Beneficiarios de AAFF y AUH'!C18:F18))/'[1]Población 1950-2100'!$BH$81</f>
        <v>0.184085966027222</v>
      </c>
      <c r="L18" s="806"/>
      <c r="M18" s="806" t="n">
        <f aca="false">K18+L18</f>
        <v>0.184085966027222</v>
      </c>
    </row>
    <row r="19" customFormat="false" ht="15" hidden="false" customHeight="false" outlineLevel="0" collapsed="false">
      <c r="C19" s="807" t="s">
        <v>1075</v>
      </c>
      <c r="D19" s="808" t="n">
        <f aca="false">('[1]Beneficiarios de jubilaciones'!O18+'[1]Beneficiarios de jubilaciones'!Q18+'[1]Beneficiarios de jubilaciones'!S18+'[1]Beneficiarios de jubilaciones'!U18)/'[1]Población 1950-2100'!BH80</f>
        <v>0.705060614769156</v>
      </c>
      <c r="E19" s="808" t="n">
        <f aca="false">'[1]Contribuyentes ANSES'!D70/'[1]Población 1950-2100'!$BH$82</f>
        <v>0.366468763007239</v>
      </c>
      <c r="F19" s="809" t="n">
        <f aca="false">G19</f>
        <v>2.37190742537071</v>
      </c>
      <c r="G19" s="809" t="n">
        <f aca="false">'[1]Contribuyentes ANSES'!D70/('[1]Beneficiarios de jubilaciones'!B17+'[1]Beneficiarios de jubilaciones'!V18)</f>
        <v>2.37190742537071</v>
      </c>
      <c r="H19" s="809" t="n">
        <f aca="false">('[1]Contribuyentes ANSES'!D70-'[1]Contribuyentes ANSES'!F70-'[1]Contribuyentes ANSES'!H70)/('[1]Beneficiarios de jubilaciones'!B17+'[1]Beneficiarios de jubilaciones'!V18)</f>
        <v>1.9309998939933</v>
      </c>
      <c r="J19" s="807" t="n">
        <f aca="false">J18+1</f>
        <v>2009</v>
      </c>
      <c r="K19" s="810" t="n">
        <f aca="false">(SUM('[1]Beneficiarios de AAFF y AUH'!C19:F19))/'[1]Población 1950-2100'!$BI$81</f>
        <v>0.242310545647974</v>
      </c>
      <c r="L19" s="810" t="n">
        <f aca="false">(SUM('[1]Beneficiarios de AAFF y AUH'!G19:H19))/'[1]Población 1950-2100'!$BI$81</f>
        <v>0.265905834578891</v>
      </c>
      <c r="M19" s="810" t="n">
        <f aca="false">K19+L19</f>
        <v>0.508216380226865</v>
      </c>
    </row>
    <row r="20" customFormat="false" ht="15" hidden="false" customHeight="false" outlineLevel="0" collapsed="false">
      <c r="C20" s="802" t="n">
        <v>2009</v>
      </c>
      <c r="D20" s="803" t="n">
        <f aca="false">('[1]Beneficiarios de jubilaciones'!O19+'[1]Beneficiarios de jubilaciones'!Q19+'[1]Beneficiarios de jubilaciones'!S19+'[1]Beneficiarios de jubilaciones'!U19)/'[1]Población 1950-2100'!BI80</f>
        <v>0.786610589184852</v>
      </c>
      <c r="E20" s="803" t="n">
        <f aca="false">'[1]Contribuyentes ANSES'!D71/'[1]Población 1950-2100'!$BI$82</f>
        <v>0.36903840566531</v>
      </c>
      <c r="F20" s="804"/>
      <c r="G20" s="804" t="n">
        <f aca="false">'[1]Contribuyentes ANSES'!D71/(+'[1]Beneficiarios de jubilaciones'!V19)</f>
        <v>2.09483996077633</v>
      </c>
      <c r="H20" s="804" t="n">
        <f aca="false">('[1]Contribuyentes ANSES'!D71-'[1]Contribuyentes ANSES'!F71-'[1]Contribuyentes ANSES'!H71)/('[1]Beneficiarios de jubilaciones'!V19)</f>
        <v>1.68787830456227</v>
      </c>
      <c r="J20" s="805" t="n">
        <f aca="false">J19+1</f>
        <v>2010</v>
      </c>
      <c r="K20" s="806" t="n">
        <f aca="false">(SUM('[1]Beneficiarios de AAFF y AUH'!C20:F20))/'[1]Población 1950-2100'!$BJ$81</f>
        <v>0.259920416015888</v>
      </c>
      <c r="L20" s="806" t="n">
        <f aca="false">(SUM('[1]Beneficiarios de AAFF y AUH'!G20:H20))/'[1]Población 1950-2100'!$BJ$81</f>
        <v>0.274917580193644</v>
      </c>
      <c r="M20" s="806" t="n">
        <f aca="false">K20+L20</f>
        <v>0.534837996209532</v>
      </c>
    </row>
    <row r="21" customFormat="false" ht="15" hidden="false" customHeight="false" outlineLevel="0" collapsed="false">
      <c r="C21" s="807" t="n">
        <f aca="false">C20+1</f>
        <v>2010</v>
      </c>
      <c r="D21" s="808" t="n">
        <f aca="false">('[1]Beneficiarios de jubilaciones'!O20+'[1]Beneficiarios de jubilaciones'!Q20+'[1]Beneficiarios de jubilaciones'!S20+'[1]Beneficiarios de jubilaciones'!U20)/'[1]Población 1950-2100'!BJ80</f>
        <v>0.80138193135938</v>
      </c>
      <c r="E21" s="808" t="n">
        <f aca="false">'[1]Contribuyentes ANSES'!D72/'[1]Población 1950-2100'!$BJ$82</f>
        <v>0.380237684822312</v>
      </c>
      <c r="F21" s="809"/>
      <c r="G21" s="809" t="n">
        <f aca="false">'[1]Contribuyentes ANSES'!D72/(+'[1]Beneficiarios de jubilaciones'!V20)</f>
        <v>2.09728900478609</v>
      </c>
      <c r="H21" s="809" t="n">
        <f aca="false">('[1]Contribuyentes ANSES'!D72-'[1]Contribuyentes ANSES'!F72-'[1]Contribuyentes ANSES'!H72)/('[1]Beneficiarios de jubilaciones'!V20)</f>
        <v>1.68411186273806</v>
      </c>
      <c r="J21" s="807" t="n">
        <f aca="false">J20+1</f>
        <v>2011</v>
      </c>
      <c r="K21" s="810" t="n">
        <f aca="false">(SUM('[1]Beneficiarios de AAFF y AUH'!C21:F21))/'[1]Población 1950-2100'!$BK$81</f>
        <v>0.283533164030937</v>
      </c>
      <c r="L21" s="810" t="n">
        <f aca="false">(SUM('[1]Beneficiarios de AAFF y AUH'!G21:H21))/'[1]Población 1950-2100'!$BK$81</f>
        <v>0.277432403195845</v>
      </c>
      <c r="M21" s="810" t="n">
        <f aca="false">K21+L21</f>
        <v>0.560965567226782</v>
      </c>
    </row>
    <row r="22" customFormat="false" ht="15" hidden="false" customHeight="false" outlineLevel="0" collapsed="false">
      <c r="C22" s="802" t="n">
        <f aca="false">C21+1</f>
        <v>2011</v>
      </c>
      <c r="D22" s="803" t="n">
        <f aca="false">('[1]Beneficiarios de jubilaciones'!O21+'[1]Beneficiarios de jubilaciones'!Q21+'[1]Beneficiarios de jubilaciones'!S21+'[1]Beneficiarios de jubilaciones'!U21)/'[1]Población 1950-2100'!BK80</f>
        <v>0.799365838051898</v>
      </c>
      <c r="E22" s="803" t="n">
        <f aca="false">'[1]Contribuyentes ANSES'!D73/'[1]Población 1950-2100'!$BK$82</f>
        <v>0.39150767662946</v>
      </c>
      <c r="F22" s="804"/>
      <c r="G22" s="804" t="n">
        <f aca="false">'[1]Contribuyentes ANSES'!D73/(+'[1]Beneficiarios de jubilaciones'!V21)</f>
        <v>2.15631455397416</v>
      </c>
      <c r="H22" s="804" t="n">
        <f aca="false">('[1]Contribuyentes ANSES'!D73-'[1]Contribuyentes ANSES'!F73-'[1]Contribuyentes ANSES'!H73)/('[1]Beneficiarios de jubilaciones'!V21)</f>
        <v>1.72355323761796</v>
      </c>
      <c r="J22" s="805" t="n">
        <f aca="false">J21+1</f>
        <v>2012</v>
      </c>
      <c r="K22" s="806" t="n">
        <f aca="false">(SUM('[1]Beneficiarios de AAFF y AUH'!C22:F22))/'[1]Población 1950-2100'!$BL$81</f>
        <v>0.256303561618946</v>
      </c>
      <c r="L22" s="806" t="n">
        <f aca="false">(SUM('[1]Beneficiarios de AAFF y AUH'!G22:H22))/'[1]Población 1950-2100'!$BL$81</f>
        <v>0.265419840607358</v>
      </c>
      <c r="M22" s="806" t="n">
        <f aca="false">K22+L22</f>
        <v>0.521723402226304</v>
      </c>
    </row>
    <row r="23" customFormat="false" ht="15" hidden="false" customHeight="false" outlineLevel="0" collapsed="false">
      <c r="C23" s="807" t="n">
        <f aca="false">C22+1</f>
        <v>2012</v>
      </c>
      <c r="D23" s="808" t="n">
        <f aca="false">('[1]Beneficiarios de jubilaciones'!O22+'[1]Beneficiarios de jubilaciones'!Q22+'[1]Beneficiarios de jubilaciones'!S22+'[1]Beneficiarios de jubilaciones'!U22)/'[1]Población 1950-2100'!BL80</f>
        <v>0.787979673083566</v>
      </c>
      <c r="E23" s="808" t="n">
        <f aca="false">'[1]Contribuyentes ANSES'!D74/'[1]Población 1950-2100'!$BL$82</f>
        <v>0.391994461323093</v>
      </c>
      <c r="F23" s="809"/>
      <c r="G23" s="809" t="n">
        <f aca="false">'[1]Contribuyentes ANSES'!D74/(+'[1]Beneficiarios de jubilaciones'!V22)</f>
        <v>2.1706679950859</v>
      </c>
      <c r="H23" s="809" t="n">
        <f aca="false">('[1]Contribuyentes ANSES'!D74-'[1]Contribuyentes ANSES'!F74-'[1]Contribuyentes ANSES'!H74)/('[1]Beneficiarios de jubilaciones'!V22)</f>
        <v>1.71988233555304</v>
      </c>
      <c r="J23" s="807" t="n">
        <f aca="false">J22+1</f>
        <v>2013</v>
      </c>
      <c r="K23" s="810" t="n">
        <f aca="false">(SUM('[1]Beneficiarios de AAFF y AUH'!C23:F23))/'[1]Población 1950-2100'!$BM$81</f>
        <v>0.298280426889674</v>
      </c>
      <c r="L23" s="810" t="n">
        <f aca="false">(SUM('[1]Beneficiarios de AAFF y AUH'!G23:H23))/'[1]Población 1950-2100'!$BM$81</f>
        <v>0.260316413846619</v>
      </c>
      <c r="M23" s="810" t="n">
        <f aca="false">K23+L23</f>
        <v>0.558596840736292</v>
      </c>
    </row>
    <row r="24" customFormat="false" ht="15" hidden="false" customHeight="false" outlineLevel="0" collapsed="false">
      <c r="C24" s="802" t="n">
        <f aca="false">C23+1</f>
        <v>2013</v>
      </c>
      <c r="D24" s="803" t="n">
        <f aca="false">('[1]Beneficiarios de jubilaciones'!O23+'[1]Beneficiarios de jubilaciones'!Q23+'[1]Beneficiarios de jubilaciones'!S23+'[1]Beneficiarios de jubilaciones'!U23)/'[1]Población 1950-2100'!BM80</f>
        <v>0.777724938534277</v>
      </c>
      <c r="E24" s="803" t="n">
        <f aca="false">'[1]Contribuyentes ANSES'!D75/'[1]Población 1950-2100'!$BM$82</f>
        <v>0.401764904649651</v>
      </c>
      <c r="F24" s="804"/>
      <c r="G24" s="804" t="n">
        <f aca="false">'[1]Contribuyentes ANSES'!D75/(+'[1]Beneficiarios de jubilaciones'!V23)</f>
        <v>2.23705824874923</v>
      </c>
      <c r="H24" s="804" t="n">
        <f aca="false">('[1]Contribuyentes ANSES'!D75-'[1]Contribuyentes ANSES'!F75-'[1]Contribuyentes ANSES'!H75)/('[1]Beneficiarios de jubilaciones'!V23)</f>
        <v>1.72863446165932</v>
      </c>
      <c r="J24" s="805" t="n">
        <f aca="false">J23+1</f>
        <v>2014</v>
      </c>
      <c r="K24" s="806" t="n">
        <f aca="false">(SUM('[1]Beneficiarios de AAFF y AUH'!C24:F24))/'[1]Población 1950-2100'!$BN$81</f>
        <v>0.327569516434364</v>
      </c>
      <c r="L24" s="806" t="n">
        <f aca="false">(SUM('[1]Beneficiarios de AAFF y AUH'!G24:H24))/'[1]Población 1950-2100'!$BN$81</f>
        <v>0.265648822789121</v>
      </c>
      <c r="M24" s="806" t="n">
        <f aca="false">K24+L24</f>
        <v>0.593218339223485</v>
      </c>
    </row>
    <row r="25" customFormat="false" ht="15" hidden="false" customHeight="false" outlineLevel="0" collapsed="false">
      <c r="C25" s="807" t="n">
        <f aca="false">C24+1</f>
        <v>2014</v>
      </c>
      <c r="D25" s="808" t="n">
        <f aca="false">('[1]Beneficiarios de jubilaciones'!O24+'[1]Beneficiarios de jubilaciones'!Q24+'[1]Beneficiarios de jubilaciones'!S24+'[1]Beneficiarios de jubilaciones'!U24)/'[1]Población 1950-2100'!BN80</f>
        <v>0.768773320409193</v>
      </c>
      <c r="E25" s="808" t="n">
        <f aca="false">'[1]Contribuyentes ANSES'!D76/'[1]Población 1950-2100'!$BN$82</f>
        <v>0.398102162892115</v>
      </c>
      <c r="F25" s="809"/>
      <c r="G25" s="809" t="n">
        <f aca="false">'[1]Contribuyentes ANSES'!D76/(+'[1]Beneficiarios de jubilaciones'!V24)</f>
        <v>2.22414059939898</v>
      </c>
      <c r="H25" s="809" t="n">
        <f aca="false">('[1]Contribuyentes ANSES'!D76-'[1]Contribuyentes ANSES'!F76-'[1]Contribuyentes ANSES'!H76)/('[1]Beneficiarios de jubilaciones'!V24)</f>
        <v>1.71940339717116</v>
      </c>
      <c r="J25" s="807" t="n">
        <f aca="false">J24+1</f>
        <v>2015</v>
      </c>
      <c r="K25" s="810" t="n">
        <f aca="false">(SUM('[1]Beneficiarios de AAFF y AUH'!C25:F25))/'[1]Población 1950-2100'!$BO$81</f>
        <v>0.295267369774937</v>
      </c>
      <c r="L25" s="810" t="n">
        <f aca="false">(SUM('[1]Beneficiarios de AAFF y AUH'!G25:H25))/'[1]Población 1950-2100'!$BO$81</f>
        <v>0.275595845412197</v>
      </c>
      <c r="M25" s="810" t="n">
        <f aca="false">K25+L25</f>
        <v>0.570863215187134</v>
      </c>
    </row>
    <row r="26" customFormat="false" ht="15" hidden="false" customHeight="false" outlineLevel="0" collapsed="false">
      <c r="C26" s="802" t="n">
        <f aca="false">C25+1</f>
        <v>2015</v>
      </c>
      <c r="D26" s="803" t="n">
        <f aca="false">('[1]Beneficiarios de jubilaciones'!O25+'[1]Beneficiarios de jubilaciones'!Q25+'[1]Beneficiarios de jubilaciones'!S25+'[1]Beneficiarios de jubilaciones'!U25)/'[1]Población 1950-2100'!BO80</f>
        <v>0.833199646077662</v>
      </c>
      <c r="E26" s="803" t="n">
        <f aca="false">'[1]Contribuyentes ANSES'!D77/'[1]Población 1950-2100'!$BO$82</f>
        <v>0.399576055536816</v>
      </c>
      <c r="F26" s="804"/>
      <c r="G26" s="804" t="n">
        <f aca="false">'[1]Contribuyentes ANSES'!D77/(+'[1]Beneficiarios de jubilaciones'!V25)</f>
        <v>2.04226479570593</v>
      </c>
      <c r="H26" s="804" t="n">
        <f aca="false">('[1]Contribuyentes ANSES'!D77-'[1]Contribuyentes ANSES'!F77-'[1]Contribuyentes ANSES'!H77)/('[1]Beneficiarios de jubilaciones'!V25)</f>
        <v>1.57719696805286</v>
      </c>
      <c r="J26" s="805" t="n">
        <f aca="false">J25+1</f>
        <v>2016</v>
      </c>
      <c r="K26" s="806" t="n">
        <f aca="false">(SUM('[1]Beneficiarios de AAFF y AUH'!C26:F26))/'[1]Población 1950-2100'!$BP$81</f>
        <v>0.347544212007722</v>
      </c>
      <c r="L26" s="806" t="n">
        <f aca="false">(SUM('[1]Beneficiarios de AAFF y AUH'!G26:H26))/'[1]Población 1950-2100'!$BP$81</f>
        <v>0.298096864169474</v>
      </c>
      <c r="M26" s="806" t="n">
        <f aca="false">K26+L26</f>
        <v>0.645641076177196</v>
      </c>
    </row>
    <row r="27" customFormat="false" ht="15" hidden="false" customHeight="false" outlineLevel="0" collapsed="false">
      <c r="C27" s="807" t="n">
        <f aca="false">C26+1</f>
        <v>2016</v>
      </c>
      <c r="D27" s="808" t="n">
        <f aca="false">('[1]Beneficiarios de jubilaciones'!O26+'[1]Beneficiarios de jubilaciones'!Q26+'[1]Beneficiarios de jubilaciones'!S26+'[1]Beneficiarios de jubilaciones'!U26)/'[1]Población 1950-2100'!BP80</f>
        <v>0.863103308314818</v>
      </c>
      <c r="E27" s="808" t="n">
        <f aca="false">'[1]Contribuyentes ANSES'!D78/'[1]Población 1950-2100'!$BP$82</f>
        <v>0.398213610092985</v>
      </c>
      <c r="F27" s="809"/>
      <c r="G27" s="809" t="n">
        <f aca="false">'[1]Contribuyentes ANSES'!D78/(+'[1]Beneficiarios de jubilaciones'!V26)</f>
        <v>1.94270018693761</v>
      </c>
      <c r="H27" s="809" t="n">
        <f aca="false">('[1]Contribuyentes ANSES'!D78-'[1]Contribuyentes ANSES'!F78-'[1]Contribuyentes ANSES'!H78)/('[1]Beneficiarios de jubilaciones'!V26)</f>
        <v>1.48536581595343</v>
      </c>
      <c r="J27" s="807" t="n">
        <f aca="false">J26+1</f>
        <v>2017</v>
      </c>
      <c r="K27" s="810" t="n">
        <f aca="false">(SUM('[1]Beneficiarios de AAFF y AUH'!C27:F27))/'[1]Población 1950-2100'!$BQ$81</f>
        <v>0.377740339976755</v>
      </c>
      <c r="L27" s="810" t="n">
        <f aca="false">(SUM('[1]Beneficiarios de AAFF y AUH'!G27:H27))/'[1]Población 1950-2100'!$BQ$81</f>
        <v>0.299303500751424</v>
      </c>
      <c r="M27" s="810" t="n">
        <f aca="false">K27+L27</f>
        <v>0.677043840728179</v>
      </c>
    </row>
    <row r="28" customFormat="false" ht="15" hidden="false" customHeight="false" outlineLevel="0" collapsed="false">
      <c r="C28" s="802" t="n">
        <f aca="false">C27+1</f>
        <v>2017</v>
      </c>
      <c r="D28" s="803" t="n">
        <f aca="false">('[1]Beneficiarios de jubilaciones'!O27+'[1]Beneficiarios de jubilaciones'!Q27+'[1]Beneficiarios de jubilaciones'!S27+'[1]Beneficiarios de jubilaciones'!U27)/'[1]Población 1950-2100'!BQ80</f>
        <v>0.870017671871194</v>
      </c>
      <c r="E28" s="803" t="n">
        <f aca="false">'[1]Contribuyentes ANSES'!D79/'[1]Población 1950-2100'!$BQ$82</f>
        <v>0.400671972234934</v>
      </c>
      <c r="F28" s="804"/>
      <c r="G28" s="804" t="n">
        <f aca="false">'[1]Contribuyentes ANSES'!D79/(+'[1]Beneficiarios de jubilaciones'!V27)</f>
        <v>1.92252503252826</v>
      </c>
      <c r="H28" s="804" t="n">
        <f aca="false">('[1]Contribuyentes ANSES'!D79-'[1]Contribuyentes ANSES'!F79-'[1]Contribuyentes ANSES'!H79)/('[1]Beneficiarios de jubilaciones'!V27)</f>
        <v>1.45867999776781</v>
      </c>
      <c r="J28" s="805" t="n">
        <f aca="false">J27+1</f>
        <v>2018</v>
      </c>
      <c r="K28" s="806" t="n">
        <f aca="false">(SUM('[1]Beneficiarios de AAFF y AUH'!C28:F28))/'[1]Población 1950-2100'!$BR$81</f>
        <v>0.386530208370114</v>
      </c>
      <c r="L28" s="806" t="n">
        <f aca="false">(SUM('[1]Beneficiarios de AAFF y AUH'!G28:H28))/'[1]Población 1950-2100'!$BR$81</f>
        <v>0.301193002122483</v>
      </c>
      <c r="M28" s="806" t="n">
        <f aca="false">K28+L28</f>
        <v>0.687723210492596</v>
      </c>
    </row>
    <row r="29" customFormat="false" ht="15" hidden="false" customHeight="false" outlineLevel="0" collapsed="false">
      <c r="C29" s="807" t="n">
        <f aca="false">C28+1</f>
        <v>2018</v>
      </c>
      <c r="D29" s="808" t="n">
        <f aca="false">('[1]Beneficiarios de jubilaciones'!O28+'[1]Beneficiarios de jubilaciones'!Q28+'[1]Beneficiarios de jubilaciones'!S28+'[1]Beneficiarios de jubilaciones'!U28)/'[1]Población 1950-2100'!BR80</f>
        <v>0.868073462837484</v>
      </c>
      <c r="E29" s="808" t="n">
        <f aca="false">AVERAGE('[1]Contribuyentes ANSES'!D80:D85)/'[1]Población 1950-2100'!$BR$82</f>
        <v>0.391165444601637</v>
      </c>
      <c r="F29" s="809"/>
      <c r="G29" s="809" t="n">
        <f aca="false">'[1]Contribuyentes ANSES'!D80/(+'[1]Beneficiarios de jubilaciones'!V28)</f>
        <v>1.90605735985539</v>
      </c>
      <c r="H29" s="809" t="n">
        <f aca="false">('[1]Contribuyentes ANSES'!D80-'[1]Contribuyentes ANSES'!F80-'[1]Contribuyentes ANSES'!H80)/('[1]Beneficiarios de jubilaciones'!V28)</f>
        <v>1.44673032098148</v>
      </c>
      <c r="J29" s="0" t="s">
        <v>1076</v>
      </c>
    </row>
    <row r="30" customFormat="false" ht="15" hidden="false" customHeight="false" outlineLevel="0" collapsed="false">
      <c r="B30" s="0" t="s">
        <v>1077</v>
      </c>
      <c r="D30" s="0" t="s">
        <v>1078</v>
      </c>
      <c r="E30" s="811" t="s">
        <v>1079</v>
      </c>
      <c r="F30" s="0" t="s">
        <v>1080</v>
      </c>
      <c r="G30" s="0" t="s">
        <v>1081</v>
      </c>
      <c r="H30" s="0" t="s">
        <v>1082</v>
      </c>
    </row>
    <row r="31" customFormat="false" ht="30" hidden="false" customHeight="false" outlineLevel="0" collapsed="false">
      <c r="J31" s="812"/>
      <c r="K31" s="813" t="str">
        <f aca="false">'[1]Contribuyentes ANSES'!D55</f>
        <v>Total de aportantes(1)</v>
      </c>
      <c r="L31" s="814" t="str">
        <f aca="false">'[1]Contribuyentes ANSES'!E55</f>
        <v>Relación de
dependencia</v>
      </c>
      <c r="M31" s="814" t="str">
        <f aca="false">'[1]Contribuyentes ANSES'!F55</f>
        <v>Casas Particulares</v>
      </c>
      <c r="N31" s="814" t="str">
        <f aca="false">'[1]Contribuyentes ANSES'!G55</f>
        <v>Autónomos</v>
      </c>
      <c r="O31" s="814" t="str">
        <f aca="false">'[1]Contribuyentes ANSES'!H55</f>
        <v>Monotributo(2)</v>
      </c>
      <c r="P31" s="814" t="s">
        <v>1083</v>
      </c>
    </row>
    <row r="32" customFormat="false" ht="15" hidden="false" customHeight="false" outlineLevel="0" collapsed="false">
      <c r="J32" s="815" t="n">
        <v>1994</v>
      </c>
      <c r="K32" s="816" t="n">
        <f aca="false">'[1]Contribuyentes ANSES'!D56</f>
        <v>5133337</v>
      </c>
      <c r="L32" s="816" t="n">
        <f aca="false">'[1]Contribuyentes ANSES'!E56</f>
        <v>3700589</v>
      </c>
      <c r="M32" s="816" t="n">
        <f aca="false">'[1]Contribuyentes ANSES'!F56</f>
        <v>0</v>
      </c>
      <c r="N32" s="816" t="n">
        <f aca="false">'[1]Contribuyentes ANSES'!G56</f>
        <v>1530834</v>
      </c>
      <c r="O32" s="816" t="n">
        <f aca="false">'[1]Contribuyentes ANSES'!H56</f>
        <v>0</v>
      </c>
      <c r="P32" s="815" t="n">
        <f aca="false">'[1]Contribuyentes ANSES'!D4*1000000</f>
        <v>2600000</v>
      </c>
    </row>
    <row r="33" customFormat="false" ht="15" hidden="false" customHeight="false" outlineLevel="0" collapsed="false">
      <c r="J33" s="807" t="n">
        <f aca="false">J32+1</f>
        <v>1995</v>
      </c>
      <c r="K33" s="817" t="n">
        <f aca="false">'[1]Contribuyentes ANSES'!D57</f>
        <v>4706946</v>
      </c>
      <c r="L33" s="817" t="n">
        <f aca="false">'[1]Contribuyentes ANSES'!E57</f>
        <v>3481583</v>
      </c>
      <c r="M33" s="817" t="n">
        <f aca="false">'[1]Contribuyentes ANSES'!F57</f>
        <v>0</v>
      </c>
      <c r="N33" s="817" t="n">
        <f aca="false">'[1]Contribuyentes ANSES'!G57</f>
        <v>1313960</v>
      </c>
      <c r="O33" s="817" t="n">
        <f aca="false">'[1]Contribuyentes ANSES'!H57</f>
        <v>0</v>
      </c>
      <c r="P33" s="807" t="n">
        <f aca="false">'[1]Contribuyentes ANSES'!D5*1000000</f>
        <v>2900000</v>
      </c>
    </row>
    <row r="34" customFormat="false" ht="15" hidden="false" customHeight="false" outlineLevel="0" collapsed="false">
      <c r="J34" s="815" t="n">
        <f aca="false">J33+1</f>
        <v>1996</v>
      </c>
      <c r="K34" s="816" t="n">
        <f aca="false">'[1]Contribuyentes ANSES'!D58</f>
        <v>4910831</v>
      </c>
      <c r="L34" s="816" t="n">
        <f aca="false">'[1]Contribuyentes ANSES'!E58</f>
        <v>3929008</v>
      </c>
      <c r="M34" s="816" t="n">
        <f aca="false">'[1]Contribuyentes ANSES'!F58</f>
        <v>0</v>
      </c>
      <c r="N34" s="816" t="n">
        <f aca="false">'[1]Contribuyentes ANSES'!G58</f>
        <v>1061710</v>
      </c>
      <c r="O34" s="816" t="n">
        <f aca="false">'[1]Contribuyentes ANSES'!H58</f>
        <v>0</v>
      </c>
      <c r="P34" s="815" t="n">
        <f aca="false">'[1]Contribuyentes ANSES'!D6*1000000</f>
        <v>3500000</v>
      </c>
    </row>
    <row r="35" customFormat="false" ht="15" hidden="false" customHeight="false" outlineLevel="0" collapsed="false">
      <c r="J35" s="807" t="n">
        <f aca="false">J34+1</f>
        <v>1997</v>
      </c>
      <c r="K35" s="817" t="n">
        <f aca="false">'[1]Contribuyentes ANSES'!D59</f>
        <v>5123196</v>
      </c>
      <c r="L35" s="817" t="n">
        <f aca="false">'[1]Contribuyentes ANSES'!E59</f>
        <v>4250090</v>
      </c>
      <c r="M35" s="817" t="n">
        <f aca="false">'[1]Contribuyentes ANSES'!F59</f>
        <v>0</v>
      </c>
      <c r="N35" s="817" t="n">
        <f aca="false">'[1]Contribuyentes ANSES'!G59</f>
        <v>947318</v>
      </c>
      <c r="O35" s="817" t="n">
        <f aca="false">'[1]Contribuyentes ANSES'!H59</f>
        <v>0</v>
      </c>
      <c r="P35" s="807" t="n">
        <f aca="false">'[1]Contribuyentes ANSES'!D7*1000000</f>
        <v>4100000</v>
      </c>
    </row>
    <row r="36" customFormat="false" ht="15" hidden="false" customHeight="false" outlineLevel="0" collapsed="false">
      <c r="J36" s="815" t="n">
        <f aca="false">J35+1</f>
        <v>1998</v>
      </c>
      <c r="K36" s="816" t="n">
        <f aca="false">'[1]Contribuyentes ANSES'!D60</f>
        <v>5492389</v>
      </c>
      <c r="L36" s="816" t="n">
        <f aca="false">'[1]Contribuyentes ANSES'!E60</f>
        <v>4428527</v>
      </c>
      <c r="M36" s="816" t="n">
        <f aca="false">'[1]Contribuyentes ANSES'!F60</f>
        <v>0</v>
      </c>
      <c r="N36" s="816" t="n">
        <f aca="false">'[1]Contribuyentes ANSES'!G60</f>
        <v>640733</v>
      </c>
      <c r="O36" s="816" t="n">
        <f aca="false">'[1]Contribuyentes ANSES'!H60</f>
        <v>520176</v>
      </c>
      <c r="P36" s="815" t="n">
        <f aca="false">'[1]Contribuyentes ANSES'!D8*1000000</f>
        <v>4400000</v>
      </c>
    </row>
    <row r="37" customFormat="false" ht="15" hidden="false" customHeight="false" outlineLevel="0" collapsed="false">
      <c r="J37" s="807" t="n">
        <f aca="false">J36+1</f>
        <v>1999</v>
      </c>
      <c r="K37" s="817" t="n">
        <f aca="false">'[1]Contribuyentes ANSES'!D61</f>
        <v>5430679</v>
      </c>
      <c r="L37" s="817" t="n">
        <f aca="false">'[1]Contribuyentes ANSES'!E61</f>
        <v>4426683</v>
      </c>
      <c r="M37" s="817" t="n">
        <f aca="false">'[1]Contribuyentes ANSES'!F61</f>
        <v>29408</v>
      </c>
      <c r="N37" s="817" t="n">
        <f aca="false">'[1]Contribuyentes ANSES'!G61</f>
        <v>550873</v>
      </c>
      <c r="O37" s="817" t="n">
        <f aca="false">'[1]Contribuyentes ANSES'!H61</f>
        <v>513105</v>
      </c>
      <c r="P37" s="807" t="n">
        <f aca="false">'[1]Contribuyentes ANSES'!D9*1000000</f>
        <v>4500000</v>
      </c>
    </row>
    <row r="38" customFormat="false" ht="15" hidden="false" customHeight="false" outlineLevel="0" collapsed="false">
      <c r="J38" s="815" t="n">
        <f aca="false">J37+1</f>
        <v>2000</v>
      </c>
      <c r="K38" s="816" t="n">
        <f aca="false">'[1]Contribuyentes ANSES'!D62</f>
        <v>5619684</v>
      </c>
      <c r="L38" s="816" t="n">
        <f aca="false">'[1]Contribuyentes ANSES'!E62</f>
        <v>4500218</v>
      </c>
      <c r="M38" s="816" t="n">
        <f aca="false">'[1]Contribuyentes ANSES'!F62</f>
        <v>228443</v>
      </c>
      <c r="N38" s="816" t="n">
        <f aca="false">'[1]Contribuyentes ANSES'!G62</f>
        <v>483737</v>
      </c>
      <c r="O38" s="816" t="n">
        <f aca="false">'[1]Contribuyentes ANSES'!H62</f>
        <v>489449</v>
      </c>
      <c r="P38" s="815" t="n">
        <f aca="false">'[1]Contribuyentes ANSES'!D10*1000000</f>
        <v>4500000</v>
      </c>
    </row>
    <row r="39" customFormat="false" ht="15" hidden="false" customHeight="false" outlineLevel="0" collapsed="false">
      <c r="J39" s="807" t="n">
        <f aca="false">J38+1</f>
        <v>2001</v>
      </c>
      <c r="K39" s="817" t="n">
        <f aca="false">'[1]Contribuyentes ANSES'!D63</f>
        <v>5153611</v>
      </c>
      <c r="L39" s="817" t="n">
        <f aca="false">'[1]Contribuyentes ANSES'!E63</f>
        <v>4206056</v>
      </c>
      <c r="M39" s="817" t="n">
        <f aca="false">'[1]Contribuyentes ANSES'!F63</f>
        <v>206202</v>
      </c>
      <c r="N39" s="817" t="n">
        <f aca="false">'[1]Contribuyentes ANSES'!G63</f>
        <v>382867</v>
      </c>
      <c r="O39" s="817" t="n">
        <f aca="false">'[1]Contribuyentes ANSES'!H63</f>
        <v>424417</v>
      </c>
      <c r="P39" s="807" t="n">
        <f aca="false">'[1]Contribuyentes ANSES'!D11*1000000</f>
        <v>4200000</v>
      </c>
    </row>
    <row r="40" customFormat="false" ht="15" hidden="false" customHeight="false" outlineLevel="0" collapsed="false">
      <c r="J40" s="815" t="n">
        <f aca="false">J39+1</f>
        <v>2002</v>
      </c>
      <c r="K40" s="816" t="n">
        <f aca="false">'[1]Contribuyentes ANSES'!D64</f>
        <v>4888873</v>
      </c>
      <c r="L40" s="816" t="n">
        <f aca="false">'[1]Contribuyentes ANSES'!E64</f>
        <v>4028297</v>
      </c>
      <c r="M40" s="816" t="n">
        <f aca="false">'[1]Contribuyentes ANSES'!F64</f>
        <v>154862</v>
      </c>
      <c r="N40" s="816" t="n">
        <f aca="false">'[1]Contribuyentes ANSES'!G64</f>
        <v>365312</v>
      </c>
      <c r="O40" s="816" t="n">
        <f aca="false">'[1]Contribuyentes ANSES'!H64</f>
        <v>400843</v>
      </c>
      <c r="P40" s="815" t="n">
        <f aca="false">'[1]Contribuyentes ANSES'!D12*1000000</f>
        <v>4000000</v>
      </c>
    </row>
    <row r="41" customFormat="false" ht="15" hidden="false" customHeight="false" outlineLevel="0" collapsed="false">
      <c r="J41" s="807" t="n">
        <f aca="false">J40+1</f>
        <v>2003</v>
      </c>
      <c r="K41" s="817" t="n">
        <f aca="false">'[1]Contribuyentes ANSES'!D65</f>
        <v>5334381</v>
      </c>
      <c r="L41" s="817" t="n">
        <f aca="false">'[1]Contribuyentes ANSES'!E65</f>
        <v>4424825</v>
      </c>
      <c r="M41" s="817" t="n">
        <f aca="false">'[1]Contribuyentes ANSES'!F65</f>
        <v>116073</v>
      </c>
      <c r="N41" s="817" t="n">
        <f aca="false">'[1]Contribuyentes ANSES'!G65</f>
        <v>376555</v>
      </c>
      <c r="O41" s="817" t="n">
        <f aca="false">'[1]Contribuyentes ANSES'!H65</f>
        <v>485924</v>
      </c>
      <c r="P41" s="807" t="n">
        <f aca="false">'[1]Contribuyentes ANSES'!D13*1000000</f>
        <v>4500000</v>
      </c>
    </row>
    <row r="42" customFormat="false" ht="15" hidden="false" customHeight="false" outlineLevel="0" collapsed="false">
      <c r="J42" s="815" t="n">
        <f aca="false">J41+1</f>
        <v>2004</v>
      </c>
      <c r="K42" s="816" t="n">
        <f aca="false">'[1]Contribuyentes ANSES'!D66</f>
        <v>6110177</v>
      </c>
      <c r="L42" s="816" t="n">
        <f aca="false">'[1]Contribuyentes ANSES'!E66</f>
        <v>4879470</v>
      </c>
      <c r="M42" s="816" t="n">
        <f aca="false">'[1]Contribuyentes ANSES'!F66</f>
        <v>87718</v>
      </c>
      <c r="N42" s="816" t="n">
        <f aca="false">'[1]Contribuyentes ANSES'!G66</f>
        <v>439787</v>
      </c>
      <c r="O42" s="816" t="n">
        <f aca="false">'[1]Contribuyentes ANSES'!H66</f>
        <v>779181</v>
      </c>
      <c r="P42" s="815" t="n">
        <f aca="false">'[1]Contribuyentes ANSES'!D14*1000000</f>
        <v>5100000</v>
      </c>
    </row>
    <row r="43" customFormat="false" ht="15" hidden="false" customHeight="false" outlineLevel="0" collapsed="false">
      <c r="J43" s="807" t="n">
        <f aca="false">J42+1</f>
        <v>2005</v>
      </c>
      <c r="K43" s="817" t="n">
        <f aca="false">'[1]Contribuyentes ANSES'!D67</f>
        <v>6764381</v>
      </c>
      <c r="L43" s="817" t="n">
        <f aca="false">'[1]Contribuyentes ANSES'!E67</f>
        <v>5389343</v>
      </c>
      <c r="M43" s="817" t="n">
        <f aca="false">'[1]Contribuyentes ANSES'!F67</f>
        <v>133458</v>
      </c>
      <c r="N43" s="817" t="n">
        <f aca="false">'[1]Contribuyentes ANSES'!G67</f>
        <v>440819</v>
      </c>
      <c r="O43" s="817" t="n">
        <f aca="false">'[1]Contribuyentes ANSES'!H67</f>
        <v>886284</v>
      </c>
      <c r="P43" s="807" t="n">
        <f aca="false">'[1]Contribuyentes ANSES'!D15*1000000</f>
        <v>5500000</v>
      </c>
    </row>
    <row r="44" customFormat="false" ht="15" hidden="false" customHeight="false" outlineLevel="0" collapsed="false">
      <c r="J44" s="815" t="n">
        <f aca="false">J43+1</f>
        <v>2006</v>
      </c>
      <c r="K44" s="816" t="n">
        <f aca="false">'[1]Contribuyentes ANSES'!D68</f>
        <v>7423536</v>
      </c>
      <c r="L44" s="816" t="n">
        <f aca="false">'[1]Contribuyentes ANSES'!E68</f>
        <v>5801523</v>
      </c>
      <c r="M44" s="816" t="n">
        <f aca="false">'[1]Contribuyentes ANSES'!F68</f>
        <v>239800</v>
      </c>
      <c r="N44" s="816" t="n">
        <f aca="false">'[1]Contribuyentes ANSES'!G68</f>
        <v>454273</v>
      </c>
      <c r="O44" s="816" t="n">
        <f aca="false">'[1]Contribuyentes ANSES'!H68</f>
        <v>1025496</v>
      </c>
      <c r="P44" s="815" t="n">
        <f aca="false">'[1]Contribuyentes ANSES'!D16*1000000</f>
        <v>5900000</v>
      </c>
    </row>
    <row r="45" customFormat="false" ht="15" hidden="false" customHeight="false" outlineLevel="0" collapsed="false">
      <c r="J45" s="807" t="n">
        <f aca="false">J44+1</f>
        <v>2007</v>
      </c>
      <c r="K45" s="817" t="n">
        <f aca="false">'[1]Contribuyentes ANSES'!D69</f>
        <v>7992422</v>
      </c>
      <c r="L45" s="817" t="n">
        <f aca="false">'[1]Contribuyentes ANSES'!E69</f>
        <v>6246984</v>
      </c>
      <c r="M45" s="817" t="n">
        <f aca="false">'[1]Contribuyentes ANSES'!F69</f>
        <v>295405</v>
      </c>
      <c r="N45" s="817" t="n">
        <f aca="false">'[1]Contribuyentes ANSES'!G69</f>
        <v>454473</v>
      </c>
      <c r="O45" s="817" t="n">
        <f aca="false">'[1]Contribuyentes ANSES'!H69</f>
        <v>1095610</v>
      </c>
      <c r="P45" s="807" t="n">
        <f aca="false">'[1]Contribuyentes ANSES'!D17*1000000</f>
        <v>5600000</v>
      </c>
    </row>
    <row r="46" customFormat="false" ht="15" hidden="false" customHeight="false" outlineLevel="0" collapsed="false">
      <c r="J46" s="815" t="n">
        <f aca="false">J45+1</f>
        <v>2008</v>
      </c>
      <c r="K46" s="816" t="n">
        <f aca="false">'[1]Contribuyentes ANSES'!D70</f>
        <v>8323526</v>
      </c>
      <c r="L46" s="816" t="n">
        <f aca="false">'[1]Contribuyentes ANSES'!E70</f>
        <v>6414915</v>
      </c>
      <c r="M46" s="816" t="n">
        <f aca="false">'[1]Contribuyentes ANSES'!F70</f>
        <v>337756</v>
      </c>
      <c r="N46" s="816" t="n">
        <f aca="false">'[1]Contribuyentes ANSES'!G70</f>
        <v>470958</v>
      </c>
      <c r="O46" s="816" t="n">
        <f aca="false">'[1]Contribuyentes ANSES'!H70</f>
        <v>1209482</v>
      </c>
      <c r="P46" s="815" t="n">
        <f aca="false">'[1]Contribuyentes ANSES'!D18*1000000</f>
        <v>4800000</v>
      </c>
    </row>
    <row r="47" customFormat="false" ht="15" hidden="false" customHeight="false" outlineLevel="0" collapsed="false">
      <c r="J47" s="807" t="n">
        <f aca="false">J46+1</f>
        <v>2009</v>
      </c>
      <c r="K47" s="817" t="n">
        <f aca="false">'[1]Contribuyentes ANSES'!D71</f>
        <v>8490198</v>
      </c>
      <c r="L47" s="817" t="n">
        <f aca="false">'[1]Contribuyentes ANSES'!E71</f>
        <v>6474374</v>
      </c>
      <c r="M47" s="817" t="n">
        <f aca="false">'[1]Contribuyentes ANSES'!F71</f>
        <v>367171</v>
      </c>
      <c r="N47" s="817" t="n">
        <f aca="false">'[1]Contribuyentes ANSES'!G71</f>
        <v>475396</v>
      </c>
      <c r="O47" s="817" t="n">
        <f aca="false">'[1]Contribuyentes ANSES'!H71</f>
        <v>1282208</v>
      </c>
      <c r="P47" s="807"/>
    </row>
    <row r="48" customFormat="false" ht="15" hidden="false" customHeight="false" outlineLevel="0" collapsed="false">
      <c r="J48" s="815" t="n">
        <f aca="false">J47+1</f>
        <v>2010</v>
      </c>
      <c r="K48" s="816" t="n">
        <f aca="false">'[1]Contribuyentes ANSES'!D72</f>
        <v>8857445</v>
      </c>
      <c r="L48" s="816" t="n">
        <f aca="false">'[1]Contribuyentes ANSES'!E72</f>
        <v>6732665</v>
      </c>
      <c r="M48" s="816" t="n">
        <f aca="false">'[1]Contribuyentes ANSES'!F72</f>
        <v>368967</v>
      </c>
      <c r="N48" s="816" t="n">
        <f aca="false">'[1]Contribuyentes ANSES'!G72</f>
        <v>487435</v>
      </c>
      <c r="O48" s="816" t="n">
        <f aca="false">'[1]Contribuyentes ANSES'!H72</f>
        <v>1375997</v>
      </c>
      <c r="P48" s="815"/>
    </row>
    <row r="49" customFormat="false" ht="15" hidden="false" customHeight="false" outlineLevel="0" collapsed="false">
      <c r="J49" s="807" t="n">
        <f aca="false">J48+1</f>
        <v>2011</v>
      </c>
      <c r="K49" s="817" t="n">
        <f aca="false">'[1]Contribuyentes ANSES'!D73</f>
        <v>9230788</v>
      </c>
      <c r="L49" s="817" t="n">
        <f aca="false">'[1]Contribuyentes ANSES'!E73</f>
        <v>6986246</v>
      </c>
      <c r="M49" s="817" t="n">
        <f aca="false">'[1]Contribuyentes ANSES'!F73</f>
        <v>359525</v>
      </c>
      <c r="N49" s="817" t="n">
        <f aca="false">'[1]Contribuyentes ANSES'!G73</f>
        <v>508622</v>
      </c>
      <c r="O49" s="817" t="n">
        <f aca="false">'[1]Contribuyentes ANSES'!H73</f>
        <v>1493047</v>
      </c>
      <c r="P49" s="807"/>
    </row>
    <row r="50" customFormat="false" ht="15" hidden="false" customHeight="false" outlineLevel="0" collapsed="false">
      <c r="J50" s="815" t="n">
        <f aca="false">J49+1</f>
        <v>2012</v>
      </c>
      <c r="K50" s="816" t="n">
        <f aca="false">'[1]Contribuyentes ANSES'!D74</f>
        <v>9351697</v>
      </c>
      <c r="L50" s="816" t="n">
        <f aca="false">'[1]Contribuyentes ANSES'!E74</f>
        <v>7002490</v>
      </c>
      <c r="M50" s="816" t="n">
        <f aca="false">'[1]Contribuyentes ANSES'!F74</f>
        <v>370095</v>
      </c>
      <c r="N50" s="816" t="n">
        <f aca="false">'[1]Contribuyentes ANSES'!G74</f>
        <v>523613</v>
      </c>
      <c r="O50" s="816" t="n">
        <f aca="false">'[1]Contribuyentes ANSES'!H74</f>
        <v>1571985</v>
      </c>
      <c r="P50" s="815"/>
    </row>
    <row r="51" customFormat="false" ht="15" hidden="false" customHeight="false" outlineLevel="0" collapsed="false">
      <c r="J51" s="807" t="n">
        <f aca="false">J50+1</f>
        <v>2013</v>
      </c>
      <c r="K51" s="817" t="n">
        <f aca="false">'[1]Contribuyentes ANSES'!D75</f>
        <v>9695337</v>
      </c>
      <c r="L51" s="817" t="n">
        <f aca="false">'[1]Contribuyentes ANSES'!E75</f>
        <v>7070532</v>
      </c>
      <c r="M51" s="817" t="n">
        <f aca="false">'[1]Contribuyentes ANSES'!F75</f>
        <v>435877</v>
      </c>
      <c r="N51" s="817" t="n">
        <f aca="false">'[1]Contribuyentes ANSES'!G75</f>
        <v>545582</v>
      </c>
      <c r="O51" s="817" t="n">
        <f aca="false">'[1]Contribuyentes ANSES'!H75</f>
        <v>1767615</v>
      </c>
      <c r="P51" s="807"/>
    </row>
    <row r="52" customFormat="false" ht="15" hidden="false" customHeight="false" outlineLevel="0" collapsed="false">
      <c r="J52" s="815" t="n">
        <f aca="false">J51+1</f>
        <v>2014</v>
      </c>
      <c r="K52" s="816" t="n">
        <f aca="false">'[1]Contribuyentes ANSES'!D76</f>
        <v>9714843</v>
      </c>
      <c r="L52" s="816" t="n">
        <f aca="false">'[1]Contribuyentes ANSES'!E76</f>
        <v>7094528</v>
      </c>
      <c r="M52" s="816" t="n">
        <f aca="false">'[1]Contribuyentes ANSES'!F76</f>
        <v>403386</v>
      </c>
      <c r="N52" s="816" t="n">
        <f aca="false">'[1]Contribuyentes ANSES'!G76</f>
        <v>535911</v>
      </c>
      <c r="O52" s="816" t="n">
        <f aca="false">'[1]Contribuyentes ANSES'!H76</f>
        <v>1801260</v>
      </c>
      <c r="P52" s="815"/>
    </row>
    <row r="53" customFormat="false" ht="15" hidden="false" customHeight="false" outlineLevel="0" collapsed="false">
      <c r="J53" s="807" t="n">
        <f aca="false">J52+1</f>
        <v>2015</v>
      </c>
      <c r="K53" s="817" t="n">
        <f aca="false">'[1]Contribuyentes ANSES'!D77</f>
        <v>9857400</v>
      </c>
      <c r="L53" s="817" t="n">
        <f aca="false">'[1]Contribuyentes ANSES'!E77</f>
        <v>7201832</v>
      </c>
      <c r="M53" s="817" t="n">
        <f aca="false">'[1]Contribuyentes ANSES'!F77</f>
        <v>415030</v>
      </c>
      <c r="N53" s="817" t="n">
        <f aca="false">'[1]Contribuyentes ANSES'!G77</f>
        <v>541906</v>
      </c>
      <c r="O53" s="817" t="n">
        <f aca="false">'[1]Contribuyentes ANSES'!H77</f>
        <v>1829713</v>
      </c>
      <c r="P53" s="807"/>
    </row>
    <row r="54" customFormat="false" ht="15" hidden="false" customHeight="false" outlineLevel="0" collapsed="false">
      <c r="J54" s="815" t="n">
        <f aca="false">J53+1</f>
        <v>2016</v>
      </c>
      <c r="K54" s="816" t="n">
        <f aca="false">'[1]Contribuyentes ANSES'!D78</f>
        <v>9927705</v>
      </c>
      <c r="L54" s="816" t="n">
        <f aca="false">'[1]Contribuyentes ANSES'!E78</f>
        <v>7167657</v>
      </c>
      <c r="M54" s="816" t="n">
        <f aca="false">'[1]Contribuyentes ANSES'!F78</f>
        <v>433905</v>
      </c>
      <c r="N54" s="816" t="n">
        <f aca="false">'[1]Contribuyentes ANSES'!G78</f>
        <v>551932</v>
      </c>
      <c r="O54" s="816" t="n">
        <f aca="false">'[1]Contribuyentes ANSES'!H78</f>
        <v>1903193</v>
      </c>
      <c r="P54" s="815"/>
    </row>
    <row r="55" customFormat="false" ht="15" hidden="false" customHeight="false" outlineLevel="0" collapsed="false">
      <c r="J55" s="807" t="n">
        <f aca="false">J54+1</f>
        <v>2017</v>
      </c>
      <c r="K55" s="817" t="n">
        <f aca="false">'[1]Contribuyentes ANSES'!D79</f>
        <v>10091261</v>
      </c>
      <c r="L55" s="817" t="n">
        <f aca="false">'[1]Contribuyentes ANSES'!E79</f>
        <v>7246488</v>
      </c>
      <c r="M55" s="817" t="n">
        <f aca="false">'[1]Contribuyentes ANSES'!F79</f>
        <v>440285</v>
      </c>
      <c r="N55" s="817" t="n">
        <f aca="false">'[1]Contribuyentes ANSES'!G79</f>
        <v>531204</v>
      </c>
      <c r="O55" s="817" t="n">
        <f aca="false">'[1]Contribuyentes ANSES'!H79</f>
        <v>1994420</v>
      </c>
      <c r="P55" s="807"/>
    </row>
    <row r="56" customFormat="false" ht="15" hidden="false" customHeight="false" outlineLevel="0" collapsed="false">
      <c r="J56" s="815" t="n">
        <v>2018</v>
      </c>
      <c r="K56" s="816" t="n">
        <f aca="false">AVERAGE(K57:K62)</f>
        <v>9950337.66666667</v>
      </c>
      <c r="L56" s="816" t="n">
        <f aca="false">AVERAGE(L57:L62)</f>
        <v>7195407.16666667</v>
      </c>
      <c r="M56" s="816" t="n">
        <f aca="false">AVERAGE(M57:M62)</f>
        <v>435632.5</v>
      </c>
      <c r="N56" s="816" t="n">
        <f aca="false">AVERAGE(N57:N62)</f>
        <v>507878.5</v>
      </c>
      <c r="O56" s="816" t="n">
        <f aca="false">AVERAGE(O57:O62)</f>
        <v>1925394</v>
      </c>
      <c r="P56" s="815"/>
    </row>
    <row r="57" customFormat="false" ht="15" hidden="false" customHeight="false" outlineLevel="0" collapsed="false">
      <c r="J57" s="807" t="str">
        <f aca="false">'[1]Contribuyentes ANSES'!C80</f>
        <v>ene-18</v>
      </c>
      <c r="K57" s="817" t="n">
        <f aca="false">'[1]Contribuyentes ANSES'!D80</f>
        <v>10038343</v>
      </c>
      <c r="L57" s="817" t="n">
        <f aca="false">'[1]Contribuyentes ANSES'!E80</f>
        <v>7215590</v>
      </c>
      <c r="M57" s="817" t="n">
        <f aca="false">'[1]Contribuyentes ANSES'!F80</f>
        <v>438700</v>
      </c>
      <c r="N57" s="817" t="n">
        <f aca="false">'[1]Contribuyentes ANSES'!G80</f>
        <v>521741</v>
      </c>
      <c r="O57" s="817" t="n">
        <f aca="false">'[1]Contribuyentes ANSES'!H80</f>
        <v>1980368</v>
      </c>
      <c r="P57" s="807"/>
    </row>
    <row r="58" customFormat="false" ht="15" hidden="false" customHeight="false" outlineLevel="0" collapsed="false">
      <c r="J58" s="815" t="str">
        <f aca="false">'[1]Contribuyentes ANSES'!C81</f>
        <v>feb-18</v>
      </c>
      <c r="K58" s="816" t="n">
        <f aca="false">'[1]Contribuyentes ANSES'!D81</f>
        <v>10021368</v>
      </c>
      <c r="L58" s="816" t="n">
        <f aca="false">'[1]Contribuyentes ANSES'!E81</f>
        <v>7225474</v>
      </c>
      <c r="M58" s="816" t="n">
        <f aca="false">'[1]Contribuyentes ANSES'!F81</f>
        <v>437882</v>
      </c>
      <c r="N58" s="816" t="n">
        <f aca="false">'[1]Contribuyentes ANSES'!G81</f>
        <v>518010</v>
      </c>
      <c r="O58" s="816" t="n">
        <f aca="false">'[1]Contribuyentes ANSES'!H81</f>
        <v>1956393</v>
      </c>
      <c r="P58" s="815"/>
    </row>
    <row r="59" customFormat="false" ht="15" hidden="false" customHeight="false" outlineLevel="0" collapsed="false">
      <c r="J59" s="807" t="str">
        <f aca="false">'[1]Contribuyentes ANSES'!C82</f>
        <v>mar-18</v>
      </c>
      <c r="K59" s="817" t="n">
        <f aca="false">'[1]Contribuyentes ANSES'!D82</f>
        <v>10022307</v>
      </c>
      <c r="L59" s="817" t="n">
        <f aca="false">'[1]Contribuyentes ANSES'!E82</f>
        <v>7238154</v>
      </c>
      <c r="M59" s="817" t="n">
        <f aca="false">'[1]Contribuyentes ANSES'!F82</f>
        <v>435924</v>
      </c>
      <c r="N59" s="817" t="n">
        <f aca="false">'[1]Contribuyentes ANSES'!G82</f>
        <v>513556</v>
      </c>
      <c r="O59" s="817" t="n">
        <f aca="false">'[1]Contribuyentes ANSES'!H82</f>
        <v>1952185</v>
      </c>
      <c r="P59" s="807"/>
    </row>
    <row r="60" customFormat="false" ht="15" hidden="false" customHeight="false" outlineLevel="0" collapsed="false">
      <c r="J60" s="815" t="str">
        <f aca="false">'[1]Contribuyentes ANSES'!C83</f>
        <v>abr-18</v>
      </c>
      <c r="K60" s="816" t="n">
        <f aca="false">'[1]Contribuyentes ANSES'!D83</f>
        <v>9960986</v>
      </c>
      <c r="L60" s="816" t="n">
        <f aca="false">'[1]Contribuyentes ANSES'!E83</f>
        <v>7189145</v>
      </c>
      <c r="M60" s="816" t="n">
        <f aca="false">'[1]Contribuyentes ANSES'!F83</f>
        <v>436013</v>
      </c>
      <c r="N60" s="816" t="n">
        <f aca="false">'[1]Contribuyentes ANSES'!G83</f>
        <v>507462</v>
      </c>
      <c r="O60" s="816" t="n">
        <f aca="false">'[1]Contribuyentes ANSES'!H83</f>
        <v>1942634</v>
      </c>
      <c r="P60" s="815"/>
    </row>
    <row r="61" customFormat="false" ht="15" hidden="false" customHeight="false" outlineLevel="0" collapsed="false">
      <c r="J61" s="807" t="str">
        <f aca="false">'[1]Contribuyentes ANSES'!C84</f>
        <v>may-18</v>
      </c>
      <c r="K61" s="817" t="n">
        <f aca="false">'[1]Contribuyentes ANSES'!D84</f>
        <v>9854133</v>
      </c>
      <c r="L61" s="817" t="n">
        <f aca="false">'[1]Contribuyentes ANSES'!E84</f>
        <v>7155155</v>
      </c>
      <c r="M61" s="817" t="n">
        <f aca="false">'[1]Contribuyentes ANSES'!F84</f>
        <v>434552</v>
      </c>
      <c r="N61" s="817" t="n">
        <f aca="false">'[1]Contribuyentes ANSES'!G84</f>
        <v>498482</v>
      </c>
      <c r="O61" s="817" t="n">
        <f aca="false">'[1]Contribuyentes ANSES'!H84</f>
        <v>1876179</v>
      </c>
      <c r="P61" s="807"/>
    </row>
    <row r="62" customFormat="false" ht="15" hidden="false" customHeight="false" outlineLevel="0" collapsed="false">
      <c r="J62" s="815" t="str">
        <f aca="false">'[1]Contribuyentes ANSES'!C85</f>
        <v>jun-18</v>
      </c>
      <c r="K62" s="816" t="n">
        <f aca="false">'[1]Contribuyentes ANSES'!D85</f>
        <v>9804889</v>
      </c>
      <c r="L62" s="816" t="n">
        <f aca="false">'[1]Contribuyentes ANSES'!E85</f>
        <v>7148925</v>
      </c>
      <c r="M62" s="816" t="n">
        <f aca="false">'[1]Contribuyentes ANSES'!F85</f>
        <v>430724</v>
      </c>
      <c r="N62" s="816" t="n">
        <f aca="false">'[1]Contribuyentes ANSES'!G85</f>
        <v>488020</v>
      </c>
      <c r="O62" s="816" t="n">
        <f aca="false">'[1]Contribuyentes ANSES'!H85</f>
        <v>1844605</v>
      </c>
      <c r="P62" s="815"/>
    </row>
    <row r="63" customFormat="false" ht="15" hidden="false" customHeight="false" outlineLevel="0" collapsed="false">
      <c r="J63" s="818" t="s">
        <v>1084</v>
      </c>
      <c r="L63" s="818"/>
    </row>
    <row r="64" customFormat="false" ht="15" hidden="false" customHeight="false" outlineLevel="0" collapsed="false">
      <c r="J64" s="0" t="s">
        <v>1085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U16" activeCellId="0" sqref="U16"/>
    </sheetView>
  </sheetViews>
  <sheetFormatPr defaultColWidth="11.4453125" defaultRowHeight="15" zeroHeight="false" outlineLevelRow="0" outlineLevelCol="0"/>
  <cols>
    <col collapsed="false" customWidth="false" hidden="false" outlineLevel="0" max="1" min="1" style="1" width="11.42"/>
    <col collapsed="false" customWidth="true" hidden="false" outlineLevel="0" max="4" min="2" style="1" width="16.41"/>
    <col collapsed="false" customWidth="true" hidden="false" outlineLevel="0" max="6" min="5" style="1" width="24.41"/>
    <col collapsed="false" customWidth="true" hidden="false" outlineLevel="0" max="7" min="7" style="1" width="22.86"/>
    <col collapsed="false" customWidth="true" hidden="false" outlineLevel="0" max="8" min="8" style="1" width="24.15"/>
    <col collapsed="false" customWidth="true" hidden="false" outlineLevel="0" max="9" min="9" style="1" width="17.41"/>
    <col collapsed="false" customWidth="true" hidden="false" outlineLevel="0" max="10" min="10" style="1" width="16.41"/>
    <col collapsed="false" customWidth="true" hidden="false" outlineLevel="0" max="11" min="11" style="1" width="18.29"/>
    <col collapsed="false" customWidth="false" hidden="false" outlineLevel="0" max="12" min="12" style="1" width="11.42"/>
    <col collapsed="false" customWidth="true" hidden="false" outlineLevel="0" max="13" min="13" style="1" width="27.3"/>
    <col collapsed="false" customWidth="true" hidden="false" outlineLevel="0" max="19" min="14" style="1" width="17.41"/>
    <col collapsed="false" customWidth="true" hidden="false" outlineLevel="0" max="20" min="20" style="1" width="24.87"/>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9.14"/>
    <col collapsed="false" customWidth="true" hidden="false" outlineLevel="0" max="29" min="29" style="1" width="16.41"/>
    <col collapsed="false" customWidth="false" hidden="false" outlineLevel="0" max="30" min="30" style="1" width="11.42"/>
    <col collapsed="false" customWidth="true" hidden="false" outlineLevel="0" max="31" min="31" style="1" width="16.41"/>
    <col collapsed="false" customWidth="false" hidden="false" outlineLevel="0" max="32" min="32" style="1" width="11.42"/>
    <col collapsed="false" customWidth="true" hidden="false" outlineLevel="0" max="33" min="33" style="1" width="16.41"/>
    <col collapsed="false" customWidth="false" hidden="false" outlineLevel="0" max="35" min="34" style="1" width="11.42"/>
    <col collapsed="false" customWidth="true" hidden="false" outlineLevel="0" max="36" min="36" style="1" width="13.86"/>
    <col collapsed="false" customWidth="false" hidden="false" outlineLevel="0" max="37" min="37" style="1" width="11.42"/>
    <col collapsed="false" customWidth="true" hidden="false" outlineLevel="0" max="257" min="255" style="0" width="16.41"/>
    <col collapsed="false" customWidth="true" hidden="false" outlineLevel="0" max="259" min="258" style="0" width="24.41"/>
    <col collapsed="false" customWidth="true" hidden="false" outlineLevel="0" max="260" min="260" style="0" width="22.86"/>
    <col collapsed="false" customWidth="true" hidden="false" outlineLevel="0" max="261" min="261" style="0" width="24.15"/>
    <col collapsed="false" customWidth="true" hidden="false" outlineLevel="0" max="262" min="262" style="0" width="17.41"/>
    <col collapsed="false" customWidth="true" hidden="false" outlineLevel="0" max="263" min="263" style="0" width="16.41"/>
    <col collapsed="false" customWidth="true" hidden="false" outlineLevel="0" max="264" min="264" style="0" width="18.29"/>
    <col collapsed="false" customWidth="true" hidden="false" outlineLevel="0" max="272" min="267" style="0" width="17.41"/>
    <col collapsed="false" customWidth="true" hidden="false" outlineLevel="0" max="273" min="273" style="0" width="18.71"/>
    <col collapsed="false" customWidth="true" hidden="false" outlineLevel="0" max="274" min="274" style="0" width="19.14"/>
    <col collapsed="false" customWidth="true" hidden="false" outlineLevel="0" max="276" min="276" style="0" width="15.42"/>
    <col collapsed="false" customWidth="true" hidden="false" outlineLevel="0" max="513" min="511" style="0" width="16.41"/>
    <col collapsed="false" customWidth="true" hidden="false" outlineLevel="0" max="515" min="514" style="0" width="24.41"/>
    <col collapsed="false" customWidth="true" hidden="false" outlineLevel="0" max="516" min="516" style="0" width="22.86"/>
    <col collapsed="false" customWidth="true" hidden="false" outlineLevel="0" max="517" min="517" style="0" width="24.15"/>
    <col collapsed="false" customWidth="true" hidden="false" outlineLevel="0" max="518" min="518" style="0" width="17.41"/>
    <col collapsed="false" customWidth="true" hidden="false" outlineLevel="0" max="519" min="519" style="0" width="16.41"/>
    <col collapsed="false" customWidth="true" hidden="false" outlineLevel="0" max="520" min="520" style="0" width="18.29"/>
    <col collapsed="false" customWidth="true" hidden="false" outlineLevel="0" max="528" min="523" style="0" width="17.41"/>
    <col collapsed="false" customWidth="true" hidden="false" outlineLevel="0" max="529" min="529" style="0" width="18.71"/>
    <col collapsed="false" customWidth="true" hidden="false" outlineLevel="0" max="530" min="530" style="0" width="19.14"/>
    <col collapsed="false" customWidth="true" hidden="false" outlineLevel="0" max="532" min="532" style="0" width="15.42"/>
    <col collapsed="false" customWidth="true" hidden="false" outlineLevel="0" max="769" min="767" style="0" width="16.41"/>
    <col collapsed="false" customWidth="true" hidden="false" outlineLevel="0" max="771" min="770" style="0" width="24.41"/>
    <col collapsed="false" customWidth="true" hidden="false" outlineLevel="0" max="772" min="772" style="0" width="22.86"/>
    <col collapsed="false" customWidth="true" hidden="false" outlineLevel="0" max="773" min="773" style="0" width="24.15"/>
    <col collapsed="false" customWidth="true" hidden="false" outlineLevel="0" max="774" min="774" style="0" width="17.41"/>
    <col collapsed="false" customWidth="true" hidden="false" outlineLevel="0" max="775" min="775" style="0" width="16.41"/>
    <col collapsed="false" customWidth="true" hidden="false" outlineLevel="0" max="776" min="776" style="0" width="18.29"/>
    <col collapsed="false" customWidth="true" hidden="false" outlineLevel="0" max="784" min="779" style="0" width="17.41"/>
    <col collapsed="false" customWidth="true" hidden="false" outlineLevel="0" max="785" min="785" style="0" width="18.71"/>
    <col collapsed="false" customWidth="true" hidden="false" outlineLevel="0" max="786" min="786" style="0" width="19.14"/>
    <col collapsed="false" customWidth="true" hidden="false" outlineLevel="0" max="788" min="788" style="0" width="15.42"/>
    <col collapsed="false" customWidth="true" hidden="false" outlineLevel="0" max="1025" min="1023" style="0" width="16.41"/>
  </cols>
  <sheetData>
    <row r="2" customFormat="false" ht="15" hidden="false" customHeight="false" outlineLevel="0" collapsed="false">
      <c r="C2" s="1" t="s">
        <v>1086</v>
      </c>
      <c r="D2" s="456" t="n">
        <f aca="false">B5+C5+E5</f>
        <v>0.0581347504711977</v>
      </c>
      <c r="N2" s="1" t="s">
        <v>1087</v>
      </c>
    </row>
    <row r="3" customFormat="false" ht="12.75" hidden="false" customHeight="true" outlineLevel="0" collapsed="false">
      <c r="A3" s="584"/>
      <c r="B3" s="819" t="s">
        <v>790</v>
      </c>
      <c r="C3" s="819" t="s">
        <v>1088</v>
      </c>
      <c r="D3" s="819" t="s">
        <v>1089</v>
      </c>
      <c r="E3" s="819" t="s">
        <v>945</v>
      </c>
      <c r="F3" s="820" t="s">
        <v>1090</v>
      </c>
      <c r="G3" s="821" t="s">
        <v>1091</v>
      </c>
      <c r="H3" s="819" t="s">
        <v>1092</v>
      </c>
      <c r="I3" s="820" t="s">
        <v>1093</v>
      </c>
      <c r="J3" s="819" t="s">
        <v>1094</v>
      </c>
      <c r="L3" s="584"/>
      <c r="M3" s="822" t="str">
        <f aca="false">'Cuenta Ahorro-Inversión-Financi'!S40</f>
        <v>Prestaciones de la seguridad social, excluyendo reparación histórica % PIB</v>
      </c>
      <c r="N3" s="822" t="s">
        <v>1095</v>
      </c>
      <c r="O3" s="822" t="s">
        <v>1096</v>
      </c>
      <c r="P3" s="822" t="s">
        <v>1097</v>
      </c>
      <c r="Q3" s="822" t="s">
        <v>1098</v>
      </c>
      <c r="R3" s="822" t="s">
        <v>1099</v>
      </c>
      <c r="S3" s="822" t="s">
        <v>1100</v>
      </c>
      <c r="T3" s="822" t="s">
        <v>1101</v>
      </c>
      <c r="U3" s="822" t="s">
        <v>1102</v>
      </c>
      <c r="V3" s="822" t="s">
        <v>794</v>
      </c>
      <c r="W3" s="822" t="s">
        <v>1103</v>
      </c>
    </row>
    <row r="4" customFormat="false" ht="38.25" hidden="false" customHeight="true" outlineLevel="0" collapsed="false">
      <c r="A4" s="584"/>
      <c r="B4" s="819"/>
      <c r="C4" s="819"/>
      <c r="D4" s="819"/>
      <c r="E4" s="819"/>
      <c r="F4" s="820"/>
      <c r="G4" s="821"/>
      <c r="H4" s="819"/>
      <c r="I4" s="820"/>
      <c r="J4" s="819"/>
      <c r="L4" s="584"/>
      <c r="M4" s="822"/>
      <c r="N4" s="822"/>
      <c r="O4" s="822"/>
      <c r="P4" s="822"/>
      <c r="Q4" s="822"/>
      <c r="R4" s="822"/>
      <c r="S4" s="822"/>
      <c r="T4" s="822"/>
      <c r="U4" s="822"/>
      <c r="V4" s="822"/>
      <c r="W4" s="822"/>
      <c r="X4" s="823" t="s">
        <v>1104</v>
      </c>
      <c r="Y4" s="823" t="s">
        <v>1105</v>
      </c>
      <c r="Z4" s="823" t="s">
        <v>1106</v>
      </c>
      <c r="AB4" s="823" t="s">
        <v>1107</v>
      </c>
      <c r="AC4" s="823" t="s">
        <v>1108</v>
      </c>
      <c r="AD4" s="823" t="s">
        <v>1109</v>
      </c>
    </row>
    <row r="5" customFormat="false" ht="15.75" hidden="false" customHeight="false" outlineLevel="0" collapsed="false">
      <c r="A5" s="824" t="n">
        <v>1993</v>
      </c>
      <c r="B5" s="825" t="n">
        <f aca="false">('Cuenta Ahorro-Inversión-Financi'!T9-'Cuenta Ahorro-Inversión-Financi'!V9)/1000/'PIB corriente base 1993'!V8</f>
        <v>0.045352832912549</v>
      </c>
      <c r="C5" s="825" t="n">
        <f aca="false">'Cuenta Ahorro-Inversión-Financi'!G42</f>
        <v>0.0114261586914329</v>
      </c>
      <c r="D5" s="825" t="n">
        <f aca="false">'Cuenta Ahorro-Inversión-Financi'!L42</f>
        <v>0.012477115671009</v>
      </c>
      <c r="E5" s="825" t="n">
        <f aca="false">'Cuenta Ahorro-Inversión-Financi'!H42</f>
        <v>0.00135575886721573</v>
      </c>
      <c r="F5" s="825"/>
      <c r="G5" s="825"/>
      <c r="H5" s="825" t="n">
        <f aca="false">('Cuenta Ahorro-Inversión-Financi'!AH9-SUM('Cuenta Ahorro-Inversión-Financi'!AI9:AM9))/1000/'PIB corriente base 1993'!V8</f>
        <v>-0.000274691126269683</v>
      </c>
      <c r="I5" s="825"/>
      <c r="J5" s="825" t="n">
        <f aca="false">SUM(B5:F5)</f>
        <v>0.0706118661422067</v>
      </c>
      <c r="L5" s="826" t="n">
        <v>1993</v>
      </c>
      <c r="M5" s="827" t="n">
        <f aca="false">'Cuenta Ahorro-Inversión-Financi'!R42</f>
        <v>0.0526370931910582</v>
      </c>
      <c r="N5" s="827" t="n">
        <f aca="false">U5-O5</f>
        <v>0.011642303700453</v>
      </c>
      <c r="O5" s="827"/>
      <c r="P5" s="827" t="n">
        <f aca="false">'Cuenta Ahorro-Inversión-Financi'!AY9/1000/'PIB corriente base 1993'!V8+V5</f>
        <v>0.00148990999175634</v>
      </c>
      <c r="Q5" s="827" t="n">
        <f aca="false">'Cuenta Ahorro-Inversión-Financi'!AV42</f>
        <v>0.00528862853440302</v>
      </c>
      <c r="R5" s="827"/>
      <c r="S5" s="827"/>
      <c r="T5" s="827"/>
      <c r="U5" s="827" t="n">
        <f aca="false">'Cuenta Ahorro-Inversión-Financi'!T42</f>
        <v>0.011642303700453</v>
      </c>
      <c r="V5" s="827" t="n">
        <f aca="false">'Cuenta Ahorro-Inversión-Financi'!BC9/1000/'PIB corriente base 1993'!V8</f>
        <v>0</v>
      </c>
      <c r="W5" s="827" t="n">
        <f aca="false">M5-T5+O5+Q5+R5+N5+P5</f>
        <v>0.0710579354176705</v>
      </c>
      <c r="X5" s="709" t="n">
        <f aca="false">J5-W5</f>
        <v>-0.000446069275463895</v>
      </c>
      <c r="Y5" s="709"/>
      <c r="Z5" s="709"/>
      <c r="AA5" s="456"/>
      <c r="AB5" s="709" t="n">
        <f aca="false">X5</f>
        <v>-0.000446069275463895</v>
      </c>
      <c r="AC5" s="709"/>
      <c r="AD5" s="709"/>
      <c r="AJ5" s="828"/>
      <c r="AK5" s="829"/>
    </row>
    <row r="6" customFormat="false" ht="15.75" hidden="false" customHeight="false" outlineLevel="0" collapsed="false">
      <c r="A6" s="824" t="n">
        <v>1994</v>
      </c>
      <c r="B6" s="830" t="n">
        <f aca="false">('Cuenta Ahorro-Inversión-Financi'!T10-'Cuenta Ahorro-Inversión-Financi'!V10)/1000/'PIB corriente base 1993'!V9</f>
        <v>0.0412406410701487</v>
      </c>
      <c r="C6" s="830" t="n">
        <f aca="false">'Cuenta Ahorro-Inversión-Financi'!G43</f>
        <v>0.0120869185800861</v>
      </c>
      <c r="D6" s="830" t="n">
        <f aca="false">'Cuenta Ahorro-Inversión-Financi'!L43</f>
        <v>0.0103138055803019</v>
      </c>
      <c r="E6" s="830" t="n">
        <f aca="false">'Cuenta Ahorro-Inversión-Financi'!H43</f>
        <v>9.53195096879308E-005</v>
      </c>
      <c r="F6" s="830"/>
      <c r="G6" s="830"/>
      <c r="H6" s="830" t="n">
        <f aca="false">('Cuenta Ahorro-Inversión-Financi'!AH10-SUM('Cuenta Ahorro-Inversión-Financi'!AI10:AM10))/1000/'PIB corriente base 1993'!V9</f>
        <v>-0.00221925079928651</v>
      </c>
      <c r="I6" s="830"/>
      <c r="J6" s="830" t="n">
        <f aca="false">SUM(B6:F6)</f>
        <v>0.0637366847402247</v>
      </c>
      <c r="L6" s="831" t="n">
        <v>1994</v>
      </c>
      <c r="M6" s="830" t="n">
        <f aca="false">'Cuenta Ahorro-Inversión-Financi'!R43</f>
        <v>0.0564644262203535</v>
      </c>
      <c r="N6" s="830" t="n">
        <f aca="false">U6-O6</f>
        <v>0.0124360211037753</v>
      </c>
      <c r="O6" s="830"/>
      <c r="P6" s="830" t="n">
        <f aca="false">'Cuenta Ahorro-Inversión-Financi'!AY10/1000/'PIB corriente base 1993'!V9+V6</f>
        <v>0.00114625800779694</v>
      </c>
      <c r="Q6" s="830" t="n">
        <f aca="false">'Cuenta Ahorro-Inversión-Financi'!AV43</f>
        <v>0.00677530886936053</v>
      </c>
      <c r="R6" s="830"/>
      <c r="S6" s="830"/>
      <c r="T6" s="830"/>
      <c r="U6" s="830" t="n">
        <f aca="false">'Cuenta Ahorro-Inversión-Financi'!T43</f>
        <v>0.0124360211037753</v>
      </c>
      <c r="V6" s="830" t="n">
        <f aca="false">'Cuenta Ahorro-Inversión-Financi'!BC10/1000/'PIB corriente base 1993'!V9</f>
        <v>5.16428861051758E-006</v>
      </c>
      <c r="W6" s="830" t="n">
        <f aca="false">M6-T6+O6+Q6+R6+N6+P6</f>
        <v>0.0768220142012863</v>
      </c>
      <c r="X6" s="712" t="n">
        <f aca="false">J6-W6</f>
        <v>-0.0130853294610615</v>
      </c>
      <c r="Y6" s="712"/>
      <c r="Z6" s="712"/>
      <c r="AA6" s="456"/>
      <c r="AB6" s="712" t="n">
        <f aca="false">X6</f>
        <v>-0.0130853294610615</v>
      </c>
      <c r="AC6" s="712"/>
      <c r="AD6" s="712"/>
    </row>
    <row r="7" customFormat="false" ht="15.75" hidden="false" customHeight="false" outlineLevel="0" collapsed="false">
      <c r="A7" s="824" t="n">
        <v>1995</v>
      </c>
      <c r="B7" s="825" t="n">
        <f aca="false">('Cuenta Ahorro-Inversión-Financi'!T11-'Cuenta Ahorro-Inversión-Financi'!V11)/1000/'PIB corriente base 1993'!V10</f>
        <v>0.0367162842262927</v>
      </c>
      <c r="C7" s="825" t="n">
        <f aca="false">'Cuenta Ahorro-Inversión-Financi'!G44</f>
        <v>0.0121121840535182</v>
      </c>
      <c r="D7" s="825" t="n">
        <f aca="false">'Cuenta Ahorro-Inversión-Financi'!L44</f>
        <v>0.011591546064283</v>
      </c>
      <c r="E7" s="825" t="n">
        <f aca="false">'Cuenta Ahorro-Inversión-Financi'!H44</f>
        <v>3.16975206724679E-005</v>
      </c>
      <c r="F7" s="825"/>
      <c r="G7" s="825"/>
      <c r="H7" s="825" t="n">
        <f aca="false">('Cuenta Ahorro-Inversión-Financi'!AH11-SUM('Cuenta Ahorro-Inversión-Financi'!AI11:AM11))/1000/'PIB corriente base 1993'!V10</f>
        <v>0.00088214038134443</v>
      </c>
      <c r="I7" s="825"/>
      <c r="J7" s="825" t="n">
        <f aca="false">SUM(B7:F7)</f>
        <v>0.0604517118647663</v>
      </c>
      <c r="L7" s="831" t="n">
        <v>1995</v>
      </c>
      <c r="M7" s="827" t="n">
        <f aca="false">'Cuenta Ahorro-Inversión-Financi'!R44</f>
        <v>0.0536446703997522</v>
      </c>
      <c r="N7" s="827" t="n">
        <f aca="false">U7-O7</f>
        <v>0.00535587988298989</v>
      </c>
      <c r="O7" s="827"/>
      <c r="P7" s="827" t="n">
        <f aca="false">'Cuenta Ahorro-Inversión-Financi'!AY11/1000/'PIB corriente base 1993'!V10+V7</f>
        <v>0.00119215327226036</v>
      </c>
      <c r="Q7" s="827" t="n">
        <f aca="false">'Cuenta Ahorro-Inversión-Financi'!AV44</f>
        <v>0.00663835790735207</v>
      </c>
      <c r="R7" s="827"/>
      <c r="S7" s="827"/>
      <c r="T7" s="827"/>
      <c r="U7" s="827" t="n">
        <f aca="false">'Cuenta Ahorro-Inversión-Financi'!T44</f>
        <v>0.00535587988298989</v>
      </c>
      <c r="V7" s="827" t="n">
        <f aca="false">'Cuenta Ahorro-Inversión-Financi'!BC11/1000/'PIB corriente base 1993'!V10</f>
        <v>4.14119630549516E-005</v>
      </c>
      <c r="W7" s="827" t="n">
        <f aca="false">M7-T7+O7+Q7+R7+N7+P7</f>
        <v>0.0668310614623545</v>
      </c>
      <c r="X7" s="709" t="n">
        <f aca="false">J7-W7</f>
        <v>-0.00637934959758821</v>
      </c>
      <c r="Y7" s="709"/>
      <c r="Z7" s="709"/>
      <c r="AA7" s="456"/>
      <c r="AB7" s="709" t="n">
        <f aca="false">X7</f>
        <v>-0.00637934959758821</v>
      </c>
      <c r="AC7" s="709"/>
      <c r="AD7" s="709"/>
    </row>
    <row r="8" customFormat="false" ht="15.75" hidden="false" customHeight="false" outlineLevel="0" collapsed="false">
      <c r="A8" s="824" t="n">
        <v>1996</v>
      </c>
      <c r="B8" s="830" t="n">
        <f aca="false">('Cuenta Ahorro-Inversión-Financi'!T12-'Cuenta Ahorro-Inversión-Financi'!V12)/1000/'PIB corriente base 1993'!V11</f>
        <v>0.0363846758844649</v>
      </c>
      <c r="C8" s="830" t="n">
        <f aca="false">'Cuenta Ahorro-Inversión-Financi'!G45</f>
        <v>0.0146741320077489</v>
      </c>
      <c r="D8" s="830" t="n">
        <f aca="false">'Cuenta Ahorro-Inversión-Financi'!L45</f>
        <v>0.0118734138888744</v>
      </c>
      <c r="E8" s="830" t="n">
        <f aca="false">'Cuenta Ahorro-Inversión-Financi'!H45</f>
        <v>0.000116523274740473</v>
      </c>
      <c r="F8" s="830"/>
      <c r="G8" s="830"/>
      <c r="H8" s="830" t="n">
        <f aca="false">('Cuenta Ahorro-Inversión-Financi'!AH12-SUM('Cuenta Ahorro-Inversión-Financi'!AI12:AM12))/1000/'PIB corriente base 1993'!V11</f>
        <v>0.0102753152574486</v>
      </c>
      <c r="I8" s="830"/>
      <c r="J8" s="830" t="n">
        <f aca="false">SUM(B8:F8)</f>
        <v>0.0630487450558287</v>
      </c>
      <c r="L8" s="831" t="n">
        <v>1996</v>
      </c>
      <c r="M8" s="830" t="n">
        <f aca="false">'Cuenta Ahorro-Inversión-Financi'!R45</f>
        <v>0.0531622526632245</v>
      </c>
      <c r="N8" s="830" t="n">
        <f aca="false">U8-O8</f>
        <v>0.00600272468782676</v>
      </c>
      <c r="O8" s="830"/>
      <c r="P8" s="830" t="n">
        <f aca="false">'Cuenta Ahorro-Inversión-Financi'!AY12/1000/'PIB corriente base 1993'!V11+V8</f>
        <v>0.00171031345294353</v>
      </c>
      <c r="Q8" s="830" t="n">
        <f aca="false">'Cuenta Ahorro-Inversión-Financi'!AV45</f>
        <v>0.0074607589826253</v>
      </c>
      <c r="R8" s="830"/>
      <c r="S8" s="830"/>
      <c r="T8" s="830"/>
      <c r="U8" s="830" t="n">
        <f aca="false">'Cuenta Ahorro-Inversión-Financi'!T45</f>
        <v>0.00600272468782676</v>
      </c>
      <c r="V8" s="830" t="n">
        <f aca="false">'Cuenta Ahorro-Inversión-Financi'!BC12/1000/'PIB corriente base 1993'!V11</f>
        <v>0.000494498650604381</v>
      </c>
      <c r="W8" s="830" t="n">
        <f aca="false">M8-T8+O8+Q8+R8+N8+P8</f>
        <v>0.0683360497866201</v>
      </c>
      <c r="X8" s="712" t="n">
        <f aca="false">J8-W8</f>
        <v>-0.00528730473079139</v>
      </c>
      <c r="Y8" s="712"/>
      <c r="Z8" s="712"/>
      <c r="AA8" s="456"/>
      <c r="AB8" s="712" t="n">
        <f aca="false">X8</f>
        <v>-0.00528730473079139</v>
      </c>
      <c r="AC8" s="712"/>
      <c r="AD8" s="712"/>
    </row>
    <row r="9" customFormat="false" ht="15.75" hidden="false" customHeight="false" outlineLevel="0" collapsed="false">
      <c r="A9" s="824" t="n">
        <v>1997</v>
      </c>
      <c r="B9" s="825" t="n">
        <f aca="false">('Cuenta Ahorro-Inversión-Financi'!T13-'Cuenta Ahorro-Inversión-Financi'!V13)/1000/'PIB corriente base 1993'!V12</f>
        <v>0.0281819888678765</v>
      </c>
      <c r="C9" s="825" t="n">
        <f aca="false">'Cuenta Ahorro-Inversión-Financi'!G46</f>
        <v>0.0200853946887565</v>
      </c>
      <c r="D9" s="825" t="n">
        <f aca="false">'Cuenta Ahorro-Inversión-Financi'!L46</f>
        <v>0.0122864231415156</v>
      </c>
      <c r="E9" s="825" t="n">
        <f aca="false">'Cuenta Ahorro-Inversión-Financi'!H46</f>
        <v>0.000108303900462984</v>
      </c>
      <c r="F9" s="825"/>
      <c r="G9" s="825"/>
      <c r="H9" s="825" t="n">
        <f aca="false">('Cuenta Ahorro-Inversión-Financi'!AH13-SUM('Cuenta Ahorro-Inversión-Financi'!AI13:AM13))/1000/'PIB corriente base 1993'!V12</f>
        <v>0.00224140388833553</v>
      </c>
      <c r="I9" s="825"/>
      <c r="J9" s="825" t="n">
        <f aca="false">SUM(B9:F9)</f>
        <v>0.0606621105986117</v>
      </c>
      <c r="L9" s="831" t="n">
        <v>1997</v>
      </c>
      <c r="M9" s="827" t="n">
        <f aca="false">'Cuenta Ahorro-Inversión-Financi'!R46</f>
        <v>0.0500659666860674</v>
      </c>
      <c r="N9" s="827" t="n">
        <f aca="false">U9-O9</f>
        <v>0.00539903006587295</v>
      </c>
      <c r="O9" s="827"/>
      <c r="P9" s="827" t="n">
        <f aca="false">'Cuenta Ahorro-Inversión-Financi'!AY13/1000/'PIB corriente base 1993'!V12+V9</f>
        <v>0.00113559901995312</v>
      </c>
      <c r="Q9" s="827" t="n">
        <f aca="false">'Cuenta Ahorro-Inversión-Financi'!AV46</f>
        <v>0.00721746011483045</v>
      </c>
      <c r="R9" s="827"/>
      <c r="S9" s="827"/>
      <c r="T9" s="827"/>
      <c r="U9" s="827" t="n">
        <f aca="false">'Cuenta Ahorro-Inversión-Financi'!T46</f>
        <v>0.00539903006587295</v>
      </c>
      <c r="V9" s="827" t="n">
        <f aca="false">'Cuenta Ahorro-Inversión-Financi'!BC13/1000/'PIB corriente base 1993'!V12</f>
        <v>0.000295252991811143</v>
      </c>
      <c r="W9" s="827" t="n">
        <f aca="false">M9-T9+O9+Q9+R9+N9+P9</f>
        <v>0.0638180558867239</v>
      </c>
      <c r="X9" s="709" t="n">
        <f aca="false">J9-W9</f>
        <v>-0.00315594528811226</v>
      </c>
      <c r="Y9" s="709"/>
      <c r="Z9" s="709"/>
      <c r="AA9" s="456"/>
      <c r="AB9" s="709" t="n">
        <f aca="false">X9</f>
        <v>-0.00315594528811226</v>
      </c>
      <c r="AC9" s="709"/>
      <c r="AD9" s="709"/>
    </row>
    <row r="10" customFormat="false" ht="15.75" hidden="false" customHeight="false" outlineLevel="0" collapsed="false">
      <c r="A10" s="824" t="n">
        <v>1998</v>
      </c>
      <c r="B10" s="830" t="n">
        <f aca="false">('Cuenta Ahorro-Inversión-Financi'!T14-'Cuenta Ahorro-Inversión-Financi'!V14)/1000/'PIB corriente base 1993'!V13</f>
        <v>0.0264965219233464</v>
      </c>
      <c r="C10" s="830" t="n">
        <f aca="false">'Cuenta Ahorro-Inversión-Financi'!G47</f>
        <v>0.0212578403477591</v>
      </c>
      <c r="D10" s="830" t="n">
        <f aca="false">'Cuenta Ahorro-Inversión-Financi'!L47</f>
        <v>0.0127033327129764</v>
      </c>
      <c r="E10" s="830" t="n">
        <f aca="false">'Cuenta Ahorro-Inversión-Financi'!H47</f>
        <v>4.84963051482054E-005</v>
      </c>
      <c r="F10" s="830"/>
      <c r="G10" s="830"/>
      <c r="H10" s="830" t="n">
        <f aca="false">('Cuenta Ahorro-Inversión-Financi'!AH14-SUM('Cuenta Ahorro-Inversión-Financi'!AI14:AM14))/1000/'PIB corriente base 1993'!V13</f>
        <v>0.00559181882152598</v>
      </c>
      <c r="I10" s="830"/>
      <c r="J10" s="830" t="n">
        <f aca="false">SUM(B10:F10)</f>
        <v>0.0605061912892302</v>
      </c>
      <c r="L10" s="831" t="n">
        <v>1998</v>
      </c>
      <c r="M10" s="830" t="n">
        <f aca="false">'Cuenta Ahorro-Inversión-Financi'!R47</f>
        <v>0.0491903555478579</v>
      </c>
      <c r="N10" s="830" t="n">
        <f aca="false">U10-O10</f>
        <v>0.00477034993055969</v>
      </c>
      <c r="O10" s="830"/>
      <c r="P10" s="830" t="n">
        <f aca="false">'Cuenta Ahorro-Inversión-Financi'!AY14/1000/'PIB corriente base 1993'!V13+V10</f>
        <v>0.00102481315686651</v>
      </c>
      <c r="Q10" s="830" t="n">
        <f aca="false">'Cuenta Ahorro-Inversión-Financi'!AV47</f>
        <v>0.00818073477793168</v>
      </c>
      <c r="R10" s="830"/>
      <c r="S10" s="830"/>
      <c r="T10" s="830"/>
      <c r="U10" s="830" t="n">
        <f aca="false">'Cuenta Ahorro-Inversión-Financi'!T47</f>
        <v>0.00477034993055969</v>
      </c>
      <c r="V10" s="830" t="n">
        <f aca="false">'Cuenta Ahorro-Inversión-Financi'!BC14/1000/'PIB corriente base 1993'!V13</f>
        <v>0.000249813424503076</v>
      </c>
      <c r="W10" s="830" t="n">
        <f aca="false">M10-T10+O10+Q10+R10+N10+P10</f>
        <v>0.0631662534132158</v>
      </c>
      <c r="X10" s="712" t="n">
        <f aca="false">J10-W10</f>
        <v>-0.00266006212398563</v>
      </c>
      <c r="Y10" s="712"/>
      <c r="Z10" s="712"/>
      <c r="AA10" s="456"/>
      <c r="AB10" s="712" t="n">
        <f aca="false">X10</f>
        <v>-0.00266006212398563</v>
      </c>
      <c r="AC10" s="712"/>
      <c r="AD10" s="712"/>
    </row>
    <row r="11" customFormat="false" ht="15.75" hidden="false" customHeight="false" outlineLevel="0" collapsed="false">
      <c r="A11" s="824" t="n">
        <v>1999</v>
      </c>
      <c r="B11" s="825" t="n">
        <f aca="false">('Cuenta Ahorro-Inversión-Financi'!T15-'Cuenta Ahorro-Inversión-Financi'!V15)/1000/'PIB corriente base 1993'!V14</f>
        <v>0.0249055646687138</v>
      </c>
      <c r="C11" s="825" t="n">
        <f aca="false">'Cuenta Ahorro-Inversión-Financi'!G48</f>
        <v>0.0214303302315375</v>
      </c>
      <c r="D11" s="825" t="n">
        <f aca="false">'Cuenta Ahorro-Inversión-Financi'!L48</f>
        <v>0.0130590610333592</v>
      </c>
      <c r="E11" s="825" t="n">
        <f aca="false">'Cuenta Ahorro-Inversión-Financi'!H48</f>
        <v>8.90089000381151E-006</v>
      </c>
      <c r="F11" s="825"/>
      <c r="G11" s="825"/>
      <c r="H11" s="825" t="n">
        <f aca="false">('Cuenta Ahorro-Inversión-Financi'!AH15-SUM('Cuenta Ahorro-Inversión-Financi'!AI15:AM15))/1000/'PIB corriente base 1993'!V14</f>
        <v>0.0114855646880225</v>
      </c>
      <c r="I11" s="825"/>
      <c r="J11" s="825" t="n">
        <f aca="false">SUM(B11:F11)</f>
        <v>0.0594038568236144</v>
      </c>
      <c r="L11" s="831" t="n">
        <v>1999</v>
      </c>
      <c r="M11" s="827" t="n">
        <f aca="false">'Cuenta Ahorro-Inversión-Financi'!R48</f>
        <v>0.0517496903211291</v>
      </c>
      <c r="N11" s="827" t="n">
        <f aca="false">U11-O11</f>
        <v>0.00587322823822414</v>
      </c>
      <c r="O11" s="827"/>
      <c r="P11" s="827" t="n">
        <f aca="false">'Cuenta Ahorro-Inversión-Financi'!AY15/1000/'PIB corriente base 1993'!V14+V11</f>
        <v>0.000859047973636882</v>
      </c>
      <c r="Q11" s="827" t="n">
        <f aca="false">'Cuenta Ahorro-Inversión-Financi'!AV48</f>
        <v>0.00868157830525175</v>
      </c>
      <c r="R11" s="827"/>
      <c r="S11" s="827"/>
      <c r="T11" s="827"/>
      <c r="U11" s="827" t="n">
        <f aca="false">'Cuenta Ahorro-Inversión-Financi'!T48</f>
        <v>0.00587322823822414</v>
      </c>
      <c r="V11" s="827" t="n">
        <f aca="false">'Cuenta Ahorro-Inversión-Financi'!BC15/1000/'PIB corriente base 1993'!V14</f>
        <v>1.42265538204577E-005</v>
      </c>
      <c r="W11" s="827" t="n">
        <f aca="false">M11-T11+O11+Q11+R11+N11+P11</f>
        <v>0.0671635448382419</v>
      </c>
      <c r="X11" s="709" t="n">
        <f aca="false">J11-W11</f>
        <v>-0.00775968801462749</v>
      </c>
      <c r="Y11" s="709"/>
      <c r="Z11" s="709"/>
      <c r="AA11" s="456"/>
      <c r="AB11" s="709" t="n">
        <f aca="false">X11</f>
        <v>-0.00775968801462749</v>
      </c>
      <c r="AC11" s="709"/>
      <c r="AD11" s="709"/>
    </row>
    <row r="12" customFormat="false" ht="15.75" hidden="false" customHeight="false" outlineLevel="0" collapsed="false">
      <c r="A12" s="824" t="n">
        <v>2000</v>
      </c>
      <c r="B12" s="830" t="n">
        <f aca="false">('Cuenta Ahorro-Inversión-Financi'!T16-'Cuenta Ahorro-Inversión-Financi'!V16)/1000/'PIB corriente base 1993'!V15</f>
        <v>0.0236198765665383</v>
      </c>
      <c r="C12" s="830" t="n">
        <f aca="false">'Cuenta Ahorro-Inversión-Financi'!G49</f>
        <v>0.023556870770298</v>
      </c>
      <c r="D12" s="830" t="n">
        <f aca="false">'Cuenta Ahorro-Inversión-Financi'!L49</f>
        <v>0.0132482904466693</v>
      </c>
      <c r="E12" s="830" t="n">
        <f aca="false">'Cuenta Ahorro-Inversión-Financi'!H49</f>
        <v>5.08058139376392E-006</v>
      </c>
      <c r="F12" s="830"/>
      <c r="G12" s="830"/>
      <c r="H12" s="830" t="n">
        <f aca="false">('Cuenta Ahorro-Inversión-Financi'!AH16-SUM('Cuenta Ahorro-Inversión-Financi'!AI16:AM16))/1000/'PIB corriente base 1993'!V15</f>
        <v>0.00804847134329282</v>
      </c>
      <c r="I12" s="830"/>
      <c r="J12" s="830" t="n">
        <f aca="false">SUM(B12:F12)</f>
        <v>0.0604301183648993</v>
      </c>
      <c r="L12" s="831" t="n">
        <v>2000</v>
      </c>
      <c r="M12" s="830" t="n">
        <f aca="false">'Cuenta Ahorro-Inversión-Financi'!R49</f>
        <v>0.0518501300658357</v>
      </c>
      <c r="N12" s="830" t="n">
        <f aca="false">U12-O12</f>
        <v>0.00613084017631838</v>
      </c>
      <c r="O12" s="830"/>
      <c r="P12" s="830" t="n">
        <f aca="false">'Cuenta Ahorro-Inversión-Financi'!AY16/1000/'PIB corriente base 1993'!V15+V12</f>
        <v>0.000763899147434019</v>
      </c>
      <c r="Q12" s="830" t="n">
        <f aca="false">'Cuenta Ahorro-Inversión-Financi'!AV49</f>
        <v>0.00842379342908535</v>
      </c>
      <c r="R12" s="830"/>
      <c r="S12" s="830"/>
      <c r="T12" s="830"/>
      <c r="U12" s="830" t="n">
        <f aca="false">'Cuenta Ahorro-Inversión-Financi'!T49</f>
        <v>0.00613084017631838</v>
      </c>
      <c r="V12" s="830" t="n">
        <f aca="false">'Cuenta Ahorro-Inversión-Financi'!BC16/1000/'PIB corriente base 1993'!V15</f>
        <v>5.98162432380261E-006</v>
      </c>
      <c r="W12" s="830" t="n">
        <f aca="false">M12-T12+O12+Q12+R12+N12+P12</f>
        <v>0.0671686628186734</v>
      </c>
      <c r="X12" s="712" t="n">
        <f aca="false">J12-W12</f>
        <v>-0.00673854445377408</v>
      </c>
      <c r="Y12" s="712"/>
      <c r="Z12" s="712"/>
      <c r="AA12" s="456"/>
      <c r="AB12" s="712" t="n">
        <f aca="false">X12</f>
        <v>-0.00673854445377408</v>
      </c>
      <c r="AC12" s="712"/>
      <c r="AD12" s="712"/>
    </row>
    <row r="13" customFormat="false" ht="15.75" hidden="false" customHeight="false" outlineLevel="0" collapsed="false">
      <c r="A13" s="824" t="n">
        <v>2001</v>
      </c>
      <c r="B13" s="825" t="n">
        <f aca="false">('Cuenta Ahorro-Inversión-Financi'!T17-'Cuenta Ahorro-Inversión-Financi'!V17)/1000/'PIB corriente base 1993'!V16</f>
        <v>0.0238758696338049</v>
      </c>
      <c r="C13" s="825" t="n">
        <f aca="false">'Cuenta Ahorro-Inversión-Financi'!G50</f>
        <v>0.0214457736331774</v>
      </c>
      <c r="D13" s="825" t="n">
        <f aca="false">'Cuenta Ahorro-Inversión-Financi'!L50</f>
        <v>0.0124450443431941</v>
      </c>
      <c r="E13" s="825" t="n">
        <f aca="false">'Cuenta Ahorro-Inversión-Financi'!H50</f>
        <v>1.27950379999639E-006</v>
      </c>
      <c r="F13" s="825"/>
      <c r="G13" s="825"/>
      <c r="H13" s="825" t="n">
        <f aca="false">('Cuenta Ahorro-Inversión-Financi'!AH17-SUM('Cuenta Ahorro-Inversión-Financi'!AI17:AM17))/1000/'PIB corriente base 1993'!V16</f>
        <v>0.0116979033026615</v>
      </c>
      <c r="I13" s="825"/>
      <c r="J13" s="825" t="n">
        <f aca="false">SUM(B13:F13)</f>
        <v>0.0577679671139764</v>
      </c>
      <c r="L13" s="831" t="n">
        <v>2001</v>
      </c>
      <c r="M13" s="827" t="n">
        <f aca="false">'Cuenta Ahorro-Inversión-Financi'!R50</f>
        <v>0.0525215308255347</v>
      </c>
      <c r="N13" s="827" t="n">
        <f aca="false">U13-O13</f>
        <v>0.00621669920590712</v>
      </c>
      <c r="O13" s="827"/>
      <c r="P13" s="827" t="n">
        <f aca="false">'Cuenta Ahorro-Inversión-Financi'!AY17/1000/'PIB corriente base 1993'!V16+V13</f>
        <v>0.000688492360671558</v>
      </c>
      <c r="Q13" s="827" t="n">
        <f aca="false">'Cuenta Ahorro-Inversión-Financi'!AV50</f>
        <v>0.00850617345912317</v>
      </c>
      <c r="R13" s="827"/>
      <c r="S13" s="827"/>
      <c r="T13" s="827"/>
      <c r="U13" s="827" t="n">
        <f aca="false">'Cuenta Ahorro-Inversión-Financi'!T50</f>
        <v>0.00621669920590712</v>
      </c>
      <c r="V13" s="827" t="n">
        <f aca="false">'Cuenta Ahorro-Inversión-Financi'!BC17/1000/'PIB corriente base 1993'!V16</f>
        <v>7.22561883404885E-008</v>
      </c>
      <c r="W13" s="827" t="n">
        <f aca="false">M13-T13+O13+Q13+R13+N13+P13</f>
        <v>0.0679328958512366</v>
      </c>
      <c r="X13" s="709" t="n">
        <f aca="false">J13-W13</f>
        <v>-0.0101649287372602</v>
      </c>
      <c r="Y13" s="709"/>
      <c r="Z13" s="709"/>
      <c r="AA13" s="456"/>
      <c r="AB13" s="709" t="n">
        <f aca="false">X13</f>
        <v>-0.0101649287372602</v>
      </c>
      <c r="AC13" s="709"/>
      <c r="AD13" s="709"/>
      <c r="AE13" s="832"/>
      <c r="AG13" s="663"/>
      <c r="AI13" s="833"/>
      <c r="AJ13" s="834"/>
      <c r="AK13" s="835"/>
    </row>
    <row r="14" customFormat="false" ht="15.75" hidden="false" customHeight="false" outlineLevel="0" collapsed="false">
      <c r="A14" s="824" t="n">
        <v>2002</v>
      </c>
      <c r="B14" s="830" t="n">
        <f aca="false">('Cuenta Ahorro-Inversión-Financi'!T18-'Cuenta Ahorro-Inversión-Financi'!V18)/1000/'PIB corriente base 1993'!V17</f>
        <v>0.0204511996433966</v>
      </c>
      <c r="C14" s="830" t="n">
        <f aca="false">'Cuenta Ahorro-Inversión-Financi'!G51</f>
        <v>0.0170555199717405</v>
      </c>
      <c r="D14" s="830" t="n">
        <f aca="false">'Cuenta Ahorro-Inversión-Financi'!L51</f>
        <v>0.00963695804700716</v>
      </c>
      <c r="E14" s="830" t="n">
        <f aca="false">'Cuenta Ahorro-Inversión-Financi'!H51</f>
        <v>1.71830895387883E-005</v>
      </c>
      <c r="F14" s="830"/>
      <c r="G14" s="830"/>
      <c r="H14" s="830" t="n">
        <f aca="false">('Cuenta Ahorro-Inversión-Financi'!AH18-SUM('Cuenta Ahorro-Inversión-Financi'!AI18:AM18))/1000/'PIB corriente base 1993'!V17</f>
        <v>0.0137708624102913</v>
      </c>
      <c r="I14" s="830"/>
      <c r="J14" s="830" t="n">
        <f aca="false">SUM(B14:F14)</f>
        <v>0.047160860751683</v>
      </c>
      <c r="L14" s="831" t="n">
        <v>2002</v>
      </c>
      <c r="M14" s="830" t="n">
        <f aca="false">'Cuenta Ahorro-Inversión-Financi'!R51</f>
        <v>0.0443421627477132</v>
      </c>
      <c r="N14" s="830" t="n">
        <f aca="false">U14-O14</f>
        <v>0.00678591755475529</v>
      </c>
      <c r="O14" s="830"/>
      <c r="P14" s="830" t="n">
        <f aca="false">'Cuenta Ahorro-Inversión-Financi'!AY18/1000/'PIB corriente base 1993'!V17+V14</f>
        <v>0.000674115579920293</v>
      </c>
      <c r="Q14" s="830" t="n">
        <f aca="false">'Cuenta Ahorro-Inversión-Financi'!AV51</f>
        <v>0.00679872793896764</v>
      </c>
      <c r="R14" s="830"/>
      <c r="S14" s="830"/>
      <c r="T14" s="830"/>
      <c r="U14" s="830" t="n">
        <f aca="false">'Cuenta Ahorro-Inversión-Financi'!T51</f>
        <v>0.00678591755475529</v>
      </c>
      <c r="V14" s="830" t="n">
        <f aca="false">'Cuenta Ahorro-Inversión-Financi'!BC18/1000/'PIB corriente base 1993'!V17</f>
        <v>0</v>
      </c>
      <c r="W14" s="830" t="n">
        <f aca="false">M14-T14+O14+Q14+R14+N14+P14</f>
        <v>0.0586009238213564</v>
      </c>
      <c r="X14" s="712" t="n">
        <f aca="false">J14-W14</f>
        <v>-0.0114400630696734</v>
      </c>
      <c r="Y14" s="712"/>
      <c r="Z14" s="712"/>
      <c r="AA14" s="456"/>
      <c r="AB14" s="712" t="n">
        <f aca="false">X14</f>
        <v>-0.0114400630696734</v>
      </c>
      <c r="AC14" s="712"/>
      <c r="AD14" s="712"/>
      <c r="AE14" s="832"/>
      <c r="AG14" s="663"/>
      <c r="AI14" s="833"/>
      <c r="AJ14" s="834"/>
      <c r="AK14" s="835"/>
    </row>
    <row r="15" customFormat="false" ht="15.75" hidden="false" customHeight="false" outlineLevel="0" collapsed="false">
      <c r="A15" s="824" t="n">
        <v>2003</v>
      </c>
      <c r="B15" s="825" t="n">
        <f aca="false">'Cuenta Ahorro-Inversión-Financi'!F52</f>
        <v>0.0204726739831029</v>
      </c>
      <c r="C15" s="825" t="n">
        <f aca="false">'Cuenta Ahorro-Inversión-Financi'!G52</f>
        <v>0.0198553916144812</v>
      </c>
      <c r="D15" s="825" t="n">
        <f aca="false">'Cuenta Ahorro-Inversión-Financi'!L52</f>
        <v>0.0118026727120887</v>
      </c>
      <c r="E15" s="825" t="n">
        <f aca="false">'Cuenta Ahorro-Inversión-Financi'!H52</f>
        <v>5.45970901702129E-006</v>
      </c>
      <c r="F15" s="825"/>
      <c r="G15" s="825"/>
      <c r="H15" s="825" t="n">
        <f aca="false">('Cuenta Ahorro-Inversión-Financi'!AH19-SUM('Cuenta Ahorro-Inversión-Financi'!AI19:AM19))/1000/'PIB corriente base 1993'!V18</f>
        <v>0.00793855080899741</v>
      </c>
      <c r="I15" s="825"/>
      <c r="J15" s="825" t="n">
        <f aca="false">SUM(B15:F15)</f>
        <v>0.0521361980186898</v>
      </c>
      <c r="L15" s="831" t="n">
        <v>2003</v>
      </c>
      <c r="M15" s="827" t="n">
        <f aca="false">'Cuenta Ahorro-Inversión-Financi'!R52</f>
        <v>0.0414155099169041</v>
      </c>
      <c r="N15" s="827" t="n">
        <f aca="false">U15-O15</f>
        <v>0.00815617118660916</v>
      </c>
      <c r="O15" s="827"/>
      <c r="P15" s="827" t="n">
        <f aca="false">'Cuenta Ahorro-Inversión-Financi'!AY19/1000/'PIB corriente base 1993'!V18+V15</f>
        <v>0.000695611243275441</v>
      </c>
      <c r="Q15" s="827" t="n">
        <f aca="false">'Cuenta Ahorro-Inversión-Financi'!AV52</f>
        <v>0.00679617546093593</v>
      </c>
      <c r="R15" s="827"/>
      <c r="S15" s="827"/>
      <c r="T15" s="827"/>
      <c r="U15" s="827" t="n">
        <f aca="false">'Cuenta Ahorro-Inversión-Financi'!T52</f>
        <v>0.00815617118660916</v>
      </c>
      <c r="V15" s="827" t="n">
        <f aca="false">'Cuenta Ahorro-Inversión-Financi'!BC19/1000/'PIB corriente base 1993'!V18</f>
        <v>1.30531749775246E-005</v>
      </c>
      <c r="W15" s="827" t="n">
        <f aca="false">M15-T15+O15+Q15+R15+N15+P15</f>
        <v>0.0570634678077246</v>
      </c>
      <c r="X15" s="709" t="n">
        <f aca="false">J15-W15</f>
        <v>-0.00492726978903478</v>
      </c>
      <c r="Y15" s="709"/>
      <c r="Z15" s="709"/>
      <c r="AA15" s="456"/>
      <c r="AB15" s="709" t="n">
        <f aca="false">X15</f>
        <v>-0.00492726978903478</v>
      </c>
      <c r="AC15" s="709"/>
      <c r="AD15" s="709"/>
      <c r="AE15" s="832"/>
      <c r="AG15" s="663"/>
      <c r="AI15" s="833"/>
      <c r="AJ15" s="834"/>
      <c r="AK15" s="835"/>
    </row>
    <row r="16" customFormat="false" ht="15.75" hidden="false" customHeight="false" outlineLevel="0" collapsed="false">
      <c r="A16" s="824" t="n">
        <v>2004</v>
      </c>
      <c r="B16" s="830" t="n">
        <f aca="false">'Cuenta Ahorro-Inversión-Financi'!F53</f>
        <v>0.0198583830686151</v>
      </c>
      <c r="C16" s="830" t="n">
        <f aca="false">'Cuenta Ahorro-Inversión-Financi'!G53</f>
        <v>0.0216742076161843</v>
      </c>
      <c r="D16" s="830" t="n">
        <f aca="false">'Cuenta Ahorro-Inversión-Financi'!L53</f>
        <v>0.0133242836449752</v>
      </c>
      <c r="E16" s="830" t="n">
        <f aca="false">'Cuenta Ahorro-Inversión-Financi'!H53</f>
        <v>2.30880969959205E-005</v>
      </c>
      <c r="F16" s="830"/>
      <c r="G16" s="830"/>
      <c r="H16" s="830" t="n">
        <f aca="false">('Cuenta Ahorro-Inversión-Financi'!AH20-SUM('Cuenta Ahorro-Inversión-Financi'!AI20:AM20))/1000/'PIB corriente base 2004'!X8</f>
        <v>-0.000308408259922678</v>
      </c>
      <c r="I16" s="830"/>
      <c r="J16" s="830" t="n">
        <f aca="false">SUM(B16:F16)</f>
        <v>0.0548799624267706</v>
      </c>
      <c r="L16" s="831" t="n">
        <v>2004</v>
      </c>
      <c r="M16" s="830" t="n">
        <f aca="false">'Cuenta Ahorro-Inversión-Financi'!R53</f>
        <v>0.036705436096272</v>
      </c>
      <c r="N16" s="830" t="n">
        <f aca="false">U16-O16</f>
        <v>0.00601253522505087</v>
      </c>
      <c r="O16" s="830" t="n">
        <f aca="false">'Cuenta Ahorro-Inversión-Financi'!BS20/1000/'PIB corriente base 2004'!X8</f>
        <v>0.00147841859387012</v>
      </c>
      <c r="P16" s="830" t="n">
        <f aca="false">'Cuenta Ahorro-Inversión-Financi'!AY20/1000/'PIB corriente base 2004'!X8+V16</f>
        <v>0.000620174834207575</v>
      </c>
      <c r="Q16" s="830" t="n">
        <f aca="false">'Cuenta Ahorro-Inversión-Financi'!AV53</f>
        <v>0.0062422259511128</v>
      </c>
      <c r="R16" s="830"/>
      <c r="S16" s="830"/>
      <c r="T16" s="830"/>
      <c r="U16" s="830" t="n">
        <f aca="false">'Cuenta Ahorro-Inversión-Financi'!T53</f>
        <v>0.00749095381892099</v>
      </c>
      <c r="V16" s="830" t="n">
        <f aca="false">'Cuenta Ahorro-Inversión-Financi'!BC20/1000/'PIB corriente base 2004'!X8</f>
        <v>1.74603072262164E-005</v>
      </c>
      <c r="W16" s="830" t="n">
        <f aca="false">M16-T16+O16+Q16+R16+N16+P16</f>
        <v>0.0510587907005133</v>
      </c>
      <c r="X16" s="712" t="n">
        <f aca="false">J16-W16</f>
        <v>0.00382117172625724</v>
      </c>
      <c r="Y16" s="712"/>
      <c r="Z16" s="712"/>
      <c r="AA16" s="456"/>
      <c r="AB16" s="712" t="n">
        <f aca="false">X16</f>
        <v>0.00382117172625724</v>
      </c>
      <c r="AC16" s="712"/>
      <c r="AD16" s="712"/>
      <c r="AE16" s="832"/>
      <c r="AG16" s="663"/>
      <c r="AI16" s="833"/>
      <c r="AJ16" s="834"/>
      <c r="AK16" s="835"/>
    </row>
    <row r="17" customFormat="false" ht="15.75" hidden="false" customHeight="false" outlineLevel="0" collapsed="false">
      <c r="A17" s="824" t="n">
        <v>2005</v>
      </c>
      <c r="B17" s="825" t="n">
        <f aca="false">'Cuenta Ahorro-Inversión-Financi'!F54</f>
        <v>0.0214249777603053</v>
      </c>
      <c r="C17" s="825" t="n">
        <f aca="false">'Cuenta Ahorro-Inversión-Financi'!G54</f>
        <v>0.0219471405894574</v>
      </c>
      <c r="D17" s="825" t="n">
        <f aca="false">'Cuenta Ahorro-Inversión-Financi'!L54</f>
        <v>0.0139618318212355</v>
      </c>
      <c r="E17" s="825" t="n">
        <f aca="false">'Cuenta Ahorro-Inversión-Financi'!H54</f>
        <v>6.64758507150565E-005</v>
      </c>
      <c r="F17" s="825"/>
      <c r="G17" s="825"/>
      <c r="H17" s="825" t="n">
        <f aca="false">('Cuenta Ahorro-Inversión-Financi'!AH21-SUM('Cuenta Ahorro-Inversión-Financi'!AI21:AM21))/1000/'PIB corriente base 2004'!X9</f>
        <v>-2.23358829159163E-005</v>
      </c>
      <c r="I17" s="825"/>
      <c r="J17" s="825" t="n">
        <f aca="false">SUM(B17:F17)</f>
        <v>0.0574004260217132</v>
      </c>
      <c r="L17" s="831" t="n">
        <v>2005</v>
      </c>
      <c r="M17" s="827" t="n">
        <f aca="false">'Cuenta Ahorro-Inversión-Financi'!R54</f>
        <v>0.0345505912680116</v>
      </c>
      <c r="N17" s="827" t="n">
        <f aca="false">U17-O17</f>
        <v>0.00717141324245859</v>
      </c>
      <c r="O17" s="827" t="n">
        <f aca="false">'Cuenta Ahorro-Inversión-Financi'!BS21/1000/'PIB corriente base 2004'!X9</f>
        <v>0.0013544936722026</v>
      </c>
      <c r="P17" s="827" t="n">
        <f aca="false">'Cuenta Ahorro-Inversión-Financi'!AY21/1000/'PIB corriente base 2004'!X9+V17</f>
        <v>0.000775276229474887</v>
      </c>
      <c r="Q17" s="827" t="n">
        <f aca="false">'Cuenta Ahorro-Inversión-Financi'!AV54</f>
        <v>0.00597111538341118</v>
      </c>
      <c r="R17" s="827"/>
      <c r="S17" s="827"/>
      <c r="T17" s="827"/>
      <c r="U17" s="827" t="n">
        <f aca="false">'Cuenta Ahorro-Inversión-Financi'!T54</f>
        <v>0.00852590691466118</v>
      </c>
      <c r="V17" s="827" t="n">
        <f aca="false">'Cuenta Ahorro-Inversión-Financi'!BC21/1000/'PIB corriente base 2004'!X9</f>
        <v>1.43195789521217E-005</v>
      </c>
      <c r="W17" s="827" t="n">
        <f aca="false">M17-T17+O17+Q17+R17+N17+P17</f>
        <v>0.0498228897955588</v>
      </c>
      <c r="X17" s="709" t="n">
        <f aca="false">J17-W17</f>
        <v>0.00757753622615441</v>
      </c>
      <c r="Y17" s="709"/>
      <c r="Z17" s="709"/>
      <c r="AA17" s="456"/>
      <c r="AB17" s="709" t="n">
        <f aca="false">X17</f>
        <v>0.00757753622615441</v>
      </c>
      <c r="AC17" s="709"/>
      <c r="AD17" s="709"/>
      <c r="AE17" s="832"/>
      <c r="AG17" s="663"/>
      <c r="AI17" s="833"/>
      <c r="AJ17" s="834"/>
      <c r="AK17" s="835"/>
    </row>
    <row r="18" customFormat="false" ht="15.75" hidden="false" customHeight="false" outlineLevel="0" collapsed="false">
      <c r="A18" s="824" t="n">
        <v>2006</v>
      </c>
      <c r="B18" s="830" t="n">
        <f aca="false">'Cuenta Ahorro-Inversión-Financi'!F55</f>
        <v>0.0252575877444441</v>
      </c>
      <c r="C18" s="830" t="n">
        <f aca="false">'Cuenta Ahorro-Inversión-Financi'!G55</f>
        <v>0.0212196799431274</v>
      </c>
      <c r="D18" s="830" t="n">
        <f aca="false">'Cuenta Ahorro-Inversión-Financi'!L55</f>
        <v>0.0141131235333867</v>
      </c>
      <c r="E18" s="830" t="n">
        <f aca="false">'Cuenta Ahorro-Inversión-Financi'!H55</f>
        <v>0.000401428799431498</v>
      </c>
      <c r="F18" s="830"/>
      <c r="G18" s="830"/>
      <c r="H18" s="830" t="n">
        <f aca="false">('Cuenta Ahorro-Inversión-Financi'!AH22-SUM('Cuenta Ahorro-Inversión-Financi'!AI22:AM22))/1000/'PIB corriente base 2004'!X10</f>
        <v>6.39115825222325E-005</v>
      </c>
      <c r="I18" s="830"/>
      <c r="J18" s="830" t="n">
        <f aca="false">SUM(B18:F18)</f>
        <v>0.0609918200203897</v>
      </c>
      <c r="L18" s="831" t="n">
        <v>2006</v>
      </c>
      <c r="M18" s="830" t="n">
        <f aca="false">'Cuenta Ahorro-Inversión-Financi'!R55</f>
        <v>0.0368418871162505</v>
      </c>
      <c r="N18" s="830" t="n">
        <f aca="false">U18-O18</f>
        <v>0.00645013061743081</v>
      </c>
      <c r="O18" s="830" t="n">
        <f aca="false">'Cuenta Ahorro-Inversión-Financi'!BS22/1000/'PIB corriente base 2004'!X10</f>
        <v>0.001420898634906</v>
      </c>
      <c r="P18" s="830" t="n">
        <f aca="false">'Cuenta Ahorro-Inversión-Financi'!AY22/1000/'PIB corriente base 2004'!X10+V18</f>
        <v>0.000837384263622429</v>
      </c>
      <c r="Q18" s="830" t="n">
        <f aca="false">'Cuenta Ahorro-Inversión-Financi'!AV55</f>
        <v>0.00626372424192923</v>
      </c>
      <c r="R18" s="830"/>
      <c r="S18" s="830"/>
      <c r="T18" s="830"/>
      <c r="U18" s="830" t="n">
        <f aca="false">'Cuenta Ahorro-Inversión-Financi'!T55</f>
        <v>0.00787102925233681</v>
      </c>
      <c r="V18" s="830" t="n">
        <f aca="false">'Cuenta Ahorro-Inversión-Financi'!BC22/1000/'PIB corriente base 2004'!X10</f>
        <v>3.88399291607207E-006</v>
      </c>
      <c r="W18" s="830" t="n">
        <f aca="false">M18-T18+O18+Q18+R18+N18+P18</f>
        <v>0.051814024874139</v>
      </c>
      <c r="X18" s="712" t="n">
        <f aca="false">J18-W18</f>
        <v>0.00917779514625071</v>
      </c>
      <c r="Y18" s="712"/>
      <c r="Z18" s="712"/>
      <c r="AA18" s="456"/>
      <c r="AB18" s="712" t="n">
        <f aca="false">X18</f>
        <v>0.00917779514625071</v>
      </c>
      <c r="AC18" s="712"/>
      <c r="AD18" s="712"/>
      <c r="AE18" s="832"/>
      <c r="AG18" s="663"/>
      <c r="AI18" s="833"/>
      <c r="AJ18" s="834"/>
      <c r="AK18" s="835"/>
    </row>
    <row r="19" customFormat="false" ht="15.75" hidden="false" customHeight="false" outlineLevel="0" collapsed="false">
      <c r="A19" s="824" t="n">
        <v>2007</v>
      </c>
      <c r="B19" s="825" t="n">
        <f aca="false">'Cuenta Ahorro-Inversión-Financi'!F56</f>
        <v>0.0385047966381489</v>
      </c>
      <c r="C19" s="825" t="n">
        <f aca="false">'Cuenta Ahorro-Inversión-Financi'!G56</f>
        <v>0.0209548679959935</v>
      </c>
      <c r="D19" s="825" t="n">
        <f aca="false">'Cuenta Ahorro-Inversión-Financi'!L56</f>
        <v>0.0149068047295749</v>
      </c>
      <c r="E19" s="825" t="n">
        <f aca="false">'Cuenta Ahorro-Inversión-Financi'!H56</f>
        <v>0.000737928817183578</v>
      </c>
      <c r="F19" s="825"/>
      <c r="G19" s="825"/>
      <c r="H19" s="825" t="n">
        <f aca="false">('Cuenta Ahorro-Inversión-Financi'!AH23-SUM('Cuenta Ahorro-Inversión-Financi'!AI23:AM23))/1000/'PIB corriente base 2004'!X11</f>
        <v>-4.9152714044835E-007</v>
      </c>
      <c r="I19" s="825"/>
      <c r="J19" s="825" t="n">
        <f aca="false">SUM(B19:F19)</f>
        <v>0.0751043981809009</v>
      </c>
      <c r="K19" s="456"/>
      <c r="L19" s="831" t="n">
        <v>2007</v>
      </c>
      <c r="M19" s="827" t="n">
        <f aca="false">'Cuenta Ahorro-Inversión-Financi'!R56</f>
        <v>0.0489808558686249</v>
      </c>
      <c r="N19" s="827" t="n">
        <f aca="false">U19-O19</f>
        <v>0.00559034382813241</v>
      </c>
      <c r="O19" s="827" t="n">
        <f aca="false">'Cuenta Ahorro-Inversión-Financi'!BS23/1000/'PIB corriente base 2004'!X11</f>
        <v>0.0018084480471694</v>
      </c>
      <c r="P19" s="827" t="n">
        <f aca="false">'Cuenta Ahorro-Inversión-Financi'!AY23/1000/'PIB corriente base 2004'!X11+V19</f>
        <v>0.000934433666315139</v>
      </c>
      <c r="Q19" s="827" t="n">
        <f aca="false">'Cuenta Ahorro-Inversión-Financi'!AV56</f>
        <v>0.00694374082135591</v>
      </c>
      <c r="R19" s="827"/>
      <c r="S19" s="827"/>
      <c r="T19" s="827"/>
      <c r="U19" s="827" t="n">
        <f aca="false">'Cuenta Ahorro-Inversión-Financi'!T56</f>
        <v>0.00739879187530181</v>
      </c>
      <c r="V19" s="827" t="n">
        <f aca="false">'Cuenta Ahorro-Inversión-Financi'!BC23/1000/'PIB corriente base 2004'!X11</f>
        <v>0</v>
      </c>
      <c r="W19" s="827" t="n">
        <f aca="false">M19-T19+O19+Q19+R19+N19+P19</f>
        <v>0.0642578222315978</v>
      </c>
      <c r="X19" s="709" t="n">
        <f aca="false">J19-W19</f>
        <v>0.0108465759493031</v>
      </c>
      <c r="Y19" s="709"/>
      <c r="AA19" s="456"/>
      <c r="AB19" s="709" t="n">
        <f aca="false">X19</f>
        <v>0.0108465759493031</v>
      </c>
      <c r="AC19" s="709"/>
      <c r="AE19" s="832"/>
      <c r="AG19" s="663"/>
      <c r="AI19" s="833"/>
      <c r="AJ19" s="834"/>
      <c r="AK19" s="835"/>
    </row>
    <row r="20" customFormat="false" ht="15.75" hidden="false" customHeight="false" outlineLevel="0" collapsed="false">
      <c r="A20" s="824" t="n">
        <v>2008</v>
      </c>
      <c r="B20" s="830" t="n">
        <f aca="false">'Cuenta Ahorro-Inversión-Financi'!F57</f>
        <v>0.0368508016736982</v>
      </c>
      <c r="C20" s="830" t="n">
        <f aca="false">'Cuenta Ahorro-Inversión-Financi'!G57</f>
        <v>0.0204392279016501</v>
      </c>
      <c r="D20" s="830" t="n">
        <f aca="false">'Cuenta Ahorro-Inversión-Financi'!L57</f>
        <v>0.0145730376476074</v>
      </c>
      <c r="E20" s="830" t="n">
        <f aca="false">'Cuenta Ahorro-Inversión-Financi'!H57</f>
        <v>0.000971980550364607</v>
      </c>
      <c r="F20" s="830"/>
      <c r="G20" s="830"/>
      <c r="H20" s="830" t="n">
        <f aca="false">('Cuenta Ahorro-Inversión-Financi'!AH24-SUM('Cuenta Ahorro-Inversión-Financi'!AI24:AM24))/1000/'PIB corriente base 2004'!X12</f>
        <v>0.000309302566600715</v>
      </c>
      <c r="I20" s="830"/>
      <c r="J20" s="830" t="n">
        <f aca="false">SUM(B20:F20)</f>
        <v>0.0728350477733203</v>
      </c>
      <c r="L20" s="831" t="n">
        <v>2008</v>
      </c>
      <c r="M20" s="830" t="n">
        <f aca="false">'Cuenta Ahorro-Inversión-Financi'!R57</f>
        <v>0.0483764714177785</v>
      </c>
      <c r="N20" s="830" t="n">
        <f aca="false">U20-O20</f>
        <v>0.00717673059001263</v>
      </c>
      <c r="O20" s="830" t="n">
        <f aca="false">'Cuenta Ahorro-Inversión-Financi'!BS24/1000/'PIB corriente base 2004'!X12</f>
        <v>0.00175828728657165</v>
      </c>
      <c r="P20" s="830" t="n">
        <f aca="false">'Cuenta Ahorro-Inversión-Financi'!AY24/1000/'PIB corriente base 2004'!X12+V20</f>
        <v>0.00110112913760037</v>
      </c>
      <c r="Q20" s="830" t="n">
        <f aca="false">'Cuenta Ahorro-Inversión-Financi'!AV57-R20</f>
        <v>0.00755471749320767</v>
      </c>
      <c r="R20" s="830" t="n">
        <f aca="false">'Cuenta Ahorro-Inversión-Financi'!Y57</f>
        <v>0.00116689653702815</v>
      </c>
      <c r="S20" s="830"/>
      <c r="T20" s="830"/>
      <c r="U20" s="830" t="n">
        <f aca="false">'Cuenta Ahorro-Inversión-Financi'!T57</f>
        <v>0.00893501787658427</v>
      </c>
      <c r="V20" s="830" t="n">
        <f aca="false">'Cuenta Ahorro-Inversión-Financi'!BC24/1000/'PIB corriente base 2004'!X12</f>
        <v>0</v>
      </c>
      <c r="W20" s="830" t="n">
        <f aca="false">M20-T20+O20+Q20+R20+N20+P20</f>
        <v>0.067134232462199</v>
      </c>
      <c r="X20" s="712" t="n">
        <f aca="false">J20-W20</f>
        <v>0.00570081531112138</v>
      </c>
      <c r="Y20" s="712" t="n">
        <f aca="false">X20-E20</f>
        <v>0.00472883476075677</v>
      </c>
      <c r="Z20" s="712"/>
      <c r="AA20" s="456"/>
      <c r="AB20" s="712" t="n">
        <f aca="false">Y20</f>
        <v>0.00472883476075677</v>
      </c>
      <c r="AC20" s="712" t="n">
        <f aca="false">X20</f>
        <v>0.00570081531112138</v>
      </c>
      <c r="AD20" s="712"/>
      <c r="AE20" s="832"/>
      <c r="AG20" s="663"/>
      <c r="AI20" s="833"/>
      <c r="AJ20" s="834"/>
      <c r="AK20" s="835"/>
    </row>
    <row r="21" customFormat="false" ht="15.75" hidden="false" customHeight="false" outlineLevel="0" collapsed="false">
      <c r="A21" s="824" t="n">
        <v>2009</v>
      </c>
      <c r="B21" s="825" t="n">
        <f aca="false">'Cuenta Ahorro-Inversión-Financi'!F58</f>
        <v>0.0507701371819389</v>
      </c>
      <c r="C21" s="825" t="n">
        <f aca="false">'Cuenta Ahorro-Inversión-Financi'!G58</f>
        <v>0.0203921181346288</v>
      </c>
      <c r="D21" s="825" t="n">
        <f aca="false">'Cuenta Ahorro-Inversión-Financi'!L58</f>
        <v>0.0146173597980544</v>
      </c>
      <c r="E21" s="825" t="n">
        <f aca="false">'Cuenta Ahorro-Inversión-Financi'!H58</f>
        <v>0.00680095700317286</v>
      </c>
      <c r="F21" s="825"/>
      <c r="G21" s="825"/>
      <c r="H21" s="825" t="n">
        <f aca="false">('Cuenta Ahorro-Inversión-Financi'!AH25-SUM('Cuenta Ahorro-Inversión-Financi'!AI25:AM25))/1000/'PIB corriente base 2004'!X13</f>
        <v>0.000374296304471138</v>
      </c>
      <c r="I21" s="825"/>
      <c r="J21" s="825" t="n">
        <f aca="false">SUM(B21:F21)</f>
        <v>0.092580572117795</v>
      </c>
      <c r="L21" s="831" t="n">
        <v>2009</v>
      </c>
      <c r="M21" s="827" t="n">
        <f aca="false">'Cuenta Ahorro-Inversión-Financi'!R58</f>
        <v>0.0568162745570319</v>
      </c>
      <c r="N21" s="827" t="n">
        <f aca="false">U21-O21</f>
        <v>0.0103548744113128</v>
      </c>
      <c r="O21" s="827" t="n">
        <f aca="false">'Cuenta Ahorro-Inversión-Financi'!BS25/1000/'PIB corriente base 2004'!X13</f>
        <v>0.0020413731238185</v>
      </c>
      <c r="P21" s="827" t="n">
        <f aca="false">'Cuenta Ahorro-Inversión-Financi'!AY25/1000/'PIB corriente base 2004'!X13+V21</f>
        <v>0.00178122445365416</v>
      </c>
      <c r="Q21" s="827" t="n">
        <f aca="false">'Cuenta Ahorro-Inversión-Financi'!AV58-R21</f>
        <v>0.0096326646023175</v>
      </c>
      <c r="R21" s="827" t="n">
        <f aca="false">'Cuenta Ahorro-Inversión-Financi'!Y58</f>
        <v>0.00167502693461996</v>
      </c>
      <c r="S21" s="827"/>
      <c r="T21" s="827"/>
      <c r="U21" s="827" t="n">
        <f aca="false">'Cuenta Ahorro-Inversión-Financi'!T58</f>
        <v>0.0123962475351313</v>
      </c>
      <c r="V21" s="827" t="n">
        <f aca="false">'Cuenta Ahorro-Inversión-Financi'!BC25/1000/'PIB corriente base 2004'!X13</f>
        <v>3.47760459512129E-006</v>
      </c>
      <c r="W21" s="827" t="n">
        <f aca="false">M21-T21+O21+Q21+R21+N21+P21</f>
        <v>0.0823014380827548</v>
      </c>
      <c r="X21" s="709" t="n">
        <f aca="false">J21-W21</f>
        <v>0.0102791340350402</v>
      </c>
      <c r="Y21" s="709" t="n">
        <f aca="false">X21-E21</f>
        <v>0.00347817703186733</v>
      </c>
      <c r="Z21" s="709"/>
      <c r="AA21" s="456"/>
      <c r="AB21" s="709" t="n">
        <f aca="false">Y21</f>
        <v>0.00347817703186733</v>
      </c>
      <c r="AC21" s="709" t="n">
        <f aca="false">X21</f>
        <v>0.0102791340350402</v>
      </c>
      <c r="AD21" s="709"/>
      <c r="AE21" s="832"/>
      <c r="AG21" s="663"/>
      <c r="AI21" s="833"/>
      <c r="AJ21" s="834"/>
      <c r="AK21" s="836"/>
    </row>
    <row r="22" customFormat="false" ht="15.75" hidden="false" customHeight="false" outlineLevel="0" collapsed="false">
      <c r="A22" s="824" t="n">
        <v>2010</v>
      </c>
      <c r="B22" s="830" t="n">
        <f aca="false">'Cuenta Ahorro-Inversión-Financi'!F59</f>
        <v>0.0504873115779599</v>
      </c>
      <c r="C22" s="830" t="n">
        <f aca="false">'Cuenta Ahorro-Inversión-Financi'!G59</f>
        <v>0.0206407631065506</v>
      </c>
      <c r="D22" s="830" t="n">
        <f aca="false">'Cuenta Ahorro-Inversión-Financi'!AI26/1000/'PIB corriente base 2004'!X14</f>
        <v>0.0147442218942046</v>
      </c>
      <c r="E22" s="830" t="n">
        <f aca="false">'Cuenta Ahorro-Inversión-Financi'!H59</f>
        <v>0.00524439899269864</v>
      </c>
      <c r="F22" s="830" t="n">
        <f aca="false">SUM('Cuenta Ahorro-Inversión-Financi'!AJ26:AM26)/1000/'PIB corriente base 2004'!X14</f>
        <v>4.78419683827532E-005</v>
      </c>
      <c r="G22" s="830"/>
      <c r="H22" s="830" t="n">
        <f aca="false">('Cuenta Ahorro-Inversión-Financi'!AH26-SUM('Cuenta Ahorro-Inversión-Financi'!AI26:AM26))/1000/'PIB corriente base 2004'!X14</f>
        <v>1.42111157784053E-005</v>
      </c>
      <c r="I22" s="830"/>
      <c r="J22" s="830" t="n">
        <f aca="false">SUM(B22:F22)</f>
        <v>0.0911645375397965</v>
      </c>
      <c r="L22" s="831" t="n">
        <v>2010</v>
      </c>
      <c r="M22" s="830" t="n">
        <f aca="false">'Cuenta Ahorro-Inversión-Financi'!R59</f>
        <v>0.0531723252388029</v>
      </c>
      <c r="N22" s="830" t="n">
        <f aca="false">U22-O22</f>
        <v>0.013401132173323</v>
      </c>
      <c r="O22" s="830" t="n">
        <f aca="false">'Cuenta Ahorro-Inversión-Financi'!BS26/1000/'PIB corriente base 2004'!X14</f>
        <v>0.00190415963472409</v>
      </c>
      <c r="P22" s="830" t="n">
        <f aca="false">'Cuenta Ahorro-Inversión-Financi'!AY26/1000/'PIB corriente base 2004'!X14+V22</f>
        <v>0.00193273387962204</v>
      </c>
      <c r="Q22" s="830" t="n">
        <f aca="false">'Cuenta Ahorro-Inversión-Financi'!AV59-R22</f>
        <v>0.0101063370292179</v>
      </c>
      <c r="R22" s="830" t="n">
        <f aca="false">'Cuenta Ahorro-Inversión-Financi'!Y59</f>
        <v>0.00129161278918117</v>
      </c>
      <c r="S22" s="830"/>
      <c r="T22" s="830"/>
      <c r="U22" s="830" t="n">
        <f aca="false">'Cuenta Ahorro-Inversión-Financi'!T59</f>
        <v>0.0153052918080471</v>
      </c>
      <c r="V22" s="830" t="n">
        <f aca="false">'Cuenta Ahorro-Inversión-Financi'!BC26/1000/'PIB corriente base 2004'!X14</f>
        <v>4.5054226152591E-006</v>
      </c>
      <c r="W22" s="830" t="n">
        <f aca="false">M22-T22+O22+Q22+R22+N22+P22</f>
        <v>0.0818083007448711</v>
      </c>
      <c r="X22" s="712" t="n">
        <f aca="false">J22-W22</f>
        <v>0.00935623679492539</v>
      </c>
      <c r="Y22" s="712" t="n">
        <f aca="false">X22-E22</f>
        <v>0.00411183780222675</v>
      </c>
      <c r="Z22" s="712"/>
      <c r="AA22" s="456"/>
      <c r="AB22" s="712" t="n">
        <f aca="false">Y22</f>
        <v>0.00411183780222675</v>
      </c>
      <c r="AC22" s="712" t="n">
        <f aca="false">X22</f>
        <v>0.00935623679492539</v>
      </c>
      <c r="AD22" s="712"/>
      <c r="AE22" s="832"/>
      <c r="AG22" s="663"/>
      <c r="AI22" s="833"/>
      <c r="AJ22" s="834"/>
      <c r="AK22" s="835"/>
    </row>
    <row r="23" customFormat="false" ht="15.75" hidden="false" customHeight="false" outlineLevel="0" collapsed="false">
      <c r="A23" s="824" t="n">
        <v>2011</v>
      </c>
      <c r="B23" s="825" t="n">
        <f aca="false">'Cuenta Ahorro-Inversión-Financi'!F60</f>
        <v>0.051623947009386</v>
      </c>
      <c r="C23" s="825" t="n">
        <f aca="false">'Cuenta Ahorro-Inversión-Financi'!G60</f>
        <v>0.0210555255476486</v>
      </c>
      <c r="D23" s="825" t="n">
        <f aca="false">'Cuenta Ahorro-Inversión-Financi'!AI27/1000/'PIB corriente base 2004'!X15</f>
        <v>0.0148856065446608</v>
      </c>
      <c r="E23" s="825" t="n">
        <f aca="false">'Cuenta Ahorro-Inversión-Financi'!H60</f>
        <v>0.00506588207799855</v>
      </c>
      <c r="F23" s="825" t="n">
        <f aca="false">('Cuenta Ahorro-Inversión-Financi'!AH27-'Cuenta Ahorro-Inversión-Financi'!AI27)/1000/'PIB corriente base 2004'!X15</f>
        <v>0.00127650660654248</v>
      </c>
      <c r="G23" s="825"/>
      <c r="H23" s="825" t="n">
        <f aca="false">('Cuenta Ahorro-Inversión-Financi'!AH27-SUM('Cuenta Ahorro-Inversión-Financi'!AI27:AM27))/1000/'PIB corriente base 2004'!X15</f>
        <v>-0.000375333771910671</v>
      </c>
      <c r="I23" s="825"/>
      <c r="J23" s="825" t="n">
        <f aca="false">SUM(B23:F23)</f>
        <v>0.0939074677862365</v>
      </c>
      <c r="L23" s="831" t="n">
        <v>2011</v>
      </c>
      <c r="M23" s="827" t="n">
        <f aca="false">'Cuenta Ahorro-Inversión-Financi'!R60</f>
        <v>0.0559923504050296</v>
      </c>
      <c r="N23" s="827" t="n">
        <f aca="false">U23-O23</f>
        <v>0.0109799924049</v>
      </c>
      <c r="O23" s="827" t="n">
        <f aca="false">'Cuenta Ahorro-Inversión-Financi'!BS27/1000/'PIB corriente base 2004'!X15</f>
        <v>0.00200692451763306</v>
      </c>
      <c r="P23" s="827" t="n">
        <f aca="false">'Cuenta Ahorro-Inversión-Financi'!AY27/1000/'PIB corriente base 2004'!X15+V23</f>
        <v>0.00219213433804649</v>
      </c>
      <c r="Q23" s="827" t="n">
        <f aca="false">'Cuenta Ahorro-Inversión-Financi'!AV60-R23</f>
        <v>0.0120992651321526</v>
      </c>
      <c r="R23" s="827" t="n">
        <f aca="false">'Cuenta Ahorro-Inversión-Financi'!Y60</f>
        <v>0.00103133324512357</v>
      </c>
      <c r="S23" s="827"/>
      <c r="T23" s="827"/>
      <c r="U23" s="827" t="n">
        <f aca="false">'Cuenta Ahorro-Inversión-Financi'!T60</f>
        <v>0.0129869169225331</v>
      </c>
      <c r="V23" s="827" t="n">
        <f aca="false">'Cuenta Ahorro-Inversión-Financi'!BC27/1000/'PIB corriente base 2004'!X15</f>
        <v>3.41028583741594E-006</v>
      </c>
      <c r="W23" s="827" t="n">
        <f aca="false">M23-T23+O23+Q23+R23+N23+P23</f>
        <v>0.0843020000428854</v>
      </c>
      <c r="X23" s="709" t="n">
        <f aca="false">J23-W23</f>
        <v>0.00960546774335111</v>
      </c>
      <c r="Y23" s="709" t="n">
        <f aca="false">X23-E23</f>
        <v>0.00453958566535256</v>
      </c>
      <c r="Z23" s="709"/>
      <c r="AA23" s="456"/>
      <c r="AB23" s="709" t="n">
        <f aca="false">Y23</f>
        <v>0.00453958566535256</v>
      </c>
      <c r="AC23" s="709" t="n">
        <f aca="false">X23</f>
        <v>0.00960546774335111</v>
      </c>
      <c r="AD23" s="709"/>
      <c r="AE23" s="832"/>
      <c r="AG23" s="663"/>
      <c r="AI23" s="833"/>
      <c r="AJ23" s="834"/>
      <c r="AK23" s="835"/>
    </row>
    <row r="24" customFormat="false" ht="15.75" hidden="false" customHeight="false" outlineLevel="0" collapsed="false">
      <c r="A24" s="824" t="n">
        <v>2012</v>
      </c>
      <c r="B24" s="830" t="n">
        <f aca="false">'Cuenta Ahorro-Inversión-Financi'!F61</f>
        <v>0.055778278265298</v>
      </c>
      <c r="C24" s="830" t="n">
        <f aca="false">'Cuenta Ahorro-Inversión-Financi'!G61</f>
        <v>0.0224400989125377</v>
      </c>
      <c r="D24" s="830" t="n">
        <f aca="false">'Cuenta Ahorro-Inversión-Financi'!AI28/1000/'PIB corriente base 2004'!X16</f>
        <v>0.0155583049965991</v>
      </c>
      <c r="E24" s="830" t="n">
        <f aca="false">'Cuenta Ahorro-Inversión-Financi'!H61</f>
        <v>0.00657689666047515</v>
      </c>
      <c r="F24" s="830" t="n">
        <f aca="false">('Cuenta Ahorro-Inversión-Financi'!AH28-'Cuenta Ahorro-Inversión-Financi'!AI28)/1000/'PIB corriente base 2004'!X16</f>
        <v>0.000474495124682221</v>
      </c>
      <c r="G24" s="830"/>
      <c r="H24" s="830" t="n">
        <f aca="false">('Cuenta Ahorro-Inversión-Financi'!AH28-SUM('Cuenta Ahorro-Inversión-Financi'!AI28:AM28))/1000/'PIB corriente base 2004'!X16</f>
        <v>-2.28314495338047E-006</v>
      </c>
      <c r="I24" s="830"/>
      <c r="J24" s="830" t="n">
        <f aca="false">SUM(B24:F24)</f>
        <v>0.100828073959592</v>
      </c>
      <c r="L24" s="831" t="n">
        <v>2012</v>
      </c>
      <c r="M24" s="830" t="n">
        <f aca="false">'Cuenta Ahorro-Inversión-Financi'!R61</f>
        <v>0.0639576874295608</v>
      </c>
      <c r="N24" s="830" t="n">
        <f aca="false">U24-O24</f>
        <v>0.00995515308893217</v>
      </c>
      <c r="O24" s="830" t="n">
        <f aca="false">'Cuenta Ahorro-Inversión-Financi'!BS28/1000/'PIB corriente base 2004'!X16</f>
        <v>0.0022917701706974</v>
      </c>
      <c r="P24" s="830" t="n">
        <f aca="false">'Cuenta Ahorro-Inversión-Financi'!AY28/1000/'PIB corriente base 2004'!X16+V24</f>
        <v>0.00236681220168485</v>
      </c>
      <c r="Q24" s="830" t="n">
        <f aca="false">'Cuenta Ahorro-Inversión-Financi'!AV61-R24</f>
        <v>0.0129182716332613</v>
      </c>
      <c r="R24" s="830" t="n">
        <f aca="false">'Cuenta Ahorro-Inversión-Financi'!Y61</f>
        <v>0.00123537014000835</v>
      </c>
      <c r="S24" s="830"/>
      <c r="T24" s="830"/>
      <c r="U24" s="830" t="n">
        <f aca="false">'Cuenta Ahorro-Inversión-Financi'!T61</f>
        <v>0.0122469232596296</v>
      </c>
      <c r="V24" s="830" t="n">
        <f aca="false">'Cuenta Ahorro-Inversión-Financi'!BC28/1000/'PIB corriente base 2004'!X16</f>
        <v>1.94831880255554E-006</v>
      </c>
      <c r="W24" s="830" t="n">
        <f aca="false">M24-T24+O24+Q24+R24+N24+P24</f>
        <v>0.0927250646641448</v>
      </c>
      <c r="X24" s="712" t="n">
        <f aca="false">J24-W24</f>
        <v>0.0081030092954474</v>
      </c>
      <c r="Y24" s="712" t="n">
        <f aca="false">X24-E24</f>
        <v>0.00152611263497225</v>
      </c>
      <c r="Z24" s="712"/>
      <c r="AA24" s="456"/>
      <c r="AB24" s="712" t="n">
        <f aca="false">Y24</f>
        <v>0.00152611263497225</v>
      </c>
      <c r="AC24" s="712" t="n">
        <f aca="false">X24</f>
        <v>0.0081030092954474</v>
      </c>
      <c r="AD24" s="712"/>
      <c r="AE24" s="832"/>
      <c r="AG24" s="663"/>
      <c r="AI24" s="833"/>
      <c r="AJ24" s="834"/>
      <c r="AK24" s="835"/>
    </row>
    <row r="25" customFormat="false" ht="15.75" hidden="false" customHeight="false" outlineLevel="0" collapsed="false">
      <c r="A25" s="824" t="n">
        <f aca="false">A24+1</f>
        <v>2013</v>
      </c>
      <c r="B25" s="825" t="n">
        <f aca="false">'Cuenta Ahorro-Inversión-Financi'!F62</f>
        <v>0.0576719027752101</v>
      </c>
      <c r="C25" s="825" t="n">
        <f aca="false">'Cuenta Ahorro-Inversión-Financi'!G62</f>
        <v>0.0223318530313047</v>
      </c>
      <c r="D25" s="825" t="n">
        <f aca="false">'Cuenta Ahorro-Inversión-Financi'!AI29/1000/'PIB corriente base 2004'!X17</f>
        <v>0.0159148002617685</v>
      </c>
      <c r="E25" s="825" t="n">
        <f aca="false">'Cuenta Ahorro-Inversión-Financi'!H62</f>
        <v>0.00683124675183988</v>
      </c>
      <c r="F25" s="825" t="n">
        <f aca="false">SUM('Cuenta Ahorro-Inversión-Financi'!AJ29:AM29)/1000/'PIB corriente base 2004'!X17</f>
        <v>0.00122193042080368</v>
      </c>
      <c r="G25" s="825"/>
      <c r="H25" s="825" t="n">
        <f aca="false">('Cuenta Ahorro-Inversión-Financi'!AH29-SUM('Cuenta Ahorro-Inversión-Financi'!AI29:AM29))/1000/'PIB corriente base 2004'!X17</f>
        <v>5.01139097487515E-005</v>
      </c>
      <c r="I25" s="825"/>
      <c r="J25" s="825" t="n">
        <f aca="false">SUM(B25:F25)</f>
        <v>0.103971733240927</v>
      </c>
      <c r="L25" s="831" t="n">
        <v>2013</v>
      </c>
      <c r="M25" s="827" t="n">
        <f aca="false">'Cuenta Ahorro-Inversión-Financi'!R62</f>
        <v>0.0665922944987349</v>
      </c>
      <c r="N25" s="827" t="n">
        <f aca="false">U25-O25</f>
        <v>0.0107146720941459</v>
      </c>
      <c r="O25" s="827" t="n">
        <f aca="false">'Cuenta Ahorro-Inversión-Financi'!BS29/1000/'PIB corriente base 2004'!X17</f>
        <v>0.00238561996391175</v>
      </c>
      <c r="P25" s="827" t="n">
        <f aca="false">'Cuenta Ahorro-Inversión-Financi'!AY29/1000/'PIB corriente base 2004'!X17+V25</f>
        <v>0.00210806956969702</v>
      </c>
      <c r="Q25" s="827" t="n">
        <f aca="false">'Cuenta Ahorro-Inversión-Financi'!AV62-R25</f>
        <v>0.0146218200307587</v>
      </c>
      <c r="R25" s="827" t="n">
        <f aca="false">'Cuenta Ahorro-Inversión-Financi'!Y62</f>
        <v>0.00166967888999977</v>
      </c>
      <c r="S25" s="827"/>
      <c r="T25" s="827"/>
      <c r="U25" s="827" t="n">
        <f aca="false">'Cuenta Ahorro-Inversión-Financi'!T62</f>
        <v>0.0131002920580577</v>
      </c>
      <c r="V25" s="827" t="n">
        <f aca="false">'Cuenta Ahorro-Inversión-Financi'!BC29/1000/'PIB corriente base 2004'!X17</f>
        <v>4.67935434715442E-006</v>
      </c>
      <c r="W25" s="827" t="n">
        <f aca="false">M25-T25+O25+Q25+R25+N25+P25</f>
        <v>0.0980921550472481</v>
      </c>
      <c r="X25" s="709" t="n">
        <f aca="false">J25-W25</f>
        <v>0.00587957819367872</v>
      </c>
      <c r="Y25" s="709" t="n">
        <f aca="false">X25-E25</f>
        <v>-0.000951668558161159</v>
      </c>
      <c r="Z25" s="709"/>
      <c r="AA25" s="456"/>
      <c r="AB25" s="709" t="n">
        <f aca="false">Y25</f>
        <v>-0.000951668558161159</v>
      </c>
      <c r="AC25" s="709" t="n">
        <f aca="false">X25</f>
        <v>0.00587957819367872</v>
      </c>
      <c r="AD25" s="709"/>
      <c r="AE25" s="832"/>
      <c r="AI25" s="833"/>
      <c r="AJ25" s="834"/>
      <c r="AK25" s="835"/>
    </row>
    <row r="26" customFormat="false" ht="15.75" hidden="false" customHeight="false" outlineLevel="0" collapsed="false">
      <c r="A26" s="824" t="n">
        <f aca="false">A25+1</f>
        <v>2014</v>
      </c>
      <c r="B26" s="830" t="n">
        <f aca="false">'Cuenta Ahorro-Inversión-Financi'!F63</f>
        <v>0.0542098068652894</v>
      </c>
      <c r="C26" s="830" t="n">
        <f aca="false">'Cuenta Ahorro-Inversión-Financi'!G63</f>
        <v>0.0225793750807335</v>
      </c>
      <c r="D26" s="830" t="n">
        <f aca="false">'Cuenta Ahorro-Inversión-Financi'!AI30/1000/'PIB corriente base 2004'!X18</f>
        <v>0.015871302582137</v>
      </c>
      <c r="E26" s="830" t="n">
        <f aca="false">'Cuenta Ahorro-Inversión-Financi'!H63</f>
        <v>0.00838241527111434</v>
      </c>
      <c r="F26" s="830" t="n">
        <f aca="false">SUM('Cuenta Ahorro-Inversión-Financi'!AJ30:AM30)/1000/'PIB corriente base 2004'!X18</f>
        <v>0.0016327062141725</v>
      </c>
      <c r="G26" s="830"/>
      <c r="H26" s="830" t="n">
        <f aca="false">('Cuenta Ahorro-Inversión-Financi'!AH30-SUM('Cuenta Ahorro-Inversión-Financi'!AI30:AM30))/1000/'PIB corriente base 2004'!X18</f>
        <v>0.00458152310243</v>
      </c>
      <c r="I26" s="830"/>
      <c r="J26" s="830" t="n">
        <f aca="false">SUM(B26:F26)</f>
        <v>0.102675606013447</v>
      </c>
      <c r="L26" s="831" t="n">
        <v>2014</v>
      </c>
      <c r="M26" s="830" t="n">
        <f aca="false">'Cuenta Ahorro-Inversión-Financi'!R63</f>
        <v>0.0645559228265026</v>
      </c>
      <c r="N26" s="830" t="n">
        <f aca="false">U26-O26</f>
        <v>0.0106751453935426</v>
      </c>
      <c r="O26" s="830" t="n">
        <f aca="false">'Cuenta Ahorro-Inversión-Financi'!BS30/1000/'PIB corriente base 2004'!X18</f>
        <v>0.0023272132721661</v>
      </c>
      <c r="P26" s="830" t="n">
        <f aca="false">'Cuenta Ahorro-Inversión-Financi'!AY30/1000/'PIB corriente base 2004'!X18+V26</f>
        <v>0.00208133381503417</v>
      </c>
      <c r="Q26" s="830" t="n">
        <f aca="false">'Cuenta Ahorro-Inversión-Financi'!AV63-R26</f>
        <v>0.0141412319440096</v>
      </c>
      <c r="R26" s="830" t="n">
        <f aca="false">'Cuenta Ahorro-Inversión-Financi'!Y63</f>
        <v>0.00180520724704594</v>
      </c>
      <c r="S26" s="830"/>
      <c r="T26" s="830"/>
      <c r="U26" s="830" t="n">
        <f aca="false">'Cuenta Ahorro-Inversión-Financi'!T63</f>
        <v>0.0130023586657087</v>
      </c>
      <c r="V26" s="830" t="n">
        <f aca="false">'Cuenta Ahorro-Inversión-Financi'!BC30/1000/'PIB corriente base 2004'!X18</f>
        <v>3.01355346416379E-006</v>
      </c>
      <c r="W26" s="830" t="n">
        <f aca="false">M26-T26+O26+Q26+R26+N26+P26</f>
        <v>0.095586054498301</v>
      </c>
      <c r="X26" s="712" t="n">
        <f aca="false">J26-W26</f>
        <v>0.00708955151514587</v>
      </c>
      <c r="Y26" s="712" t="n">
        <f aca="false">X26-E26</f>
        <v>-0.00129286375596847</v>
      </c>
      <c r="Z26" s="712"/>
      <c r="AA26" s="456"/>
      <c r="AB26" s="712" t="n">
        <f aca="false">Y26</f>
        <v>-0.00129286375596847</v>
      </c>
      <c r="AC26" s="712" t="n">
        <f aca="false">X26</f>
        <v>0.00708955151514587</v>
      </c>
      <c r="AD26" s="712"/>
      <c r="AE26" s="832"/>
      <c r="AI26" s="833"/>
      <c r="AJ26" s="834"/>
      <c r="AK26" s="835"/>
    </row>
    <row r="27" customFormat="false" ht="15.75" hidden="false" customHeight="false" outlineLevel="0" collapsed="false">
      <c r="A27" s="824" t="n">
        <f aca="false">A26+1</f>
        <v>2015</v>
      </c>
      <c r="B27" s="825" t="n">
        <f aca="false">'Cuenta Ahorro-Inversión-Financi'!F64</f>
        <v>0.0564297158299164</v>
      </c>
      <c r="C27" s="825" t="n">
        <f aca="false">'Cuenta Ahorro-Inversión-Financi'!G64</f>
        <v>0.0236426052651485</v>
      </c>
      <c r="D27" s="825" t="n">
        <f aca="false">'Cuenta Ahorro-Inversión-Financi'!AI31/1000/'PIB corriente base 2004'!X19</f>
        <v>0.0160551081025211</v>
      </c>
      <c r="E27" s="825" t="n">
        <f aca="false">'Cuenta Ahorro-Inversión-Financi'!H64</f>
        <v>0.00893120932488722</v>
      </c>
      <c r="F27" s="825" t="n">
        <f aca="false">SUM('Cuenta Ahorro-Inversión-Financi'!AJ31:AM31)/1000/'PIB corriente base 2004'!X19</f>
        <v>0.00174808358257101</v>
      </c>
      <c r="G27" s="825"/>
      <c r="H27" s="825" t="n">
        <f aca="false">('Cuenta Ahorro-Inversión-Financi'!AH31-SUM('Cuenta Ahorro-Inversión-Financi'!AI31:AM31))/1000/'PIB corriente base 2004'!X19</f>
        <v>0.00847418708688297</v>
      </c>
      <c r="I27" s="825"/>
      <c r="J27" s="825" t="n">
        <f aca="false">SUM(B27:F27)</f>
        <v>0.106806722105044</v>
      </c>
      <c r="L27" s="831" t="n">
        <f aca="false">L26+1</f>
        <v>2015</v>
      </c>
      <c r="M27" s="827" t="n">
        <f aca="false">'Cuenta Ahorro-Inversión-Financi'!R64</f>
        <v>0.0727904762035428</v>
      </c>
      <c r="N27" s="827" t="n">
        <f aca="false">U27-O27</f>
        <v>0.0116328503756657</v>
      </c>
      <c r="O27" s="827" t="n">
        <f aca="false">'Cuenta Ahorro-Inversión-Financi'!BS31/1000/'PIB corriente base 2004'!X19</f>
        <v>0.00260688705263258</v>
      </c>
      <c r="P27" s="827" t="n">
        <f aca="false">'Cuenta Ahorro-Inversión-Financi'!AY31/1000/'PIB corriente base 2004'!X19+V27</f>
        <v>0.00209925380408706</v>
      </c>
      <c r="Q27" s="827" t="n">
        <f aca="false">'Cuenta Ahorro-Inversión-Financi'!AV64-R27</f>
        <v>0.014539131815676</v>
      </c>
      <c r="R27" s="827" t="n">
        <f aca="false">'Cuenta Ahorro-Inversión-Financi'!Y64</f>
        <v>0.00171424659032606</v>
      </c>
      <c r="S27" s="827"/>
      <c r="T27" s="827"/>
      <c r="U27" s="827" t="n">
        <f aca="false">'Cuenta Ahorro-Inversión-Financi'!T64</f>
        <v>0.0142397374282983</v>
      </c>
      <c r="V27" s="827" t="n">
        <f aca="false">'Cuenta Ahorro-Inversión-Financi'!BC31/1000/'PIB corriente base 2004'!X19</f>
        <v>2.44288872332455E-006</v>
      </c>
      <c r="W27" s="827" t="n">
        <f aca="false">M27-T27+O27+Q27+R27+N27+P27</f>
        <v>0.10538284584193</v>
      </c>
      <c r="X27" s="709" t="n">
        <f aca="false">J27-W27</f>
        <v>0.00142387626311399</v>
      </c>
      <c r="Y27" s="709" t="n">
        <f aca="false">X27-E27</f>
        <v>-0.00750733306177323</v>
      </c>
      <c r="Z27" s="709"/>
      <c r="AA27" s="456"/>
      <c r="AB27" s="709" t="n">
        <f aca="false">Y27</f>
        <v>-0.00750733306177323</v>
      </c>
      <c r="AC27" s="709" t="n">
        <f aca="false">X27</f>
        <v>0.00142387626311399</v>
      </c>
      <c r="AD27" s="709"/>
      <c r="AE27" s="832"/>
      <c r="AH27" s="28"/>
      <c r="AI27" s="833"/>
      <c r="AJ27" s="834"/>
      <c r="AK27" s="835"/>
    </row>
    <row r="28" customFormat="false" ht="15.75" hidden="false" customHeight="false" outlineLevel="0" collapsed="false">
      <c r="A28" s="824" t="n">
        <f aca="false">A27+1</f>
        <v>2016</v>
      </c>
      <c r="B28" s="830" t="n">
        <f aca="false">'Cuenta Ahorro-Inversión-Financi'!F65</f>
        <v>0.0546875274954749</v>
      </c>
      <c r="C28" s="830" t="n">
        <f aca="false">'Cuenta Ahorro-Inversión-Financi'!G65-'Cuenta Ahorro-Inversión-Financi'!I32/1000/'PIB corriente base 2004'!X20</f>
        <v>0.021229363568432</v>
      </c>
      <c r="D28" s="830" t="n">
        <f aca="false">('Cuenta Ahorro-Inversión-Financi'!AI32-'Cuenta Ahorro-Inversión-Financi'!CS32)/1000/'PIB corriente base 2004'!X20</f>
        <v>0.0115333980628038</v>
      </c>
      <c r="E28" s="830" t="n">
        <f aca="false">'Cuenta Ahorro-Inversión-Financi'!H65</f>
        <v>0.00880758496959625</v>
      </c>
      <c r="F28" s="830" t="n">
        <f aca="false">SUM('Cuenta Ahorro-Inversión-Financi'!AK32:AM32)/1000/'PIB corriente base 2004'!X20</f>
        <v>0.00171059175545749</v>
      </c>
      <c r="G28" s="830" t="n">
        <f aca="false">('Cuenta Ahorro-Inversión-Financi'!CS32+'Cuenta Ahorro-Inversión-Financi'!AJ32)/1000/'PIB corriente base 2004'!X20</f>
        <v>0.00380628674306788</v>
      </c>
      <c r="H28" s="830" t="n">
        <f aca="false">('Cuenta Ahorro-Inversión-Financi'!AH32-SUM('Cuenta Ahorro-Inversión-Financi'!AI32:AM32))/1000/'PIB corriente base 2004'!X20</f>
        <v>0.0185367690806319</v>
      </c>
      <c r="I28" s="830" t="n">
        <f aca="false">'Cuenta Ahorro-Inversión-Financi'!I32/1000/'PIB corriente base 2004'!X20</f>
        <v>0.0125824966432202</v>
      </c>
      <c r="J28" s="830" t="n">
        <f aca="false">SUM(B28:F28)+G28</f>
        <v>0.101774752594832</v>
      </c>
      <c r="L28" s="831" t="n">
        <f aca="false">L27+1</f>
        <v>2016</v>
      </c>
      <c r="M28" s="830" t="n">
        <f aca="false">'Cuenta Ahorro-Inversión-Financi'!S65</f>
        <v>0.0730410743804782</v>
      </c>
      <c r="N28" s="830" t="n">
        <f aca="false">U28-O28</f>
        <v>0.0163460286188939</v>
      </c>
      <c r="O28" s="830" t="n">
        <f aca="false">'Cuenta Ahorro-Inversión-Financi'!BS32/1000/'PIB corriente base 2004'!X20</f>
        <v>0.00263630884740172</v>
      </c>
      <c r="P28" s="830" t="n">
        <f aca="false">'Cuenta Ahorro-Inversión-Financi'!AY32/1000/'PIB corriente base 2004'!X20+V28</f>
        <v>0.00177072549143578</v>
      </c>
      <c r="Q28" s="830" t="n">
        <f aca="false">'Cuenta Ahorro-Inversión-Financi'!AV65-R28</f>
        <v>0.0137424706216159</v>
      </c>
      <c r="R28" s="830" t="n">
        <f aca="false">'Cuenta Ahorro-Inversión-Financi'!Y65</f>
        <v>0.00197107261819154</v>
      </c>
      <c r="S28" s="830"/>
      <c r="T28" s="830" t="n">
        <f aca="false">6344600/1000/'PIB corriente base 2004'!X20</f>
        <v>0.000771083734631746</v>
      </c>
      <c r="U28" s="830" t="n">
        <f aca="false">'Cuenta Ahorro-Inversión-Financi'!T65</f>
        <v>0.0189823374662956</v>
      </c>
      <c r="V28" s="830" t="n">
        <f aca="false">'Cuenta Ahorro-Inversión-Financi'!BC32/1000/'PIB corriente base 2004'!X20</f>
        <v>1.86341658601162E-006</v>
      </c>
      <c r="W28" s="830" t="n">
        <f aca="false">M28+O28+Q28+R28+N28+P28</f>
        <v>0.109507680578017</v>
      </c>
      <c r="X28" s="712" t="n">
        <f aca="false">J28-W28</f>
        <v>-0.00773292798318478</v>
      </c>
      <c r="Y28" s="712" t="n">
        <f aca="false">X28-E28</f>
        <v>-0.016540512952781</v>
      </c>
      <c r="Z28" s="712" t="n">
        <f aca="false">Y28-G28</f>
        <v>-0.0203467996958489</v>
      </c>
      <c r="AA28" s="456"/>
      <c r="AB28" s="712" t="n">
        <f aca="false">Z28</f>
        <v>-0.0203467996958489</v>
      </c>
      <c r="AC28" s="712" t="n">
        <f aca="false">AD28+Z28-Y28</f>
        <v>-0.0115392147262527</v>
      </c>
      <c r="AD28" s="712" t="n">
        <f aca="false">X28</f>
        <v>-0.00773292798318478</v>
      </c>
      <c r="AE28" s="832"/>
      <c r="AH28" s="28"/>
      <c r="AI28" s="833"/>
      <c r="AJ28" s="834"/>
      <c r="AK28" s="835"/>
    </row>
    <row r="29" customFormat="false" ht="15.75" hidden="false" customHeight="false" outlineLevel="0" collapsed="false">
      <c r="A29" s="824" t="n">
        <f aca="false">A28+1</f>
        <v>2017</v>
      </c>
      <c r="B29" s="825" t="n">
        <f aca="false">'Cuenta Ahorro-Inversión-Financi'!F66</f>
        <v>0.055590096056665</v>
      </c>
      <c r="C29" s="825" t="n">
        <f aca="false">'Cuenta Ahorro-Inversión-Financi'!G66-'Cuenta Ahorro-Inversión-Financi'!I33/1000/'PIB corriente base 2004'!X21</f>
        <v>0.0213651993139403</v>
      </c>
      <c r="D29" s="825" t="n">
        <f aca="false">('Cuenta Ahorro-Inversión-Financi'!AI33-'Cuenta Ahorro-Inversión-Financi'!CS33)/1000/'PIB corriente base 2004'!X21</f>
        <v>0.00831240027666563</v>
      </c>
      <c r="E29" s="825" t="n">
        <f aca="false">'Cuenta Ahorro-Inversión-Financi'!H66</f>
        <v>0.0103596875406384</v>
      </c>
      <c r="F29" s="825" t="n">
        <f aca="false">SUM('Cuenta Ahorro-Inversión-Financi'!AK33:AM33)/1000/'PIB corriente base 2004'!X21</f>
        <v>0.00110535464672093</v>
      </c>
      <c r="G29" s="825" t="n">
        <f aca="false">('Cuenta Ahorro-Inversión-Financi'!CS33+'Cuenta Ahorro-Inversión-Financi'!AJ33)/1000/'PIB corriente base 2004'!X21</f>
        <v>0.0076045316092612</v>
      </c>
      <c r="H29" s="825" t="n">
        <f aca="false">('Cuenta Ahorro-Inversión-Financi'!AH33-SUM('Cuenta Ahorro-Inversión-Financi'!AI33:AM33))/1000/'PIB corriente base 2004'!X21</f>
        <v>0.0184092378046352</v>
      </c>
      <c r="I29" s="825" t="n">
        <f aca="false">'Cuenta Ahorro-Inversión-Financi'!I33/1000/'PIB corriente base 2004'!X21</f>
        <v>0.00420963634008006</v>
      </c>
      <c r="J29" s="825" t="n">
        <f aca="false">SUM(B29:F29)+G29</f>
        <v>0.104337269443891</v>
      </c>
      <c r="L29" s="831" t="n">
        <f aca="false">L28+1</f>
        <v>2017</v>
      </c>
      <c r="M29" s="827" t="n">
        <f aca="false">'Cuenta Ahorro-Inversión-Financi'!S66</f>
        <v>0.0763864240518465</v>
      </c>
      <c r="N29" s="827" t="n">
        <f aca="false">U29-O29</f>
        <v>0.0149136250605212</v>
      </c>
      <c r="O29" s="827" t="n">
        <f aca="false">'Cuenta Ahorro-Inversión-Financi'!BS33/1000/'PIB corriente base 2004'!X21</f>
        <v>0.00297079733174157</v>
      </c>
      <c r="P29" s="827" t="n">
        <f aca="false">'Cuenta Ahorro-Inversión-Financi'!AY33/1000/'PIB corriente base 2004'!X21+V29</f>
        <v>0.00172705093781381</v>
      </c>
      <c r="Q29" s="827" t="n">
        <f aca="false">'Cuenta Ahorro-Inversión-Financi'!AV66-R29</f>
        <v>0.0127866721432285</v>
      </c>
      <c r="R29" s="827" t="n">
        <f aca="false">'Cuenta Ahorro-Inversión-Financi'!Y66</f>
        <v>0.00169318277702991</v>
      </c>
      <c r="S29" s="827" t="n">
        <f aca="false">'Cuenta Ahorro-Inversión-Financi'!CN33/'PIB corriente base 2004'!X21/1000</f>
        <v>0.000189033375650164</v>
      </c>
      <c r="T29" s="827" t="n">
        <f aca="false">41598953.80094/1000/'PIB corriente base 2004'!X21-S29</f>
        <v>0.00371888754837215</v>
      </c>
      <c r="U29" s="827" t="n">
        <f aca="false">'Cuenta Ahorro-Inversión-Financi'!T66</f>
        <v>0.0178844223922627</v>
      </c>
      <c r="V29" s="827" t="n">
        <f aca="false">'Cuenta Ahorro-Inversión-Financi'!BC33/1000/'PIB corriente base 2004'!X21</f>
        <v>5.75140920867836E-006</v>
      </c>
      <c r="W29" s="827" t="n">
        <f aca="false">M29+O29+Q29+R29+N29+P29</f>
        <v>0.110477752302181</v>
      </c>
      <c r="X29" s="709" t="n">
        <f aca="false">J29-W29</f>
        <v>-0.00614048285829008</v>
      </c>
      <c r="Y29" s="709" t="n">
        <f aca="false">X29-E29</f>
        <v>-0.0165001703989284</v>
      </c>
      <c r="Z29" s="709" t="n">
        <f aca="false">Y29-G29</f>
        <v>-0.0241047020081896</v>
      </c>
      <c r="AA29" s="456"/>
      <c r="AB29" s="709" t="n">
        <f aca="false">Z29</f>
        <v>-0.0241047020081896</v>
      </c>
      <c r="AC29" s="709" t="n">
        <f aca="false">AD29+Z29-Y29</f>
        <v>-0.0137450144675513</v>
      </c>
      <c r="AD29" s="709" t="n">
        <f aca="false">X29</f>
        <v>-0.00614048285829008</v>
      </c>
      <c r="AE29" s="832"/>
      <c r="AH29" s="28"/>
      <c r="AI29" s="833"/>
      <c r="AJ29" s="834"/>
      <c r="AK29" s="835"/>
    </row>
    <row r="30" customFormat="false" ht="15.75" hidden="false" customHeight="false" outlineLevel="0" collapsed="false">
      <c r="A30" s="824" t="n">
        <f aca="false">A29+1</f>
        <v>2018</v>
      </c>
      <c r="B30" s="830" t="n">
        <f aca="false">'Cuenta Ahorro-Inversión-Financi'!F67</f>
        <v>0.0507048464919942</v>
      </c>
      <c r="C30" s="830" t="n">
        <f aca="false">'Cuenta Ahorro-Inversión-Financi'!G67</f>
        <v>0.0267202526606726</v>
      </c>
      <c r="D30" s="830" t="n">
        <f aca="false">('Cuenta Ahorro-Inversión-Financi'!AI34-'Cuenta Ahorro-Inversión-Financi'!CS34)/1000/'PIB corriente base 2004'!X22</f>
        <v>0.00633564870628469</v>
      </c>
      <c r="E30" s="830" t="n">
        <f aca="false">'Cuenta Ahorro-Inversión-Financi'!H67</f>
        <v>0.0125788869347148</v>
      </c>
      <c r="F30" s="830" t="n">
        <f aca="false">SUM('Cuenta Ahorro-Inversión-Financi'!AK34:AM34)/1000/'PIB corriente base 2004'!X22</f>
        <v>0.00032264996405818</v>
      </c>
      <c r="G30" s="830" t="n">
        <f aca="false">('Cuenta Ahorro-Inversión-Financi'!CS34+'Cuenta Ahorro-Inversión-Financi'!AJ34)/1000/'PIB corriente base 2004'!X22</f>
        <v>0.0121336604883658</v>
      </c>
      <c r="H30" s="830" t="n">
        <f aca="false">('Cuenta Ahorro-Inversión-Financi'!AH34-SUM('Cuenta Ahorro-Inversión-Financi'!AI34:AM34))/1000/'PIB corriente base 2004'!X22</f>
        <v>0.00750050766027807</v>
      </c>
      <c r="I30" s="830"/>
      <c r="J30" s="830" t="n">
        <f aca="false">SUM(B30:F30)+G30</f>
        <v>0.10879594524609</v>
      </c>
      <c r="L30" s="831" t="n">
        <f aca="false">L29+1</f>
        <v>2018</v>
      </c>
      <c r="M30" s="830" t="n">
        <f aca="false">'Cuenta Ahorro-Inversión-Financi'!S67</f>
        <v>0.0719771065625742</v>
      </c>
      <c r="N30" s="830" t="n">
        <f aca="false">U30-O30</f>
        <v>0.0148720651077345</v>
      </c>
      <c r="O30" s="830" t="n">
        <f aca="false">'Cuenta Ahorro-Inversión-Financi'!BS34/1000/'PIB corriente base 2004'!X22</f>
        <v>0.00281753105217518</v>
      </c>
      <c r="P30" s="830" t="n">
        <f aca="false">'Cuenta Ahorro-Inversión-Financi'!AY34/1000/'PIB corriente base 2004'!X22+V30</f>
        <v>0.00148225469051734</v>
      </c>
      <c r="Q30" s="830" t="n">
        <f aca="false">'Cuenta Ahorro-Inversión-Financi'!AV67-R30</f>
        <v>0.00965041777837607</v>
      </c>
      <c r="R30" s="830" t="n">
        <f aca="false">'Cuenta Ahorro-Inversión-Financi'!Y67</f>
        <v>0.00155582043184477</v>
      </c>
      <c r="S30" s="830" t="n">
        <f aca="false">'Cuenta Ahorro-Inversión-Financi'!CN34/'PIB corriente base 2004'!X22/1000</f>
        <v>0.000375397103292598</v>
      </c>
      <c r="T30" s="830" t="n">
        <f aca="false">79630981548.32/1000000/'PIB corriente base 2004'!X22-S30</f>
        <v>0.00509130111541257</v>
      </c>
      <c r="U30" s="830" t="n">
        <f aca="false">'Cuenta Ahorro-Inversión-Financi'!T67</f>
        <v>0.0176895961599097</v>
      </c>
      <c r="V30" s="830" t="n">
        <f aca="false">'Cuenta Ahorro-Inversión-Financi'!BC34/1000/'PIB corriente base 2004'!X22</f>
        <v>4.52320338714705E-006</v>
      </c>
      <c r="W30" s="830" t="n">
        <f aca="false">M30+O30+Q30+R30+N30+P30</f>
        <v>0.102355195623222</v>
      </c>
      <c r="X30" s="712" t="n">
        <f aca="false">J30-W30</f>
        <v>0.00644074962286809</v>
      </c>
      <c r="Y30" s="712" t="n">
        <f aca="false">X30-E30</f>
        <v>-0.00613813731184667</v>
      </c>
      <c r="Z30" s="712" t="n">
        <f aca="false">Y30-G30</f>
        <v>-0.0182717978002125</v>
      </c>
      <c r="AA30" s="456"/>
      <c r="AB30" s="712" t="n">
        <f aca="false">Z30</f>
        <v>-0.0182717978002125</v>
      </c>
      <c r="AC30" s="712" t="n">
        <f aca="false">AD30+Z30-Y30</f>
        <v>-0.0056929108654977</v>
      </c>
      <c r="AD30" s="712" t="n">
        <f aca="false">X30</f>
        <v>0.00644074962286809</v>
      </c>
      <c r="AE30" s="832"/>
      <c r="AH30" s="28"/>
      <c r="AI30" s="833"/>
      <c r="AJ30" s="834"/>
      <c r="AK30" s="835"/>
    </row>
    <row r="31" customFormat="false" ht="15" hidden="false" customHeight="false" outlineLevel="0" collapsed="false">
      <c r="A31" s="824" t="n">
        <f aca="false">A30+1</f>
        <v>2019</v>
      </c>
      <c r="B31" s="825" t="n">
        <f aca="false">'Cuenta Ahorro-Inversión-Financi'!F68</f>
        <v>0.045482634112618</v>
      </c>
      <c r="C31" s="825" t="n">
        <f aca="false">'Cuenta Ahorro-Inversión-Financi'!G68</f>
        <v>0.025992153910621</v>
      </c>
      <c r="D31" s="825" t="n">
        <f aca="false">('Cuenta Ahorro-Inversión-Financi'!AI35-'Cuenta Ahorro-Inversión-Financi'!CS35)/1000/'PIB corriente base 2004'!X23</f>
        <v>0.00305405926972561</v>
      </c>
      <c r="E31" s="825" t="n">
        <f aca="false">'Cuenta Ahorro-Inversión-Financi'!H68</f>
        <v>0.0141101595741833</v>
      </c>
      <c r="F31" s="825" t="n">
        <f aca="false">SUM('Cuenta Ahorro-Inversión-Financi'!AK35:AM35)/1000/'PIB corriente base 2004'!X23</f>
        <v>0.000222538509524099</v>
      </c>
      <c r="G31" s="825" t="n">
        <f aca="false">('Cuenta Ahorro-Inversión-Financi'!CS35+'Cuenta Ahorro-Inversión-Financi'!AJ35)/1000/'PIB corriente base 2004'!X23</f>
        <v>0.0149805572266182</v>
      </c>
      <c r="H31" s="825" t="n">
        <f aca="false">('Cuenta Ahorro-Inversión-Financi'!AH35-SUM('Cuenta Ahorro-Inversión-Financi'!AI35:AM35))/1000/'PIB corriente base 2004'!X23-'Cuenta Ahorro-Inversión-Financi'!CJ35/1000/'PIB corriente base 2004'!X23</f>
        <v>0.00907082725707152</v>
      </c>
      <c r="I31" s="825"/>
      <c r="J31" s="825" t="n">
        <f aca="false">SUM(B31:F31)+G31</f>
        <v>0.10384210260329</v>
      </c>
      <c r="L31" s="831" t="n">
        <f aca="false">L30+1</f>
        <v>2019</v>
      </c>
      <c r="M31" s="827" t="n">
        <f aca="false">'Cuenta Ahorro-Inversión-Financi'!S68</f>
        <v>0.0705199284475343</v>
      </c>
      <c r="N31" s="827" t="n">
        <f aca="false">U31-O31</f>
        <v>0.0147840604707147</v>
      </c>
      <c r="O31" s="827" t="n">
        <f aca="false">'Cuenta Ahorro-Inversión-Financi'!BS35/1000/'PIB corriente base 2004'!X23</f>
        <v>0.00271152710171896</v>
      </c>
      <c r="P31" s="827" t="n">
        <f aca="false">'Cuenta Ahorro-Inversión-Financi'!AY35/1000/'PIB corriente base 2004'!X23+V31</f>
        <v>0.00125780693193743</v>
      </c>
      <c r="Q31" s="827" t="n">
        <f aca="false">'Cuenta Ahorro-Inversión-Financi'!AV68-R31-'Cuenta Ahorro-Inversión-Financi'!CJ35/1000/'PIB corriente base 2004'!X23</f>
        <v>0.00678412545890775</v>
      </c>
      <c r="R31" s="827" t="n">
        <f aca="false">'Cuenta Ahorro-Inversión-Financi'!Y68-S31</f>
        <v>0.00132323571147159</v>
      </c>
      <c r="S31" s="827" t="n">
        <f aca="false">'Cuenta Ahorro-Inversión-Financi'!CN35/'PIB corriente base 2004'!X23/1000</f>
        <v>0.000283424808484046</v>
      </c>
      <c r="T31" s="827" t="n">
        <f aca="false">96967000/1000/'PIB corriente base 2004'!X23-S31</f>
        <v>0.00420457805592881</v>
      </c>
      <c r="U31" s="827" t="n">
        <f aca="false">'Cuenta Ahorro-Inversión-Financi'!T68</f>
        <v>0.0174955875724337</v>
      </c>
      <c r="V31" s="827" t="n">
        <f aca="false">'Cuenta Ahorro-Inversión-Financi'!BC35/1000/'PIB corriente base 2004'!X23</f>
        <v>4.96322893817889E-006</v>
      </c>
      <c r="W31" s="827" t="n">
        <f aca="false">M31+O31+Q31+R31+N31+P31</f>
        <v>0.0973806841222848</v>
      </c>
      <c r="X31" s="709" t="n">
        <f aca="false">J31-W31</f>
        <v>0.00646141848100539</v>
      </c>
      <c r="Y31" s="709" t="n">
        <f aca="false">X31-E31</f>
        <v>-0.00764874109317795</v>
      </c>
      <c r="Z31" s="709" t="n">
        <f aca="false">Y31-G31</f>
        <v>-0.0226292983197961</v>
      </c>
      <c r="AA31" s="456"/>
      <c r="AB31" s="709" t="n">
        <f aca="false">Z31</f>
        <v>-0.0226292983197961</v>
      </c>
      <c r="AC31" s="709" t="n">
        <f aca="false">AD31+Z31-Y31</f>
        <v>-0.00851913874561277</v>
      </c>
      <c r="AD31" s="709" t="n">
        <f aca="false">X31</f>
        <v>0.00646141848100539</v>
      </c>
      <c r="AE31" s="832"/>
      <c r="AH31" s="28"/>
      <c r="AI31" s="833"/>
      <c r="AJ31" s="834"/>
      <c r="AK31" s="835"/>
    </row>
    <row r="32" customFormat="false" ht="13.8" hidden="false" customHeight="false" outlineLevel="0" collapsed="false">
      <c r="B32" s="456"/>
      <c r="E32" s="646"/>
      <c r="F32" s="646"/>
      <c r="U32" s="456" t="n">
        <f aca="false">T32/1000/'PIB corriente base 2004'!X23</f>
        <v>0</v>
      </c>
      <c r="Z32" s="456"/>
      <c r="AE32" s="832"/>
      <c r="AH32" s="28"/>
      <c r="AI32" s="833"/>
      <c r="AJ32" s="834"/>
      <c r="AK32" s="835"/>
    </row>
    <row r="33" customFormat="false" ht="15" hidden="false" customHeight="false" outlineLevel="0" collapsed="false">
      <c r="B33" s="646"/>
      <c r="K33" s="28" t="n">
        <f aca="false">+'Cuenta Ahorro-Inversión-Financi'!CJ35</f>
        <v>68320169.71474</v>
      </c>
      <c r="T33" s="456" t="n">
        <f aca="false">T29+S29</f>
        <v>0.00390792092402232</v>
      </c>
      <c r="AC33" s="456"/>
      <c r="AE33" s="832"/>
      <c r="AH33" s="28"/>
      <c r="AI33" s="833"/>
      <c r="AJ33" s="834"/>
      <c r="AK33" s="835"/>
    </row>
    <row r="34" customFormat="false" ht="15" hidden="false" customHeight="false" outlineLevel="0" collapsed="false">
      <c r="M34" s="837" t="s">
        <v>1110</v>
      </c>
      <c r="N34" s="1" t="s">
        <v>1111</v>
      </c>
      <c r="O34" s="1" t="s">
        <v>1112</v>
      </c>
      <c r="P34" s="1" t="s">
        <v>1113</v>
      </c>
      <c r="Q34" s="1" t="s">
        <v>1114</v>
      </c>
      <c r="R34" s="1" t="s">
        <v>1115</v>
      </c>
      <c r="S34" s="1" t="s">
        <v>1116</v>
      </c>
      <c r="T34" s="456" t="n">
        <f aca="false">T30+S30</f>
        <v>0.00546669821870517</v>
      </c>
      <c r="AB34" s="456"/>
      <c r="AE34" s="832"/>
      <c r="AH34" s="28"/>
      <c r="AI34" s="833"/>
      <c r="AJ34" s="834"/>
      <c r="AK34" s="835"/>
    </row>
    <row r="35" customFormat="false" ht="15" hidden="false" customHeight="false" outlineLevel="0" collapsed="false">
      <c r="L35" s="1" t="n">
        <f aca="false">L5</f>
        <v>1993</v>
      </c>
      <c r="M35" s="829" t="n">
        <f aca="false">M5+O5</f>
        <v>0.0526370931910582</v>
      </c>
      <c r="N35" s="829" t="n">
        <f aca="false">N5</f>
        <v>0.011642303700453</v>
      </c>
      <c r="O35" s="829" t="n">
        <f aca="false">Q5</f>
        <v>0.00528862853440302</v>
      </c>
      <c r="P35" s="829" t="n">
        <f aca="false">P5</f>
        <v>0.00148990999175634</v>
      </c>
      <c r="Q35" s="829"/>
      <c r="R35" s="829" t="n">
        <f aca="false">SUM(M35:Q35)</f>
        <v>0.0710579354176705</v>
      </c>
      <c r="S35" s="829"/>
      <c r="AE35" s="832"/>
      <c r="AH35" s="28"/>
      <c r="AI35" s="833"/>
      <c r="AJ35" s="834"/>
      <c r="AK35" s="835"/>
    </row>
    <row r="36" customFormat="false" ht="15" hidden="false" customHeight="false" outlineLevel="0" collapsed="false">
      <c r="L36" s="1" t="n">
        <f aca="false">L6</f>
        <v>1994</v>
      </c>
      <c r="M36" s="829" t="n">
        <f aca="false">M6+O6</f>
        <v>0.0564644262203535</v>
      </c>
      <c r="N36" s="829" t="n">
        <f aca="false">N6</f>
        <v>0.0124360211037753</v>
      </c>
      <c r="O36" s="829" t="n">
        <f aca="false">Q6</f>
        <v>0.00677530886936053</v>
      </c>
      <c r="P36" s="829" t="n">
        <f aca="false">P6</f>
        <v>0.00114625800779694</v>
      </c>
      <c r="Q36" s="829"/>
      <c r="R36" s="829" t="n">
        <f aca="false">SUM(M36:Q36)</f>
        <v>0.0768220142012863</v>
      </c>
      <c r="S36" s="829"/>
      <c r="AE36" s="832"/>
      <c r="AH36" s="28"/>
      <c r="AI36" s="833"/>
      <c r="AJ36" s="834"/>
      <c r="AK36" s="835"/>
    </row>
    <row r="37" customFormat="false" ht="15" hidden="false" customHeight="false" outlineLevel="0" collapsed="false">
      <c r="L37" s="1" t="n">
        <f aca="false">L7</f>
        <v>1995</v>
      </c>
      <c r="M37" s="829" t="n">
        <f aca="false">M7+O7</f>
        <v>0.0536446703997522</v>
      </c>
      <c r="N37" s="829" t="n">
        <f aca="false">N7</f>
        <v>0.00535587988298989</v>
      </c>
      <c r="O37" s="829" t="n">
        <f aca="false">Q7</f>
        <v>0.00663835790735207</v>
      </c>
      <c r="P37" s="829" t="n">
        <f aca="false">P7</f>
        <v>0.00119215327226036</v>
      </c>
      <c r="Q37" s="829"/>
      <c r="R37" s="829" t="n">
        <f aca="false">SUM(M37:Q37)</f>
        <v>0.0668310614623545</v>
      </c>
      <c r="S37" s="829"/>
      <c r="AE37" s="832"/>
      <c r="AH37" s="28"/>
      <c r="AI37" s="833"/>
      <c r="AJ37" s="834"/>
      <c r="AK37" s="835"/>
    </row>
    <row r="38" customFormat="false" ht="15" hidden="false" customHeight="false" outlineLevel="0" collapsed="false">
      <c r="L38" s="1" t="n">
        <f aca="false">L8</f>
        <v>1996</v>
      </c>
      <c r="M38" s="829" t="n">
        <f aca="false">M8+O8</f>
        <v>0.0531622526632245</v>
      </c>
      <c r="N38" s="829" t="n">
        <f aca="false">N8</f>
        <v>0.00600272468782676</v>
      </c>
      <c r="O38" s="829" t="n">
        <f aca="false">Q8</f>
        <v>0.0074607589826253</v>
      </c>
      <c r="P38" s="829" t="n">
        <f aca="false">P8</f>
        <v>0.00171031345294353</v>
      </c>
      <c r="Q38" s="829"/>
      <c r="R38" s="829" t="n">
        <f aca="false">SUM(M38:Q38)</f>
        <v>0.0683360497866201</v>
      </c>
      <c r="S38" s="829"/>
      <c r="AE38" s="832"/>
      <c r="AH38" s="28"/>
      <c r="AI38" s="833"/>
      <c r="AJ38" s="834"/>
      <c r="AK38" s="835"/>
    </row>
    <row r="39" customFormat="false" ht="15" hidden="false" customHeight="false" outlineLevel="0" collapsed="false">
      <c r="L39" s="1" t="n">
        <f aca="false">L9</f>
        <v>1997</v>
      </c>
      <c r="M39" s="829" t="n">
        <f aca="false">M9+O9</f>
        <v>0.0500659666860674</v>
      </c>
      <c r="N39" s="829" t="n">
        <f aca="false">N9</f>
        <v>0.00539903006587295</v>
      </c>
      <c r="O39" s="829" t="n">
        <f aca="false">Q9</f>
        <v>0.00721746011483045</v>
      </c>
      <c r="P39" s="829" t="n">
        <f aca="false">P9</f>
        <v>0.00113559901995312</v>
      </c>
      <c r="Q39" s="829"/>
      <c r="R39" s="829" t="n">
        <f aca="false">SUM(M39:Q39)</f>
        <v>0.0638180558867239</v>
      </c>
      <c r="S39" s="829"/>
    </row>
    <row r="40" customFormat="false" ht="15" hidden="false" customHeight="false" outlineLevel="0" collapsed="false">
      <c r="L40" s="1" t="n">
        <f aca="false">L10</f>
        <v>1998</v>
      </c>
      <c r="M40" s="829" t="n">
        <f aca="false">M10+O10</f>
        <v>0.0491903555478579</v>
      </c>
      <c r="N40" s="829" t="n">
        <f aca="false">N10</f>
        <v>0.00477034993055969</v>
      </c>
      <c r="O40" s="829" t="n">
        <f aca="false">Q10</f>
        <v>0.00818073477793168</v>
      </c>
      <c r="P40" s="829" t="n">
        <f aca="false">P10</f>
        <v>0.00102481315686651</v>
      </c>
      <c r="Q40" s="829"/>
      <c r="R40" s="829" t="n">
        <f aca="false">SUM(M40:Q40)</f>
        <v>0.0631662534132158</v>
      </c>
      <c r="S40" s="829"/>
    </row>
    <row r="41" customFormat="false" ht="15" hidden="false" customHeight="false" outlineLevel="0" collapsed="false">
      <c r="L41" s="1" t="n">
        <f aca="false">L11</f>
        <v>1999</v>
      </c>
      <c r="M41" s="829" t="n">
        <f aca="false">M11+O11</f>
        <v>0.0517496903211291</v>
      </c>
      <c r="N41" s="829" t="n">
        <f aca="false">N11</f>
        <v>0.00587322823822414</v>
      </c>
      <c r="O41" s="829" t="n">
        <f aca="false">Q11</f>
        <v>0.00868157830525175</v>
      </c>
      <c r="P41" s="829" t="n">
        <f aca="false">P11</f>
        <v>0.000859047973636882</v>
      </c>
      <c r="Q41" s="829"/>
      <c r="R41" s="829" t="n">
        <f aca="false">SUM(M41:Q41)</f>
        <v>0.0671635448382419</v>
      </c>
      <c r="S41" s="829"/>
    </row>
    <row r="42" customFormat="false" ht="15" hidden="false" customHeight="false" outlineLevel="0" collapsed="false">
      <c r="L42" s="1" t="n">
        <f aca="false">L12</f>
        <v>2000</v>
      </c>
      <c r="M42" s="829" t="n">
        <f aca="false">M12+O12</f>
        <v>0.0518501300658357</v>
      </c>
      <c r="N42" s="829" t="n">
        <f aca="false">N12</f>
        <v>0.00613084017631838</v>
      </c>
      <c r="O42" s="829" t="n">
        <f aca="false">Q12</f>
        <v>0.00842379342908535</v>
      </c>
      <c r="P42" s="829" t="n">
        <f aca="false">P12</f>
        <v>0.000763899147434019</v>
      </c>
      <c r="Q42" s="829"/>
      <c r="R42" s="829" t="n">
        <f aca="false">SUM(M42:Q42)</f>
        <v>0.0671686628186734</v>
      </c>
      <c r="S42" s="829"/>
      <c r="AJ42" s="456"/>
    </row>
    <row r="43" customFormat="false" ht="15" hidden="false" customHeight="false" outlineLevel="0" collapsed="false">
      <c r="L43" s="1" t="n">
        <f aca="false">L13</f>
        <v>2001</v>
      </c>
      <c r="M43" s="829" t="n">
        <f aca="false">M13+O13</f>
        <v>0.0525215308255347</v>
      </c>
      <c r="N43" s="829" t="n">
        <f aca="false">N13</f>
        <v>0.00621669920590712</v>
      </c>
      <c r="O43" s="829" t="n">
        <f aca="false">Q13</f>
        <v>0.00850617345912317</v>
      </c>
      <c r="P43" s="829" t="n">
        <f aca="false">P13</f>
        <v>0.000688492360671558</v>
      </c>
      <c r="Q43" s="829"/>
      <c r="R43" s="829" t="n">
        <f aca="false">SUM(M43:Q43)</f>
        <v>0.0679328958512366</v>
      </c>
      <c r="S43" s="829"/>
    </row>
    <row r="44" customFormat="false" ht="15" hidden="false" customHeight="false" outlineLevel="0" collapsed="false">
      <c r="L44" s="1" t="n">
        <f aca="false">L14</f>
        <v>2002</v>
      </c>
      <c r="M44" s="829" t="n">
        <f aca="false">M14+O14</f>
        <v>0.0443421627477132</v>
      </c>
      <c r="N44" s="829" t="n">
        <f aca="false">N14</f>
        <v>0.00678591755475529</v>
      </c>
      <c r="O44" s="829" t="n">
        <f aca="false">Q14</f>
        <v>0.00679872793896764</v>
      </c>
      <c r="P44" s="829" t="n">
        <f aca="false">P14</f>
        <v>0.000674115579920293</v>
      </c>
      <c r="Q44" s="829"/>
      <c r="R44" s="829" t="n">
        <f aca="false">SUM(M44:Q44)</f>
        <v>0.0586009238213564</v>
      </c>
      <c r="S44" s="829"/>
    </row>
    <row r="45" customFormat="false" ht="15" hidden="false" customHeight="false" outlineLevel="0" collapsed="false">
      <c r="L45" s="1" t="n">
        <f aca="false">L15</f>
        <v>2003</v>
      </c>
      <c r="M45" s="829" t="n">
        <f aca="false">M15+O15</f>
        <v>0.0414155099169041</v>
      </c>
      <c r="N45" s="829" t="n">
        <f aca="false">N15</f>
        <v>0.00815617118660916</v>
      </c>
      <c r="O45" s="829" t="n">
        <f aca="false">Q15</f>
        <v>0.00679617546093593</v>
      </c>
      <c r="P45" s="829" t="n">
        <f aca="false">P15</f>
        <v>0.000695611243275441</v>
      </c>
      <c r="Q45" s="829"/>
      <c r="R45" s="829" t="n">
        <f aca="false">SUM(M45:Q45)</f>
        <v>0.0570634678077246</v>
      </c>
      <c r="S45" s="829"/>
    </row>
    <row r="46" customFormat="false" ht="15" hidden="false" customHeight="false" outlineLevel="0" collapsed="false">
      <c r="L46" s="1" t="n">
        <f aca="false">L16</f>
        <v>2004</v>
      </c>
      <c r="M46" s="829" t="n">
        <f aca="false">M16+O16</f>
        <v>0.0381838546901421</v>
      </c>
      <c r="N46" s="829" t="n">
        <f aca="false">N16</f>
        <v>0.00601253522505087</v>
      </c>
      <c r="O46" s="829" t="n">
        <f aca="false">Q16</f>
        <v>0.0062422259511128</v>
      </c>
      <c r="P46" s="829" t="n">
        <f aca="false">P16</f>
        <v>0.000620174834207575</v>
      </c>
      <c r="Q46" s="829"/>
      <c r="R46" s="829" t="n">
        <f aca="false">SUM(M46:Q46)</f>
        <v>0.0510587907005133</v>
      </c>
      <c r="S46" s="829"/>
    </row>
    <row r="47" customFormat="false" ht="15" hidden="false" customHeight="false" outlineLevel="0" collapsed="false">
      <c r="L47" s="1" t="n">
        <f aca="false">L17</f>
        <v>2005</v>
      </c>
      <c r="M47" s="829" t="n">
        <f aca="false">M17+O17</f>
        <v>0.0359050849402142</v>
      </c>
      <c r="N47" s="829" t="n">
        <f aca="false">N17</f>
        <v>0.00717141324245859</v>
      </c>
      <c r="O47" s="829" t="n">
        <f aca="false">Q17</f>
        <v>0.00597111538341118</v>
      </c>
      <c r="P47" s="829" t="n">
        <f aca="false">P17</f>
        <v>0.000775276229474887</v>
      </c>
      <c r="Q47" s="829"/>
      <c r="R47" s="829" t="n">
        <f aca="false">SUM(M47:Q47)</f>
        <v>0.0498228897955588</v>
      </c>
      <c r="S47" s="829"/>
    </row>
    <row r="48" customFormat="false" ht="15" hidden="false" customHeight="false" outlineLevel="0" collapsed="false">
      <c r="L48" s="1" t="n">
        <f aca="false">L18</f>
        <v>2006</v>
      </c>
      <c r="M48" s="829" t="n">
        <f aca="false">M18+O18</f>
        <v>0.0382627857511565</v>
      </c>
      <c r="N48" s="829" t="n">
        <f aca="false">N18</f>
        <v>0.00645013061743081</v>
      </c>
      <c r="O48" s="829" t="n">
        <f aca="false">Q18</f>
        <v>0.00626372424192923</v>
      </c>
      <c r="P48" s="829" t="n">
        <f aca="false">P18</f>
        <v>0.000837384263622429</v>
      </c>
      <c r="Q48" s="829"/>
      <c r="R48" s="829" t="n">
        <f aca="false">SUM(M48:Q48)</f>
        <v>0.051814024874139</v>
      </c>
      <c r="S48" s="829"/>
    </row>
    <row r="49" customFormat="false" ht="15" hidden="false" customHeight="false" outlineLevel="0" collapsed="false">
      <c r="L49" s="1" t="n">
        <f aca="false">L19</f>
        <v>2007</v>
      </c>
      <c r="M49" s="829" t="n">
        <f aca="false">M19+O19</f>
        <v>0.0507893039157943</v>
      </c>
      <c r="N49" s="829" t="n">
        <f aca="false">N19</f>
        <v>0.00559034382813241</v>
      </c>
      <c r="O49" s="829" t="n">
        <f aca="false">Q19</f>
        <v>0.00694374082135591</v>
      </c>
      <c r="P49" s="829" t="n">
        <f aca="false">P19</f>
        <v>0.000934433666315139</v>
      </c>
      <c r="Q49" s="829"/>
      <c r="R49" s="829" t="n">
        <f aca="false">SUM(M49:Q49)</f>
        <v>0.0642578222315978</v>
      </c>
      <c r="S49" s="829"/>
    </row>
    <row r="50" customFormat="false" ht="15" hidden="false" customHeight="false" outlineLevel="0" collapsed="false">
      <c r="L50" s="1" t="n">
        <f aca="false">L20</f>
        <v>2008</v>
      </c>
      <c r="M50" s="829" t="n">
        <f aca="false">M20+O20</f>
        <v>0.0501347587043501</v>
      </c>
      <c r="N50" s="829" t="n">
        <f aca="false">N20</f>
        <v>0.00717673059001263</v>
      </c>
      <c r="O50" s="829" t="n">
        <f aca="false">Q20</f>
        <v>0.00755471749320767</v>
      </c>
      <c r="P50" s="829" t="n">
        <f aca="false">P20</f>
        <v>0.00110112913760037</v>
      </c>
      <c r="Q50" s="829" t="n">
        <f aca="false">R20</f>
        <v>0.00116689653702815</v>
      </c>
      <c r="R50" s="829" t="n">
        <f aca="false">SUM(M50:Q50)</f>
        <v>0.067134232462199</v>
      </c>
      <c r="S50" s="829"/>
    </row>
    <row r="51" customFormat="false" ht="15" hidden="false" customHeight="false" outlineLevel="0" collapsed="false">
      <c r="L51" s="1" t="n">
        <f aca="false">L21</f>
        <v>2009</v>
      </c>
      <c r="M51" s="829" t="n">
        <f aca="false">M21+O21</f>
        <v>0.0588576476808504</v>
      </c>
      <c r="N51" s="829" t="n">
        <f aca="false">N21</f>
        <v>0.0103548744113128</v>
      </c>
      <c r="O51" s="829" t="n">
        <f aca="false">Q21</f>
        <v>0.0096326646023175</v>
      </c>
      <c r="P51" s="829" t="n">
        <f aca="false">P21</f>
        <v>0.00178122445365416</v>
      </c>
      <c r="Q51" s="829" t="n">
        <f aca="false">R21</f>
        <v>0.00167502693461996</v>
      </c>
      <c r="R51" s="829" t="n">
        <f aca="false">SUM(M51:Q51)</f>
        <v>0.0823014380827548</v>
      </c>
      <c r="S51" s="829"/>
    </row>
    <row r="52" customFormat="false" ht="15" hidden="false" customHeight="false" outlineLevel="0" collapsed="false">
      <c r="L52" s="1" t="n">
        <f aca="false">L22</f>
        <v>2010</v>
      </c>
      <c r="M52" s="829" t="n">
        <f aca="false">M22+O22</f>
        <v>0.055076484873527</v>
      </c>
      <c r="N52" s="829" t="n">
        <f aca="false">N22</f>
        <v>0.013401132173323</v>
      </c>
      <c r="O52" s="829" t="n">
        <f aca="false">Q22</f>
        <v>0.0101063370292179</v>
      </c>
      <c r="P52" s="829" t="n">
        <f aca="false">P22</f>
        <v>0.00193273387962204</v>
      </c>
      <c r="Q52" s="829" t="n">
        <f aca="false">R22</f>
        <v>0.00129161278918117</v>
      </c>
      <c r="R52" s="829" t="n">
        <f aca="false">SUM(M52:Q52)</f>
        <v>0.0818083007448711</v>
      </c>
      <c r="S52" s="829"/>
    </row>
    <row r="53" customFormat="false" ht="15" hidden="false" customHeight="false" outlineLevel="0" collapsed="false">
      <c r="L53" s="1" t="n">
        <f aca="false">L23</f>
        <v>2011</v>
      </c>
      <c r="M53" s="829" t="n">
        <f aca="false">M23+O23</f>
        <v>0.0579992749226626</v>
      </c>
      <c r="N53" s="829" t="n">
        <f aca="false">N23</f>
        <v>0.0109799924049</v>
      </c>
      <c r="O53" s="829" t="n">
        <f aca="false">Q23</f>
        <v>0.0120992651321526</v>
      </c>
      <c r="P53" s="829" t="n">
        <f aca="false">P23</f>
        <v>0.00219213433804649</v>
      </c>
      <c r="Q53" s="829" t="n">
        <f aca="false">R23</f>
        <v>0.00103133324512357</v>
      </c>
      <c r="R53" s="829" t="n">
        <f aca="false">SUM(M53:Q53)</f>
        <v>0.0843020000428854</v>
      </c>
      <c r="S53" s="829"/>
    </row>
    <row r="54" customFormat="false" ht="15" hidden="false" customHeight="false" outlineLevel="0" collapsed="false">
      <c r="L54" s="1" t="n">
        <f aca="false">L24</f>
        <v>2012</v>
      </c>
      <c r="M54" s="829" t="n">
        <f aca="false">M24+O24</f>
        <v>0.0662494576002582</v>
      </c>
      <c r="N54" s="829" t="n">
        <f aca="false">N24</f>
        <v>0.00995515308893217</v>
      </c>
      <c r="O54" s="829" t="n">
        <f aca="false">Q24</f>
        <v>0.0129182716332613</v>
      </c>
      <c r="P54" s="829" t="n">
        <f aca="false">P24</f>
        <v>0.00236681220168485</v>
      </c>
      <c r="Q54" s="829" t="n">
        <f aca="false">R24</f>
        <v>0.00123537014000835</v>
      </c>
      <c r="R54" s="829" t="n">
        <f aca="false">SUM(M54:Q54)</f>
        <v>0.0927250646641448</v>
      </c>
      <c r="S54" s="829"/>
    </row>
    <row r="55" customFormat="false" ht="15" hidden="false" customHeight="false" outlineLevel="0" collapsed="false">
      <c r="L55" s="1" t="n">
        <f aca="false">L25</f>
        <v>2013</v>
      </c>
      <c r="M55" s="829" t="n">
        <f aca="false">M25+O25</f>
        <v>0.0689779144626467</v>
      </c>
      <c r="N55" s="829" t="n">
        <f aca="false">N25</f>
        <v>0.0107146720941459</v>
      </c>
      <c r="O55" s="829" t="n">
        <f aca="false">Q25</f>
        <v>0.0146218200307587</v>
      </c>
      <c r="P55" s="829" t="n">
        <f aca="false">P25</f>
        <v>0.00210806956969702</v>
      </c>
      <c r="Q55" s="829" t="n">
        <f aca="false">R25</f>
        <v>0.00166967888999977</v>
      </c>
      <c r="R55" s="829" t="n">
        <f aca="false">SUM(M55:Q55)</f>
        <v>0.0980921550472481</v>
      </c>
      <c r="S55" s="829"/>
    </row>
    <row r="56" customFormat="false" ht="15" hidden="false" customHeight="false" outlineLevel="0" collapsed="false">
      <c r="L56" s="1" t="n">
        <f aca="false">L26</f>
        <v>2014</v>
      </c>
      <c r="M56" s="829" t="n">
        <f aca="false">M26+O26</f>
        <v>0.0668831360986687</v>
      </c>
      <c r="N56" s="829" t="n">
        <f aca="false">N26</f>
        <v>0.0106751453935426</v>
      </c>
      <c r="O56" s="829" t="n">
        <f aca="false">Q26</f>
        <v>0.0141412319440096</v>
      </c>
      <c r="P56" s="829" t="n">
        <f aca="false">P26</f>
        <v>0.00208133381503417</v>
      </c>
      <c r="Q56" s="829" t="n">
        <f aca="false">R26</f>
        <v>0.00180520724704594</v>
      </c>
      <c r="R56" s="829" t="n">
        <f aca="false">SUM(M56:Q56)</f>
        <v>0.095586054498301</v>
      </c>
      <c r="S56" s="829"/>
    </row>
    <row r="57" customFormat="false" ht="15" hidden="false" customHeight="false" outlineLevel="0" collapsed="false">
      <c r="L57" s="1" t="n">
        <f aca="false">L27</f>
        <v>2015</v>
      </c>
      <c r="M57" s="829" t="n">
        <f aca="false">M27+O27</f>
        <v>0.0753973632561754</v>
      </c>
      <c r="N57" s="829" t="n">
        <f aca="false">N27</f>
        <v>0.0116328503756657</v>
      </c>
      <c r="O57" s="829" t="n">
        <f aca="false">Q27</f>
        <v>0.014539131815676</v>
      </c>
      <c r="P57" s="829" t="n">
        <f aca="false">P27</f>
        <v>0.00209925380408706</v>
      </c>
      <c r="Q57" s="829" t="n">
        <f aca="false">R27</f>
        <v>0.00171424659032606</v>
      </c>
      <c r="R57" s="829" t="n">
        <f aca="false">SUM(M57:Q57)</f>
        <v>0.10538284584193</v>
      </c>
      <c r="S57" s="829"/>
    </row>
    <row r="58" customFormat="false" ht="15" hidden="false" customHeight="false" outlineLevel="0" collapsed="false">
      <c r="L58" s="1" t="n">
        <f aca="false">L28</f>
        <v>2016</v>
      </c>
      <c r="M58" s="829" t="n">
        <f aca="false">M28+O28</f>
        <v>0.07567738322788</v>
      </c>
      <c r="N58" s="829" t="n">
        <f aca="false">N28</f>
        <v>0.0163460286188939</v>
      </c>
      <c r="O58" s="829" t="n">
        <f aca="false">Q28</f>
        <v>0.0137424706216159</v>
      </c>
      <c r="P58" s="829" t="n">
        <f aca="false">P28</f>
        <v>0.00177072549143578</v>
      </c>
      <c r="Q58" s="829" t="n">
        <f aca="false">R28</f>
        <v>0.00197107261819154</v>
      </c>
      <c r="R58" s="829" t="n">
        <f aca="false">SUM(M58:Q58)</f>
        <v>0.109507680578017</v>
      </c>
      <c r="S58" s="829" t="n">
        <f aca="false">T28</f>
        <v>0.000771083734631746</v>
      </c>
    </row>
    <row r="59" customFormat="false" ht="15" hidden="false" customHeight="false" outlineLevel="0" collapsed="false">
      <c r="L59" s="1" t="n">
        <f aca="false">L29</f>
        <v>2017</v>
      </c>
      <c r="M59" s="829" t="n">
        <f aca="false">M29+O29</f>
        <v>0.0793572213835881</v>
      </c>
      <c r="N59" s="829" t="n">
        <f aca="false">N29</f>
        <v>0.0149136250605212</v>
      </c>
      <c r="O59" s="829" t="n">
        <f aca="false">Q29</f>
        <v>0.0127866721432285</v>
      </c>
      <c r="P59" s="829" t="n">
        <f aca="false">P29</f>
        <v>0.00172705093781381</v>
      </c>
      <c r="Q59" s="829" t="n">
        <f aca="false">R29</f>
        <v>0.00169318277702991</v>
      </c>
      <c r="R59" s="829" t="n">
        <f aca="false">SUM(M59:Q59)</f>
        <v>0.110477752302181</v>
      </c>
      <c r="S59" s="829" t="n">
        <f aca="false">T29+S29</f>
        <v>0.00390792092402232</v>
      </c>
    </row>
    <row r="60" customFormat="false" ht="15" hidden="false" customHeight="false" outlineLevel="0" collapsed="false">
      <c r="L60" s="1" t="n">
        <f aca="false">L30</f>
        <v>2018</v>
      </c>
      <c r="M60" s="829" t="n">
        <f aca="false">M30+O30</f>
        <v>0.0747946376147494</v>
      </c>
      <c r="N60" s="829" t="n">
        <f aca="false">N30</f>
        <v>0.0148720651077345</v>
      </c>
      <c r="O60" s="829" t="n">
        <f aca="false">Q30</f>
        <v>0.00965041777837607</v>
      </c>
      <c r="P60" s="829" t="n">
        <f aca="false">P30</f>
        <v>0.00148225469051734</v>
      </c>
      <c r="Q60" s="829" t="n">
        <f aca="false">R30</f>
        <v>0.00155582043184477</v>
      </c>
      <c r="R60" s="829" t="n">
        <f aca="false">SUM(M60:Q60)</f>
        <v>0.102355195623222</v>
      </c>
      <c r="S60" s="829" t="n">
        <f aca="false">T30+S30</f>
        <v>0.00546669821870517</v>
      </c>
    </row>
    <row r="61" customFormat="false" ht="15" hidden="false" customHeight="false" outlineLevel="0" collapsed="false">
      <c r="L61" s="1" t="n">
        <f aca="false">L31</f>
        <v>2019</v>
      </c>
      <c r="M61" s="829" t="n">
        <f aca="false">M31+O31</f>
        <v>0.0732314555492533</v>
      </c>
      <c r="N61" s="829" t="n">
        <f aca="false">N31</f>
        <v>0.0147840604707147</v>
      </c>
      <c r="O61" s="829" t="n">
        <f aca="false">Q31</f>
        <v>0.00678412545890775</v>
      </c>
      <c r="P61" s="829" t="n">
        <f aca="false">P31</f>
        <v>0.00125780693193743</v>
      </c>
      <c r="Q61" s="829" t="n">
        <f aca="false">R31</f>
        <v>0.00132323571147159</v>
      </c>
      <c r="R61" s="829" t="n">
        <f aca="false">SUM(M61:Q61)</f>
        <v>0.0973806841222848</v>
      </c>
      <c r="S61" s="829" t="n">
        <f aca="false">T31+S31</f>
        <v>0.00448800286441286</v>
      </c>
    </row>
    <row r="62" customFormat="false" ht="15" hidden="false" customHeight="false" outlineLevel="0" collapsed="false">
      <c r="R62" s="829" t="n">
        <f aca="false">R57-R61</f>
        <v>0.00800216171964541</v>
      </c>
    </row>
    <row r="64" customFormat="false" ht="15" hidden="false" customHeight="false" outlineLevel="0" collapsed="false">
      <c r="M64" s="519" t="n">
        <f aca="false">114000000/1000/'PIB corriente base 2004'!X23</f>
        <v>0.00527635511610203</v>
      </c>
    </row>
    <row r="68" customFormat="false" ht="15" hidden="false" customHeight="false" outlineLevel="0" collapsed="false">
      <c r="B68" s="838" t="s">
        <v>790</v>
      </c>
      <c r="C68" s="1" t="s">
        <v>777</v>
      </c>
      <c r="D68" s="1" t="s">
        <v>1117</v>
      </c>
      <c r="E68" s="1" t="s">
        <v>1118</v>
      </c>
      <c r="F68" s="1" t="s">
        <v>1119</v>
      </c>
      <c r="G68" s="1" t="s">
        <v>1120</v>
      </c>
      <c r="H68" s="1" t="s">
        <v>1121</v>
      </c>
      <c r="I68" s="1" t="s">
        <v>1122</v>
      </c>
    </row>
    <row r="69" customFormat="false" ht="15" hidden="false" customHeight="false" outlineLevel="0" collapsed="false">
      <c r="A69" s="1" t="n">
        <f aca="false">A5</f>
        <v>1993</v>
      </c>
      <c r="B69" s="829" t="n">
        <f aca="false">B5</f>
        <v>0.045352832912549</v>
      </c>
      <c r="C69" s="829" t="n">
        <f aca="false">C5</f>
        <v>0.0114261586914329</v>
      </c>
      <c r="D69" s="829" t="n">
        <f aca="false">D5</f>
        <v>0.012477115671009</v>
      </c>
      <c r="E69" s="829"/>
      <c r="F69" s="829" t="n">
        <f aca="false">SUM(B69:E69)</f>
        <v>0.0692561072749909</v>
      </c>
      <c r="G69" s="829" t="n">
        <f aca="false">E5</f>
        <v>0.00135575886721573</v>
      </c>
      <c r="H69" s="829"/>
      <c r="I69" s="829"/>
    </row>
    <row r="70" customFormat="false" ht="15" hidden="false" customHeight="false" outlineLevel="0" collapsed="false">
      <c r="A70" s="1" t="n">
        <f aca="false">A6</f>
        <v>1994</v>
      </c>
      <c r="B70" s="829" t="n">
        <f aca="false">B6</f>
        <v>0.0412406410701487</v>
      </c>
      <c r="C70" s="829" t="n">
        <f aca="false">C6</f>
        <v>0.0120869185800861</v>
      </c>
      <c r="D70" s="829" t="n">
        <f aca="false">D6</f>
        <v>0.0103138055803019</v>
      </c>
      <c r="E70" s="829"/>
      <c r="F70" s="829" t="n">
        <f aca="false">SUM(B70:E70)</f>
        <v>0.0636413652305368</v>
      </c>
      <c r="G70" s="829" t="n">
        <f aca="false">E6</f>
        <v>9.53195096879308E-005</v>
      </c>
      <c r="H70" s="829"/>
      <c r="I70" s="829"/>
    </row>
    <row r="71" customFormat="false" ht="15" hidden="false" customHeight="false" outlineLevel="0" collapsed="false">
      <c r="A71" s="1" t="n">
        <f aca="false">A7</f>
        <v>1995</v>
      </c>
      <c r="B71" s="829" t="n">
        <f aca="false">B7</f>
        <v>0.0367162842262927</v>
      </c>
      <c r="C71" s="829" t="n">
        <f aca="false">C7</f>
        <v>0.0121121840535182</v>
      </c>
      <c r="D71" s="829" t="n">
        <f aca="false">D7</f>
        <v>0.011591546064283</v>
      </c>
      <c r="E71" s="829"/>
      <c r="F71" s="829" t="n">
        <f aca="false">SUM(B71:E71)</f>
        <v>0.0604200143440938</v>
      </c>
      <c r="G71" s="829" t="n">
        <f aca="false">E7</f>
        <v>3.16975206724679E-005</v>
      </c>
      <c r="H71" s="829"/>
      <c r="I71" s="829"/>
    </row>
    <row r="72" customFormat="false" ht="15" hidden="false" customHeight="false" outlineLevel="0" collapsed="false">
      <c r="A72" s="1" t="n">
        <f aca="false">A8</f>
        <v>1996</v>
      </c>
      <c r="B72" s="829" t="n">
        <f aca="false">B8</f>
        <v>0.0363846758844649</v>
      </c>
      <c r="C72" s="829" t="n">
        <f aca="false">C8</f>
        <v>0.0146741320077489</v>
      </c>
      <c r="D72" s="829" t="n">
        <f aca="false">D8</f>
        <v>0.0118734138888744</v>
      </c>
      <c r="E72" s="829"/>
      <c r="F72" s="829" t="n">
        <f aca="false">SUM(B72:E72)</f>
        <v>0.0629322217810882</v>
      </c>
      <c r="G72" s="829" t="n">
        <f aca="false">E8</f>
        <v>0.000116523274740473</v>
      </c>
      <c r="H72" s="829"/>
      <c r="I72" s="829"/>
    </row>
    <row r="73" customFormat="false" ht="15" hidden="false" customHeight="false" outlineLevel="0" collapsed="false">
      <c r="A73" s="1" t="n">
        <f aca="false">A9</f>
        <v>1997</v>
      </c>
      <c r="B73" s="829" t="n">
        <f aca="false">B9</f>
        <v>0.0281819888678765</v>
      </c>
      <c r="C73" s="829" t="n">
        <f aca="false">C9</f>
        <v>0.0200853946887565</v>
      </c>
      <c r="D73" s="829" t="n">
        <f aca="false">D9</f>
        <v>0.0122864231415156</v>
      </c>
      <c r="E73" s="829"/>
      <c r="F73" s="829" t="n">
        <f aca="false">SUM(B73:E73)</f>
        <v>0.0605538066981487</v>
      </c>
      <c r="G73" s="829" t="n">
        <f aca="false">E9</f>
        <v>0.000108303900462984</v>
      </c>
      <c r="H73" s="829"/>
      <c r="I73" s="829"/>
    </row>
    <row r="74" customFormat="false" ht="15" hidden="false" customHeight="false" outlineLevel="0" collapsed="false">
      <c r="A74" s="1" t="n">
        <f aca="false">A10</f>
        <v>1998</v>
      </c>
      <c r="B74" s="829" t="n">
        <f aca="false">B10</f>
        <v>0.0264965219233464</v>
      </c>
      <c r="C74" s="829" t="n">
        <f aca="false">C10</f>
        <v>0.0212578403477591</v>
      </c>
      <c r="D74" s="829" t="n">
        <f aca="false">D10</f>
        <v>0.0127033327129764</v>
      </c>
      <c r="E74" s="829"/>
      <c r="F74" s="829" t="n">
        <f aca="false">SUM(B74:E74)</f>
        <v>0.060457694984082</v>
      </c>
      <c r="G74" s="829" t="n">
        <f aca="false">E10</f>
        <v>4.84963051482054E-005</v>
      </c>
      <c r="H74" s="829"/>
      <c r="I74" s="829"/>
    </row>
    <row r="75" customFormat="false" ht="15" hidden="false" customHeight="false" outlineLevel="0" collapsed="false">
      <c r="A75" s="1" t="n">
        <f aca="false">A11</f>
        <v>1999</v>
      </c>
      <c r="B75" s="829" t="n">
        <f aca="false">B11</f>
        <v>0.0249055646687138</v>
      </c>
      <c r="C75" s="829" t="n">
        <f aca="false">C11</f>
        <v>0.0214303302315375</v>
      </c>
      <c r="D75" s="829" t="n">
        <f aca="false">D11</f>
        <v>0.0130590610333592</v>
      </c>
      <c r="E75" s="829"/>
      <c r="F75" s="829" t="n">
        <f aca="false">SUM(B75:E75)</f>
        <v>0.0593949559336106</v>
      </c>
      <c r="G75" s="829" t="n">
        <f aca="false">E11</f>
        <v>8.90089000381151E-006</v>
      </c>
      <c r="H75" s="829"/>
      <c r="I75" s="829"/>
    </row>
    <row r="76" customFormat="false" ht="15" hidden="false" customHeight="false" outlineLevel="0" collapsed="false">
      <c r="A76" s="1" t="n">
        <f aca="false">A12</f>
        <v>2000</v>
      </c>
      <c r="B76" s="829" t="n">
        <f aca="false">B12</f>
        <v>0.0236198765665383</v>
      </c>
      <c r="C76" s="829" t="n">
        <f aca="false">C12</f>
        <v>0.023556870770298</v>
      </c>
      <c r="D76" s="829" t="n">
        <f aca="false">D12</f>
        <v>0.0132482904466693</v>
      </c>
      <c r="E76" s="829"/>
      <c r="F76" s="829" t="n">
        <f aca="false">SUM(B76:E76)</f>
        <v>0.0604250377835056</v>
      </c>
      <c r="G76" s="829" t="n">
        <f aca="false">E12</f>
        <v>5.08058139376392E-006</v>
      </c>
      <c r="H76" s="829"/>
      <c r="I76" s="829"/>
    </row>
    <row r="77" customFormat="false" ht="15" hidden="false" customHeight="false" outlineLevel="0" collapsed="false">
      <c r="A77" s="1" t="n">
        <f aca="false">A13</f>
        <v>2001</v>
      </c>
      <c r="B77" s="829" t="n">
        <f aca="false">B13</f>
        <v>0.0238758696338049</v>
      </c>
      <c r="C77" s="829" t="n">
        <f aca="false">C13</f>
        <v>0.0214457736331774</v>
      </c>
      <c r="D77" s="829" t="n">
        <f aca="false">D13</f>
        <v>0.0124450443431941</v>
      </c>
      <c r="E77" s="829"/>
      <c r="F77" s="829" t="n">
        <f aca="false">SUM(B77:E77)</f>
        <v>0.0577666876101764</v>
      </c>
      <c r="G77" s="829" t="n">
        <f aca="false">E13</f>
        <v>1.27950379999639E-006</v>
      </c>
      <c r="H77" s="829"/>
      <c r="I77" s="829"/>
    </row>
    <row r="78" customFormat="false" ht="15" hidden="false" customHeight="false" outlineLevel="0" collapsed="false">
      <c r="A78" s="1" t="n">
        <f aca="false">A14</f>
        <v>2002</v>
      </c>
      <c r="B78" s="829" t="n">
        <f aca="false">B14</f>
        <v>0.0204511996433966</v>
      </c>
      <c r="C78" s="829" t="n">
        <f aca="false">C14</f>
        <v>0.0170555199717405</v>
      </c>
      <c r="D78" s="829" t="n">
        <f aca="false">D14</f>
        <v>0.00963695804700716</v>
      </c>
      <c r="E78" s="829"/>
      <c r="F78" s="829" t="n">
        <f aca="false">SUM(B78:E78)</f>
        <v>0.0471436776621443</v>
      </c>
      <c r="G78" s="829" t="n">
        <f aca="false">E14</f>
        <v>1.71830895387883E-005</v>
      </c>
      <c r="H78" s="829"/>
      <c r="I78" s="829"/>
    </row>
    <row r="79" customFormat="false" ht="15" hidden="false" customHeight="false" outlineLevel="0" collapsed="false">
      <c r="A79" s="1" t="n">
        <f aca="false">A15</f>
        <v>2003</v>
      </c>
      <c r="B79" s="829" t="n">
        <f aca="false">B15</f>
        <v>0.0204726739831029</v>
      </c>
      <c r="C79" s="829" t="n">
        <f aca="false">C15</f>
        <v>0.0198553916144812</v>
      </c>
      <c r="D79" s="829" t="n">
        <f aca="false">D15</f>
        <v>0.0118026727120887</v>
      </c>
      <c r="E79" s="829"/>
      <c r="F79" s="829" t="n">
        <f aca="false">SUM(B79:E79)</f>
        <v>0.0521307383096728</v>
      </c>
      <c r="G79" s="829" t="n">
        <f aca="false">E15</f>
        <v>5.45970901702129E-006</v>
      </c>
      <c r="H79" s="829"/>
      <c r="I79" s="829"/>
    </row>
    <row r="80" customFormat="false" ht="15" hidden="false" customHeight="false" outlineLevel="0" collapsed="false">
      <c r="A80" s="1" t="n">
        <f aca="false">A16</f>
        <v>2004</v>
      </c>
      <c r="B80" s="829" t="n">
        <f aca="false">B16</f>
        <v>0.0198583830686151</v>
      </c>
      <c r="C80" s="829" t="n">
        <f aca="false">C16</f>
        <v>0.0216742076161843</v>
      </c>
      <c r="D80" s="829" t="n">
        <f aca="false">D16</f>
        <v>0.0133242836449752</v>
      </c>
      <c r="E80" s="829"/>
      <c r="F80" s="829" t="n">
        <f aca="false">SUM(B80:E80)</f>
        <v>0.0548568743297746</v>
      </c>
      <c r="G80" s="829" t="n">
        <f aca="false">E16</f>
        <v>2.30880969959205E-005</v>
      </c>
      <c r="H80" s="829"/>
      <c r="I80" s="829"/>
    </row>
    <row r="81" customFormat="false" ht="15" hidden="false" customHeight="false" outlineLevel="0" collapsed="false">
      <c r="A81" s="1" t="n">
        <f aca="false">A17</f>
        <v>2005</v>
      </c>
      <c r="B81" s="829" t="n">
        <f aca="false">B17</f>
        <v>0.0214249777603053</v>
      </c>
      <c r="C81" s="829" t="n">
        <f aca="false">C17</f>
        <v>0.0219471405894574</v>
      </c>
      <c r="D81" s="829" t="n">
        <f aca="false">D17</f>
        <v>0.0139618318212355</v>
      </c>
      <c r="E81" s="829"/>
      <c r="F81" s="829" t="n">
        <f aca="false">SUM(B81:E81)</f>
        <v>0.0573339501709982</v>
      </c>
      <c r="G81" s="829" t="n">
        <f aca="false">E17</f>
        <v>6.64758507150565E-005</v>
      </c>
      <c r="H81" s="829"/>
      <c r="I81" s="829"/>
    </row>
    <row r="82" customFormat="false" ht="15" hidden="false" customHeight="false" outlineLevel="0" collapsed="false">
      <c r="A82" s="1" t="n">
        <f aca="false">A18</f>
        <v>2006</v>
      </c>
      <c r="B82" s="829" t="n">
        <f aca="false">B18</f>
        <v>0.0252575877444441</v>
      </c>
      <c r="C82" s="829" t="n">
        <f aca="false">C18</f>
        <v>0.0212196799431274</v>
      </c>
      <c r="D82" s="829" t="n">
        <f aca="false">D18</f>
        <v>0.0141131235333867</v>
      </c>
      <c r="E82" s="829"/>
      <c r="F82" s="829" t="n">
        <f aca="false">SUM(B82:E82)</f>
        <v>0.0605903912209582</v>
      </c>
      <c r="G82" s="829" t="n">
        <f aca="false">E18</f>
        <v>0.000401428799431498</v>
      </c>
      <c r="H82" s="829"/>
      <c r="I82" s="829"/>
    </row>
    <row r="83" customFormat="false" ht="15" hidden="false" customHeight="false" outlineLevel="0" collapsed="false">
      <c r="A83" s="1" t="n">
        <f aca="false">A19</f>
        <v>2007</v>
      </c>
      <c r="B83" s="829" t="n">
        <f aca="false">B19</f>
        <v>0.0385047966381489</v>
      </c>
      <c r="C83" s="829" t="n">
        <f aca="false">C19</f>
        <v>0.0209548679959935</v>
      </c>
      <c r="D83" s="829" t="n">
        <f aca="false">D19</f>
        <v>0.0149068047295749</v>
      </c>
      <c r="E83" s="829"/>
      <c r="F83" s="829" t="n">
        <f aca="false">SUM(B83:E83)</f>
        <v>0.0743664693637173</v>
      </c>
      <c r="G83" s="829" t="n">
        <f aca="false">E19</f>
        <v>0.000737928817183578</v>
      </c>
      <c r="H83" s="829"/>
      <c r="I83" s="829"/>
    </row>
    <row r="84" customFormat="false" ht="15" hidden="false" customHeight="false" outlineLevel="0" collapsed="false">
      <c r="A84" s="1" t="n">
        <f aca="false">A20</f>
        <v>2008</v>
      </c>
      <c r="B84" s="829" t="n">
        <f aca="false">B20</f>
        <v>0.0368508016736982</v>
      </c>
      <c r="C84" s="829" t="n">
        <f aca="false">C20</f>
        <v>0.0204392279016501</v>
      </c>
      <c r="D84" s="829" t="n">
        <f aca="false">D20</f>
        <v>0.0145730376476074</v>
      </c>
      <c r="E84" s="829"/>
      <c r="F84" s="829" t="n">
        <f aca="false">SUM(B84:E84)</f>
        <v>0.0718630672229557</v>
      </c>
      <c r="G84" s="829" t="n">
        <f aca="false">E20</f>
        <v>0.000971980550364607</v>
      </c>
      <c r="H84" s="829"/>
      <c r="I84" s="829"/>
    </row>
    <row r="85" customFormat="false" ht="15" hidden="false" customHeight="false" outlineLevel="0" collapsed="false">
      <c r="A85" s="1" t="n">
        <f aca="false">A21</f>
        <v>2009</v>
      </c>
      <c r="B85" s="829" t="n">
        <f aca="false">B21</f>
        <v>0.0507701371819389</v>
      </c>
      <c r="C85" s="829" t="n">
        <f aca="false">C21</f>
        <v>0.0203921181346288</v>
      </c>
      <c r="D85" s="829" t="n">
        <f aca="false">D21</f>
        <v>0.0146173597980544</v>
      </c>
      <c r="E85" s="829"/>
      <c r="F85" s="829" t="n">
        <f aca="false">SUM(B85:E85)</f>
        <v>0.0857796151146221</v>
      </c>
      <c r="G85" s="829" t="n">
        <f aca="false">E21</f>
        <v>0.00680095700317286</v>
      </c>
      <c r="H85" s="829"/>
      <c r="I85" s="829"/>
    </row>
    <row r="86" customFormat="false" ht="15" hidden="false" customHeight="false" outlineLevel="0" collapsed="false">
      <c r="A86" s="1" t="n">
        <f aca="false">A22</f>
        <v>2010</v>
      </c>
      <c r="B86" s="829" t="n">
        <f aca="false">B22</f>
        <v>0.0504873115779599</v>
      </c>
      <c r="C86" s="829" t="n">
        <f aca="false">C22</f>
        <v>0.0206407631065506</v>
      </c>
      <c r="D86" s="829" t="n">
        <f aca="false">D22</f>
        <v>0.0147442218942046</v>
      </c>
      <c r="E86" s="829" t="n">
        <f aca="false">F22</f>
        <v>4.78419683827532E-005</v>
      </c>
      <c r="F86" s="829" t="n">
        <f aca="false">SUM(B86:E86)</f>
        <v>0.0859201385470978</v>
      </c>
      <c r="G86" s="829" t="n">
        <f aca="false">E22</f>
        <v>0.00524439899269864</v>
      </c>
      <c r="H86" s="829"/>
      <c r="I86" s="829"/>
    </row>
    <row r="87" customFormat="false" ht="15" hidden="false" customHeight="false" outlineLevel="0" collapsed="false">
      <c r="A87" s="1" t="n">
        <f aca="false">A23</f>
        <v>2011</v>
      </c>
      <c r="B87" s="829" t="n">
        <f aca="false">B23</f>
        <v>0.051623947009386</v>
      </c>
      <c r="C87" s="829" t="n">
        <f aca="false">C23</f>
        <v>0.0210555255476486</v>
      </c>
      <c r="D87" s="829" t="n">
        <f aca="false">D23</f>
        <v>0.0148856065446608</v>
      </c>
      <c r="E87" s="829" t="n">
        <f aca="false">F23</f>
        <v>0.00127650660654248</v>
      </c>
      <c r="F87" s="829" t="n">
        <f aca="false">SUM(B87:E87)</f>
        <v>0.0888415857082379</v>
      </c>
      <c r="G87" s="829" t="n">
        <f aca="false">E23</f>
        <v>0.00506588207799855</v>
      </c>
      <c r="H87" s="829"/>
      <c r="I87" s="829"/>
    </row>
    <row r="88" customFormat="false" ht="15" hidden="false" customHeight="false" outlineLevel="0" collapsed="false">
      <c r="A88" s="1" t="n">
        <f aca="false">A24</f>
        <v>2012</v>
      </c>
      <c r="B88" s="829" t="n">
        <f aca="false">B24</f>
        <v>0.055778278265298</v>
      </c>
      <c r="C88" s="829" t="n">
        <f aca="false">C24</f>
        <v>0.0224400989125377</v>
      </c>
      <c r="D88" s="829" t="n">
        <f aca="false">D24</f>
        <v>0.0155583049965991</v>
      </c>
      <c r="E88" s="829" t="n">
        <f aca="false">F24</f>
        <v>0.000474495124682221</v>
      </c>
      <c r="F88" s="829" t="n">
        <f aca="false">SUM(B88:E88)</f>
        <v>0.094251177299117</v>
      </c>
      <c r="G88" s="829" t="n">
        <f aca="false">E24</f>
        <v>0.00657689666047515</v>
      </c>
      <c r="H88" s="829"/>
      <c r="I88" s="829"/>
    </row>
    <row r="89" customFormat="false" ht="15" hidden="false" customHeight="false" outlineLevel="0" collapsed="false">
      <c r="A89" s="1" t="n">
        <f aca="false">A25</f>
        <v>2013</v>
      </c>
      <c r="B89" s="829" t="n">
        <f aca="false">B25</f>
        <v>0.0576719027752101</v>
      </c>
      <c r="C89" s="829" t="n">
        <f aca="false">C25</f>
        <v>0.0223318530313047</v>
      </c>
      <c r="D89" s="829" t="n">
        <f aca="false">D25</f>
        <v>0.0159148002617685</v>
      </c>
      <c r="E89" s="829" t="n">
        <f aca="false">F25</f>
        <v>0.00122193042080368</v>
      </c>
      <c r="F89" s="829" t="n">
        <f aca="false">SUM(B89:E89)</f>
        <v>0.0971404864890869</v>
      </c>
      <c r="G89" s="829" t="n">
        <f aca="false">E25</f>
        <v>0.00683124675183988</v>
      </c>
      <c r="H89" s="829"/>
      <c r="I89" s="829"/>
    </row>
    <row r="90" customFormat="false" ht="15" hidden="false" customHeight="false" outlineLevel="0" collapsed="false">
      <c r="A90" s="1" t="n">
        <f aca="false">A26</f>
        <v>2014</v>
      </c>
      <c r="B90" s="829" t="n">
        <f aca="false">B26</f>
        <v>0.0542098068652894</v>
      </c>
      <c r="C90" s="829" t="n">
        <f aca="false">C26</f>
        <v>0.0225793750807335</v>
      </c>
      <c r="D90" s="829" t="n">
        <f aca="false">D26</f>
        <v>0.015871302582137</v>
      </c>
      <c r="E90" s="829" t="n">
        <f aca="false">F26</f>
        <v>0.0016327062141725</v>
      </c>
      <c r="F90" s="829" t="n">
        <f aca="false">SUM(B90:E90)</f>
        <v>0.0942931907423325</v>
      </c>
      <c r="G90" s="829" t="n">
        <f aca="false">E26</f>
        <v>0.00838241527111434</v>
      </c>
      <c r="H90" s="829"/>
      <c r="I90" s="829"/>
    </row>
    <row r="91" customFormat="false" ht="15" hidden="false" customHeight="false" outlineLevel="0" collapsed="false">
      <c r="A91" s="1" t="n">
        <f aca="false">A27</f>
        <v>2015</v>
      </c>
      <c r="B91" s="829" t="n">
        <f aca="false">B27</f>
        <v>0.0564297158299164</v>
      </c>
      <c r="C91" s="829" t="n">
        <f aca="false">C27</f>
        <v>0.0236426052651485</v>
      </c>
      <c r="D91" s="829" t="n">
        <f aca="false">D27</f>
        <v>0.0160551081025211</v>
      </c>
      <c r="E91" s="829" t="n">
        <f aca="false">F27</f>
        <v>0.00174808358257101</v>
      </c>
      <c r="F91" s="829" t="n">
        <f aca="false">SUM(B91:E91)</f>
        <v>0.097875512780157</v>
      </c>
      <c r="G91" s="829" t="n">
        <f aca="false">E27</f>
        <v>0.00893120932488722</v>
      </c>
      <c r="H91" s="829"/>
      <c r="I91" s="829"/>
    </row>
    <row r="92" customFormat="false" ht="15" hidden="false" customHeight="false" outlineLevel="0" collapsed="false">
      <c r="A92" s="1" t="n">
        <f aca="false">A28</f>
        <v>2016</v>
      </c>
      <c r="B92" s="829" t="n">
        <f aca="false">B28</f>
        <v>0.0546875274954749</v>
      </c>
      <c r="C92" s="829" t="n">
        <f aca="false">C28</f>
        <v>0.021229363568432</v>
      </c>
      <c r="D92" s="829" t="n">
        <f aca="false">D28</f>
        <v>0.0115333980628038</v>
      </c>
      <c r="E92" s="829" t="n">
        <f aca="false">F28</f>
        <v>0.00171059175545749</v>
      </c>
      <c r="F92" s="829" t="n">
        <f aca="false">SUM(B92:E92)</f>
        <v>0.0891608808821682</v>
      </c>
      <c r="G92" s="829" t="n">
        <f aca="false">E28</f>
        <v>0.00880758496959625</v>
      </c>
      <c r="H92" s="829" t="n">
        <f aca="false">G28</f>
        <v>0.00380628674306788</v>
      </c>
      <c r="I92" s="829" t="n">
        <f aca="false">I28</f>
        <v>0.0125824966432202</v>
      </c>
    </row>
    <row r="93" customFormat="false" ht="15" hidden="false" customHeight="false" outlineLevel="0" collapsed="false">
      <c r="A93" s="1" t="n">
        <f aca="false">A29</f>
        <v>2017</v>
      </c>
      <c r="B93" s="829" t="n">
        <f aca="false">B29</f>
        <v>0.055590096056665</v>
      </c>
      <c r="C93" s="829" t="n">
        <f aca="false">C29</f>
        <v>0.0213651993139403</v>
      </c>
      <c r="D93" s="829" t="n">
        <f aca="false">D29</f>
        <v>0.00831240027666563</v>
      </c>
      <c r="E93" s="829" t="n">
        <f aca="false">F29</f>
        <v>0.00110535464672093</v>
      </c>
      <c r="F93" s="829" t="n">
        <f aca="false">SUM(B93:E93)</f>
        <v>0.0863730502939919</v>
      </c>
      <c r="G93" s="829" t="n">
        <f aca="false">E29</f>
        <v>0.0103596875406384</v>
      </c>
      <c r="H93" s="829" t="n">
        <f aca="false">G29</f>
        <v>0.0076045316092612</v>
      </c>
      <c r="I93" s="829" t="n">
        <f aca="false">I29</f>
        <v>0.00420963634008006</v>
      </c>
    </row>
    <row r="94" customFormat="false" ht="15" hidden="false" customHeight="false" outlineLevel="0" collapsed="false">
      <c r="A94" s="1" t="n">
        <f aca="false">A30</f>
        <v>2018</v>
      </c>
      <c r="B94" s="829" t="n">
        <f aca="false">B30</f>
        <v>0.0507048464919942</v>
      </c>
      <c r="C94" s="829" t="n">
        <f aca="false">C30</f>
        <v>0.0267202526606726</v>
      </c>
      <c r="D94" s="829" t="n">
        <f aca="false">D30</f>
        <v>0.00633564870628469</v>
      </c>
      <c r="E94" s="829" t="n">
        <f aca="false">F30</f>
        <v>0.00032264996405818</v>
      </c>
      <c r="F94" s="829" t="n">
        <f aca="false">SUM(B94:E94)</f>
        <v>0.0840833978230097</v>
      </c>
      <c r="G94" s="829" t="n">
        <f aca="false">E30</f>
        <v>0.0125788869347148</v>
      </c>
      <c r="H94" s="829" t="n">
        <f aca="false">G30</f>
        <v>0.0121336604883658</v>
      </c>
      <c r="I94" s="829"/>
    </row>
    <row r="95" customFormat="false" ht="15" hidden="false" customHeight="false" outlineLevel="0" collapsed="false">
      <c r="A95" s="1" t="n">
        <f aca="false">A31</f>
        <v>2019</v>
      </c>
      <c r="B95" s="829" t="n">
        <f aca="false">B31</f>
        <v>0.045482634112618</v>
      </c>
      <c r="C95" s="829" t="n">
        <f aca="false">C31</f>
        <v>0.025992153910621</v>
      </c>
      <c r="D95" s="829" t="n">
        <f aca="false">D31</f>
        <v>0.00305405926972561</v>
      </c>
      <c r="E95" s="829" t="n">
        <f aca="false">F31</f>
        <v>0.000222538509524099</v>
      </c>
      <c r="F95" s="829" t="n">
        <f aca="false">SUM(B95:E95)</f>
        <v>0.0747513858024887</v>
      </c>
      <c r="G95" s="829" t="n">
        <f aca="false">E31</f>
        <v>0.0141101595741833</v>
      </c>
      <c r="H95" s="829" t="n">
        <f aca="false">G31</f>
        <v>0.0149805572266182</v>
      </c>
      <c r="I95" s="829"/>
    </row>
    <row r="98" customFormat="false" ht="15" hidden="false" customHeight="false" outlineLevel="0" collapsed="false">
      <c r="B98" s="829" t="n">
        <f aca="false">B91-B95</f>
        <v>0.0109470817172985</v>
      </c>
      <c r="C98" s="829" t="n">
        <f aca="false">C91-C95</f>
        <v>-0.00234954864547253</v>
      </c>
      <c r="D98" s="829" t="n">
        <f aca="false">D91-D95</f>
        <v>0.0130010488327954</v>
      </c>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selection pane="topLeft" activeCell="V20" activeCellId="0" sqref="V20"/>
    </sheetView>
  </sheetViews>
  <sheetFormatPr defaultColWidth="10.445312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3"/>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1123</v>
      </c>
      <c r="E4" s="584" t="s">
        <v>1124</v>
      </c>
      <c r="F4" s="584" t="s">
        <v>1125</v>
      </c>
      <c r="G4" s="584" t="s">
        <v>1126</v>
      </c>
      <c r="H4" s="584" t="s">
        <v>1127</v>
      </c>
      <c r="I4" s="584" t="s">
        <v>1128</v>
      </c>
      <c r="J4" s="584" t="s">
        <v>1129</v>
      </c>
      <c r="K4" s="584" t="s">
        <v>1130</v>
      </c>
      <c r="L4" s="584" t="s">
        <v>1131</v>
      </c>
      <c r="M4" s="584" t="s">
        <v>1132</v>
      </c>
      <c r="N4" s="584" t="s">
        <v>1133</v>
      </c>
      <c r="O4" s="584"/>
      <c r="P4" s="584" t="s">
        <v>1134</v>
      </c>
      <c r="Q4" s="584" t="s">
        <v>1135</v>
      </c>
      <c r="R4" s="584" t="s">
        <v>1096</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26" t="n">
        <v>1993</v>
      </c>
      <c r="D6" s="827" t="n">
        <f aca="false">'Resultado ANSES por etapas'!M5</f>
        <v>0.0526370931910582</v>
      </c>
      <c r="E6" s="827"/>
      <c r="F6" s="827" t="n">
        <f aca="false">'Resultado ANSES por etapas'!Q5-'Cuenta Ahorro-Inversión-Financi'!CK9/1000/'PIB corriente base 1993'!V8</f>
        <v>0.00528862853440302</v>
      </c>
      <c r="G6" s="827" t="n">
        <f aca="false">'Resultado ANSES por etapas'!P5</f>
        <v>0.00148990999175634</v>
      </c>
      <c r="H6" s="827" t="n">
        <f aca="false">'Resultado ANSES por etapas'!N5</f>
        <v>0.011642303700453</v>
      </c>
      <c r="I6" s="827"/>
      <c r="J6" s="827"/>
      <c r="K6" s="827" t="n">
        <f aca="false">'Cuenta Ahorro-Inversión-Financi'!CK9/1000/'PIB corriente base 1993'!V8</f>
        <v>0</v>
      </c>
      <c r="L6" s="827"/>
      <c r="M6" s="827" t="n">
        <f aca="false">SUM(D6:L6)</f>
        <v>0.0710579354176705</v>
      </c>
      <c r="N6" s="827"/>
      <c r="O6" s="826" t="n">
        <v>1993</v>
      </c>
      <c r="P6" s="827" t="n">
        <f aca="false">K6+J6+I6</f>
        <v>0</v>
      </c>
      <c r="Q6" s="827" t="n">
        <f aca="false">D6+H6+F6+G6+E6</f>
        <v>0.0710579354176705</v>
      </c>
      <c r="R6" s="827"/>
    </row>
    <row r="7" customFormat="false" ht="15.75" hidden="false" customHeight="false" outlineLevel="0" collapsed="false">
      <c r="C7" s="831" t="n">
        <v>1994</v>
      </c>
      <c r="D7" s="830" t="n">
        <f aca="false">'Resultado ANSES por etapas'!M6</f>
        <v>0.0564644262203535</v>
      </c>
      <c r="E7" s="830"/>
      <c r="F7" s="830" t="n">
        <f aca="false">'Resultado ANSES por etapas'!Q6-'Cuenta Ahorro-Inversión-Financi'!CK10/1000/'PIB corriente base 1993'!V9</f>
        <v>0.00677530886936053</v>
      </c>
      <c r="G7" s="830" t="n">
        <f aca="false">'Resultado ANSES por etapas'!P6</f>
        <v>0.00114625800779694</v>
      </c>
      <c r="H7" s="830" t="n">
        <f aca="false">'Resultado ANSES por etapas'!N6-K7</f>
        <v>0.0107240840715422</v>
      </c>
      <c r="I7" s="830"/>
      <c r="J7" s="830"/>
      <c r="K7" s="830" t="n">
        <f aca="false">440721/1000/'PIB corriente base 1993'!V9</f>
        <v>0.00171193703223306</v>
      </c>
      <c r="L7" s="830"/>
      <c r="M7" s="830" t="n">
        <f aca="false">SUM(D7:L7)</f>
        <v>0.0768220142012863</v>
      </c>
      <c r="N7" s="830"/>
      <c r="O7" s="831" t="n">
        <v>1994</v>
      </c>
      <c r="P7" s="830" t="n">
        <f aca="false">K7+J7+I7</f>
        <v>0.00171193703223306</v>
      </c>
      <c r="Q7" s="830" t="n">
        <f aca="false">D7+H7+F7+G7+E7</f>
        <v>0.0751100771690532</v>
      </c>
      <c r="R7" s="830"/>
    </row>
    <row r="8" customFormat="false" ht="15.75" hidden="false" customHeight="false" outlineLevel="0" collapsed="false">
      <c r="C8" s="831" t="n">
        <v>1995</v>
      </c>
      <c r="D8" s="827" t="n">
        <f aca="false">'Resultado ANSES por etapas'!M7</f>
        <v>0.0536446703997522</v>
      </c>
      <c r="E8" s="827"/>
      <c r="F8" s="827" t="n">
        <f aca="false">'Resultado ANSES por etapas'!Q7-'Cuenta Ahorro-Inversión-Financi'!CK11/1000/'PIB corriente base 1993'!V10</f>
        <v>0.00663835790735207</v>
      </c>
      <c r="G8" s="827" t="n">
        <f aca="false">'Resultado ANSES por etapas'!P7</f>
        <v>0.00119215327226036</v>
      </c>
      <c r="H8" s="827" t="n">
        <f aca="false">'Resultado ANSES por etapas'!N7-K8</f>
        <v>0.00337186702375018</v>
      </c>
      <c r="I8" s="827"/>
      <c r="J8" s="827"/>
      <c r="K8" s="827" t="n">
        <f aca="false">511938.578/1000/'PIB corriente base 1993'!V10</f>
        <v>0.00198401285923971</v>
      </c>
      <c r="L8" s="827"/>
      <c r="M8" s="827" t="n">
        <f aca="false">SUM(D8:L8)</f>
        <v>0.0668310614623545</v>
      </c>
      <c r="N8" s="827"/>
      <c r="O8" s="831" t="n">
        <v>1995</v>
      </c>
      <c r="P8" s="827" t="n">
        <f aca="false">K8+J8+I8</f>
        <v>0.00198401285923971</v>
      </c>
      <c r="Q8" s="827" t="n">
        <f aca="false">D8+H8+F8+G8+E8</f>
        <v>0.0648470486031148</v>
      </c>
      <c r="R8" s="827"/>
    </row>
    <row r="9" customFormat="false" ht="15.75" hidden="false" customHeight="false" outlineLevel="0" collapsed="false">
      <c r="C9" s="831" t="n">
        <v>1996</v>
      </c>
      <c r="D9" s="830" t="n">
        <f aca="false">'Resultado ANSES por etapas'!M8</f>
        <v>0.0531622526632245</v>
      </c>
      <c r="E9" s="830"/>
      <c r="F9" s="830" t="n">
        <f aca="false">'Resultado ANSES por etapas'!Q8-'Cuenta Ahorro-Inversión-Financi'!CK12/1000/'PIB corriente base 1993'!V11</f>
        <v>0.00548958497297599</v>
      </c>
      <c r="G9" s="830" t="n">
        <f aca="false">'Resultado ANSES por etapas'!P8</f>
        <v>0.00171031345294353</v>
      </c>
      <c r="H9" s="830" t="n">
        <f aca="false">'Resultado ANSES por etapas'!N8</f>
        <v>0.00600272468782676</v>
      </c>
      <c r="I9" s="830"/>
      <c r="J9" s="830"/>
      <c r="K9" s="830" t="n">
        <f aca="false">'Cuenta Ahorro-Inversión-Financi'!CK12/1000/'PIB corriente base 1993'!V11</f>
        <v>0.00197117400964931</v>
      </c>
      <c r="L9" s="830"/>
      <c r="M9" s="830" t="n">
        <f aca="false">SUM(D9:L9)</f>
        <v>0.0683360497866201</v>
      </c>
      <c r="N9" s="830"/>
      <c r="O9" s="831" t="n">
        <v>1996</v>
      </c>
      <c r="P9" s="830" t="n">
        <f aca="false">K9+J9+I9</f>
        <v>0.00197117400964931</v>
      </c>
      <c r="Q9" s="830" t="n">
        <f aca="false">D9+H9+F9+G9+E9</f>
        <v>0.0663648757769708</v>
      </c>
      <c r="R9" s="830"/>
    </row>
    <row r="10" customFormat="false" ht="15.75" hidden="false" customHeight="false" outlineLevel="0" collapsed="false">
      <c r="C10" s="831" t="n">
        <v>1997</v>
      </c>
      <c r="D10" s="827" t="n">
        <f aca="false">'Resultado ANSES por etapas'!M9</f>
        <v>0.0500659666860674</v>
      </c>
      <c r="E10" s="827"/>
      <c r="F10" s="827" t="n">
        <f aca="false">'Resultado ANSES por etapas'!Q9-'Cuenta Ahorro-Inversión-Financi'!CK13/1000/'PIB corriente base 1993'!V12</f>
        <v>0.00535137182690383</v>
      </c>
      <c r="G10" s="827" t="n">
        <f aca="false">'Resultado ANSES por etapas'!P9</f>
        <v>0.00113559901995312</v>
      </c>
      <c r="H10" s="827" t="n">
        <f aca="false">'Resultado ANSES por etapas'!N9</f>
        <v>0.00539903006587295</v>
      </c>
      <c r="I10" s="827"/>
      <c r="J10" s="827"/>
      <c r="K10" s="827" t="n">
        <f aca="false">'Cuenta Ahorro-Inversión-Financi'!CK13/1000/'PIB corriente base 1993'!V12</f>
        <v>0.00186608828792662</v>
      </c>
      <c r="L10" s="827"/>
      <c r="M10" s="827" t="n">
        <f aca="false">SUM(D10:L10)</f>
        <v>0.0638180558867239</v>
      </c>
      <c r="N10" s="827"/>
      <c r="O10" s="831" t="n">
        <v>1997</v>
      </c>
      <c r="P10" s="827" t="n">
        <f aca="false">K10+J10+I10</f>
        <v>0.00186608828792662</v>
      </c>
      <c r="Q10" s="827" t="n">
        <f aca="false">D10+H10+F10+G10+E10</f>
        <v>0.0619519675987973</v>
      </c>
      <c r="R10" s="827"/>
    </row>
    <row r="11" customFormat="false" ht="15.75" hidden="false" customHeight="false" outlineLevel="0" collapsed="false">
      <c r="C11" s="831" t="n">
        <v>1998</v>
      </c>
      <c r="D11" s="830" t="n">
        <f aca="false">'Resultado ANSES por etapas'!M10</f>
        <v>0.0491903555478579</v>
      </c>
      <c r="E11" s="830"/>
      <c r="F11" s="830" t="n">
        <f aca="false">'Resultado ANSES por etapas'!Q10-'Cuenta Ahorro-Inversión-Financi'!CK14/1000/'PIB corriente base 1993'!V13</f>
        <v>0.00640189766542226</v>
      </c>
      <c r="G11" s="830" t="n">
        <f aca="false">'Resultado ANSES por etapas'!P10</f>
        <v>0.00102481315686651</v>
      </c>
      <c r="H11" s="830" t="n">
        <f aca="false">'Resultado ANSES por etapas'!N10</f>
        <v>0.00477034993055969</v>
      </c>
      <c r="I11" s="830"/>
      <c r="J11" s="830"/>
      <c r="K11" s="830" t="n">
        <f aca="false">'Cuenta Ahorro-Inversión-Financi'!CK14/1000/'PIB corriente base 1993'!V13</f>
        <v>0.00177883711250943</v>
      </c>
      <c r="L11" s="830"/>
      <c r="M11" s="830" t="n">
        <f aca="false">SUM(D11:L11)</f>
        <v>0.0631662534132158</v>
      </c>
      <c r="N11" s="830"/>
      <c r="O11" s="831" t="n">
        <v>1998</v>
      </c>
      <c r="P11" s="830" t="n">
        <f aca="false">K11+J11+I11</f>
        <v>0.00177883711250943</v>
      </c>
      <c r="Q11" s="830" t="n">
        <f aca="false">D11+H11+F11+G11+E11</f>
        <v>0.0613874163007064</v>
      </c>
      <c r="R11" s="830"/>
    </row>
    <row r="12" customFormat="false" ht="15.75" hidden="false" customHeight="false" outlineLevel="0" collapsed="false">
      <c r="C12" s="831" t="n">
        <v>1999</v>
      </c>
      <c r="D12" s="827" t="n">
        <f aca="false">'Resultado ANSES por etapas'!M11</f>
        <v>0.0517496903211291</v>
      </c>
      <c r="E12" s="827"/>
      <c r="F12" s="827" t="n">
        <f aca="false">'Resultado ANSES por etapas'!Q11-'Cuenta Ahorro-Inversión-Financi'!CK15/1000/'PIB corriente base 1993'!V14</f>
        <v>0.00677350480675918</v>
      </c>
      <c r="G12" s="827" t="n">
        <f aca="false">'Resultado ANSES por etapas'!P11</f>
        <v>0.000859047973636882</v>
      </c>
      <c r="H12" s="827" t="n">
        <f aca="false">'Resultado ANSES por etapas'!N11</f>
        <v>0.00587322823822414</v>
      </c>
      <c r="I12" s="827"/>
      <c r="J12" s="827"/>
      <c r="K12" s="827" t="n">
        <f aca="false">'Cuenta Ahorro-Inversión-Financi'!CK15/1000/'PIB corriente base 1993'!V14</f>
        <v>0.00190807349849257</v>
      </c>
      <c r="L12" s="827"/>
      <c r="M12" s="827" t="n">
        <f aca="false">SUM(D12:L12)</f>
        <v>0.0671635448382419</v>
      </c>
      <c r="N12" s="827"/>
      <c r="O12" s="831" t="n">
        <v>1999</v>
      </c>
      <c r="P12" s="827" t="n">
        <f aca="false">K12+J12+I12</f>
        <v>0.00190807349849257</v>
      </c>
      <c r="Q12" s="827" t="n">
        <f aca="false">D12+H12+F12+G12+E12</f>
        <v>0.0652554713397493</v>
      </c>
      <c r="R12" s="827"/>
    </row>
    <row r="13" customFormat="false" ht="15.75" hidden="false" customHeight="false" outlineLevel="0" collapsed="false">
      <c r="C13" s="831" t="n">
        <v>2000</v>
      </c>
      <c r="D13" s="830" t="n">
        <f aca="false">'Resultado ANSES por etapas'!M12</f>
        <v>0.0518501300658357</v>
      </c>
      <c r="E13" s="830"/>
      <c r="F13" s="830" t="n">
        <f aca="false">'Resultado ANSES por etapas'!Q12-'Cuenta Ahorro-Inversión-Financi'!CK16/1000/'PIB corriente base 1993'!V15</f>
        <v>0.0060714693918217</v>
      </c>
      <c r="G13" s="830" t="n">
        <f aca="false">'Resultado ANSES por etapas'!P12</f>
        <v>0.000763899147434019</v>
      </c>
      <c r="H13" s="830" t="n">
        <f aca="false">'Resultado ANSES por etapas'!N12</f>
        <v>0.00613084017631838</v>
      </c>
      <c r="I13" s="830"/>
      <c r="J13" s="830"/>
      <c r="K13" s="830" t="n">
        <f aca="false">'Cuenta Ahorro-Inversión-Financi'!CK16/1000/'PIB corriente base 1993'!V15</f>
        <v>0.00235232403726366</v>
      </c>
      <c r="L13" s="830"/>
      <c r="M13" s="830" t="n">
        <f aca="false">SUM(D13:L13)</f>
        <v>0.0671686628186734</v>
      </c>
      <c r="N13" s="830"/>
      <c r="O13" s="831" t="n">
        <v>2000</v>
      </c>
      <c r="P13" s="830" t="n">
        <f aca="false">K13+J13+I13</f>
        <v>0.00235232403726366</v>
      </c>
      <c r="Q13" s="830" t="n">
        <f aca="false">D13+H13+F13+G13+E13</f>
        <v>0.0648163387814097</v>
      </c>
      <c r="R13" s="830"/>
    </row>
    <row r="14" customFormat="false" ht="15.75" hidden="false" customHeight="false" outlineLevel="0" collapsed="false">
      <c r="C14" s="831" t="n">
        <v>2001</v>
      </c>
      <c r="D14" s="827" t="n">
        <f aca="false">'Resultado ANSES por etapas'!M13</f>
        <v>0.0525215308255347</v>
      </c>
      <c r="E14" s="827"/>
      <c r="F14" s="827" t="n">
        <f aca="false">'Resultado ANSES por etapas'!Q13-'Cuenta Ahorro-Inversión-Financi'!CK17/1000/'PIB corriente base 1993'!V16</f>
        <v>0.00598162765871912</v>
      </c>
      <c r="G14" s="827" t="n">
        <f aca="false">'Resultado ANSES por etapas'!P13</f>
        <v>0.000688492360671558</v>
      </c>
      <c r="H14" s="827" t="n">
        <f aca="false">'Resultado ANSES por etapas'!N13</f>
        <v>0.00621669920590712</v>
      </c>
      <c r="I14" s="827"/>
      <c r="J14" s="827"/>
      <c r="K14" s="827" t="n">
        <f aca="false">'Cuenta Ahorro-Inversión-Financi'!CK17/1000/'PIB corriente base 1993'!V16</f>
        <v>0.00252454580040404</v>
      </c>
      <c r="L14" s="827"/>
      <c r="M14" s="827" t="n">
        <f aca="false">SUM(D14:L14)</f>
        <v>0.0679328958512366</v>
      </c>
      <c r="N14" s="827"/>
      <c r="O14" s="831" t="n">
        <v>2001</v>
      </c>
      <c r="P14" s="827" t="n">
        <f aca="false">K14+J14+I14</f>
        <v>0.00252454580040404</v>
      </c>
      <c r="Q14" s="827" t="n">
        <f aca="false">D14+H14+F14+G14+E14</f>
        <v>0.0654083500508325</v>
      </c>
      <c r="R14" s="827"/>
    </row>
    <row r="15" customFormat="false" ht="15.75" hidden="false" customHeight="false" outlineLevel="0" collapsed="false">
      <c r="C15" s="831" t="n">
        <v>2002</v>
      </c>
      <c r="D15" s="830" t="n">
        <f aca="false">'Resultado ANSES por etapas'!M14</f>
        <v>0.0443421627477132</v>
      </c>
      <c r="E15" s="830"/>
      <c r="F15" s="830" t="n">
        <f aca="false">'Resultado ANSES por etapas'!Q14-'Cuenta Ahorro-Inversión-Financi'!CK18/1000/'PIB corriente base 1993'!V17</f>
        <v>0.00488186523761301</v>
      </c>
      <c r="G15" s="830" t="n">
        <f aca="false">'Resultado ANSES por etapas'!P14</f>
        <v>0.000674115579920293</v>
      </c>
      <c r="H15" s="830" t="n">
        <f aca="false">'Resultado ANSES por etapas'!N14</f>
        <v>0.00678591755475529</v>
      </c>
      <c r="I15" s="830"/>
      <c r="J15" s="830"/>
      <c r="K15" s="830" t="n">
        <f aca="false">'Cuenta Ahorro-Inversión-Financi'!CK18/1000/'PIB corriente base 1993'!V17</f>
        <v>0.00191686270135462</v>
      </c>
      <c r="L15" s="830"/>
      <c r="M15" s="830" t="n">
        <f aca="false">SUM(D15:L15)</f>
        <v>0.0586009238213564</v>
      </c>
      <c r="N15" s="830"/>
      <c r="O15" s="831" t="n">
        <v>2002</v>
      </c>
      <c r="P15" s="830" t="n">
        <f aca="false">K15+J15+I15</f>
        <v>0.00191686270135462</v>
      </c>
      <c r="Q15" s="830" t="n">
        <f aca="false">D15+H15+F15+G15+E15</f>
        <v>0.0566840611200018</v>
      </c>
      <c r="R15" s="830"/>
    </row>
    <row r="16" customFormat="false" ht="15.75" hidden="false" customHeight="false" outlineLevel="0" collapsed="false">
      <c r="C16" s="831" t="n">
        <v>2003</v>
      </c>
      <c r="D16" s="827" t="n">
        <f aca="false">'Resultado ANSES por etapas'!M15</f>
        <v>0.0414155099169041</v>
      </c>
      <c r="E16" s="827"/>
      <c r="F16" s="827" t="n">
        <f aca="false">'Resultado ANSES por etapas'!Q15-'Cuenta Ahorro-Inversión-Financi'!CK19/1000/'PIB corriente base 1993'!V18</f>
        <v>0.00496626973037826</v>
      </c>
      <c r="G16" s="827" t="n">
        <f aca="false">'Resultado ANSES por etapas'!P15</f>
        <v>0.000695611243275441</v>
      </c>
      <c r="H16" s="827" t="n">
        <f aca="false">'Resultado ANSES por etapas'!N15</f>
        <v>0.00815617118660916</v>
      </c>
      <c r="I16" s="827"/>
      <c r="J16" s="827"/>
      <c r="K16" s="827" t="n">
        <f aca="false">'Cuenta Ahorro-Inversión-Financi'!CK19/1000/'PIB corriente base 1993'!V18</f>
        <v>0.00182990573055766</v>
      </c>
      <c r="L16" s="827"/>
      <c r="M16" s="827" t="n">
        <f aca="false">SUM(D16:L16)</f>
        <v>0.0570634678077246</v>
      </c>
      <c r="N16" s="827"/>
      <c r="O16" s="831" t="n">
        <v>2003</v>
      </c>
      <c r="P16" s="827" t="n">
        <f aca="false">K16+J16+I16</f>
        <v>0.00182990573055766</v>
      </c>
      <c r="Q16" s="827" t="n">
        <f aca="false">D16+H16+F16+G16+E16</f>
        <v>0.055233562077167</v>
      </c>
      <c r="R16" s="827"/>
    </row>
    <row r="17" customFormat="false" ht="15.75" hidden="false" customHeight="false" outlineLevel="0" collapsed="false">
      <c r="C17" s="831" t="n">
        <v>2004</v>
      </c>
      <c r="D17" s="830" t="n">
        <f aca="false">'Resultado ANSES por etapas'!M16</f>
        <v>0.036705436096272</v>
      </c>
      <c r="E17" s="830"/>
      <c r="F17" s="830" t="n">
        <f aca="false">'Resultado ANSES por etapas'!Q16-'Cuenta Ahorro-Inversión-Financi'!CK20/1000/'PIB corriente base 2004'!X8</f>
        <v>0.00394853010820825</v>
      </c>
      <c r="G17" s="830" t="n">
        <f aca="false">'Resultado ANSES por etapas'!P16</f>
        <v>0.000620174834207575</v>
      </c>
      <c r="H17" s="830" t="n">
        <f aca="false">'Resultado ANSES por etapas'!N16</f>
        <v>0.00601253522505087</v>
      </c>
      <c r="I17" s="830"/>
      <c r="J17" s="830"/>
      <c r="K17" s="830" t="n">
        <f aca="false">'Cuenta Ahorro-Inversión-Financi'!CK20/1000/'PIB corriente base 2004'!X8</f>
        <v>0.00229369584290455</v>
      </c>
      <c r="L17" s="830" t="n">
        <f aca="false">'Resultado ANSES por etapas'!O16</f>
        <v>0.00147841859387012</v>
      </c>
      <c r="M17" s="830" t="n">
        <f aca="false">SUM(D17:L17)</f>
        <v>0.0510587907005133</v>
      </c>
      <c r="N17" s="830"/>
      <c r="O17" s="831" t="n">
        <v>2004</v>
      </c>
      <c r="P17" s="830" t="n">
        <f aca="false">K17+J17+I17</f>
        <v>0.00229369584290455</v>
      </c>
      <c r="Q17" s="830" t="n">
        <f aca="false">D17+H17+F17+G17+E17</f>
        <v>0.0472866762637386</v>
      </c>
      <c r="R17" s="830" t="n">
        <f aca="false">L17</f>
        <v>0.00147841859387012</v>
      </c>
    </row>
    <row r="18" customFormat="false" ht="15.75" hidden="false" customHeight="false" outlineLevel="0" collapsed="false">
      <c r="C18" s="831" t="n">
        <v>2005</v>
      </c>
      <c r="D18" s="827" t="n">
        <f aca="false">'Resultado ANSES por etapas'!M17</f>
        <v>0.0345505912680116</v>
      </c>
      <c r="E18" s="827"/>
      <c r="F18" s="827" t="n">
        <f aca="false">'Resultado ANSES por etapas'!Q17-'Cuenta Ahorro-Inversión-Financi'!CK21/1000/'PIB corriente base 2004'!X9</f>
        <v>0.0036859532511206</v>
      </c>
      <c r="G18" s="827" t="n">
        <f aca="false">'Resultado ANSES por etapas'!P17</f>
        <v>0.000775276229474887</v>
      </c>
      <c r="H18" s="827" t="n">
        <f aca="false">'Resultado ANSES por etapas'!N17</f>
        <v>0.00717141324245859</v>
      </c>
      <c r="I18" s="827"/>
      <c r="J18" s="827"/>
      <c r="K18" s="827" t="n">
        <f aca="false">'Cuenta Ahorro-Inversión-Financi'!CK21/1000/'PIB corriente base 2004'!X9</f>
        <v>0.00228516213229058</v>
      </c>
      <c r="L18" s="827" t="n">
        <f aca="false">'Resultado ANSES por etapas'!O17</f>
        <v>0.0013544936722026</v>
      </c>
      <c r="M18" s="827" t="n">
        <f aca="false">SUM(D18:L18)</f>
        <v>0.0498228897955588</v>
      </c>
      <c r="N18" s="827"/>
      <c r="O18" s="831" t="n">
        <v>2005</v>
      </c>
      <c r="P18" s="827" t="n">
        <f aca="false">K18+J18+I18</f>
        <v>0.00228516213229058</v>
      </c>
      <c r="Q18" s="827" t="n">
        <f aca="false">D18+H18+F18+G18+E18</f>
        <v>0.0461832339910656</v>
      </c>
      <c r="R18" s="827" t="n">
        <f aca="false">L18</f>
        <v>0.0013544936722026</v>
      </c>
    </row>
    <row r="19" customFormat="false" ht="15.75" hidden="false" customHeight="false" outlineLevel="0" collapsed="false">
      <c r="C19" s="831" t="n">
        <v>2006</v>
      </c>
      <c r="D19" s="830" t="n">
        <f aca="false">'Resultado ANSES por etapas'!M18</f>
        <v>0.0368418871162505</v>
      </c>
      <c r="E19" s="830"/>
      <c r="F19" s="830" t="n">
        <f aca="false">'Resultado ANSES por etapas'!Q18-'Cuenta Ahorro-Inversión-Financi'!CK22/1000/'PIB corriente base 2004'!X10</f>
        <v>0.00348318953028549</v>
      </c>
      <c r="G19" s="830" t="n">
        <f aca="false">'Resultado ANSES por etapas'!P18</f>
        <v>0.000837384263622429</v>
      </c>
      <c r="H19" s="830" t="n">
        <f aca="false">'Resultado ANSES por etapas'!N18</f>
        <v>0.00645013061743081</v>
      </c>
      <c r="I19" s="830"/>
      <c r="J19" s="830"/>
      <c r="K19" s="830" t="n">
        <f aca="false">'Cuenta Ahorro-Inversión-Financi'!CK22/1000/'PIB corriente base 2004'!X10</f>
        <v>0.00278053471164374</v>
      </c>
      <c r="L19" s="830" t="n">
        <f aca="false">'Resultado ANSES por etapas'!O18</f>
        <v>0.001420898634906</v>
      </c>
      <c r="M19" s="830" t="n">
        <f aca="false">SUM(D19:L19)</f>
        <v>0.051814024874139</v>
      </c>
      <c r="N19" s="830"/>
      <c r="O19" s="831" t="n">
        <v>2006</v>
      </c>
      <c r="P19" s="830" t="n">
        <f aca="false">K19+J19+I19</f>
        <v>0.00278053471164374</v>
      </c>
      <c r="Q19" s="830" t="n">
        <f aca="false">D19+H19+F19+G19+E19</f>
        <v>0.0476125915275893</v>
      </c>
      <c r="R19" s="830" t="n">
        <f aca="false">L19</f>
        <v>0.001420898634906</v>
      </c>
    </row>
    <row r="20" customFormat="false" ht="15.75" hidden="false" customHeight="false" outlineLevel="0" collapsed="false">
      <c r="C20" s="831" t="n">
        <v>2007</v>
      </c>
      <c r="D20" s="827" t="n">
        <f aca="false">'Resultado ANSES por etapas'!M19-I20</f>
        <v>0.0354897758968173</v>
      </c>
      <c r="E20" s="827"/>
      <c r="F20" s="827" t="n">
        <f aca="false">'Resultado ANSES por etapas'!Q19-'Cuenta Ahorro-Inversión-Financi'!CK23/1000/'PIB corriente base 2004'!X11</f>
        <v>0.00336372991714323</v>
      </c>
      <c r="G20" s="827" t="n">
        <f aca="false">'Resultado ANSES por etapas'!P19</f>
        <v>0.000934433666315139</v>
      </c>
      <c r="H20" s="827" t="n">
        <f aca="false">'Resultado ANSES por etapas'!N19</f>
        <v>0.00559034382813241</v>
      </c>
      <c r="I20" s="827" t="n">
        <f aca="false">('[2]Versión ordenada'!$F$4+'[2]Versión ordenada'!$F$17)/1000/'PIB corriente base 2004'!X11</f>
        <v>0.0134910799718077</v>
      </c>
      <c r="J20" s="827"/>
      <c r="K20" s="827" t="n">
        <f aca="false">'Cuenta Ahorro-Inversión-Financi'!CK23/1000/'PIB corriente base 2004'!X11</f>
        <v>0.00358001090421268</v>
      </c>
      <c r="L20" s="827" t="n">
        <f aca="false">'Resultado ANSES por etapas'!O19</f>
        <v>0.0018084480471694</v>
      </c>
      <c r="M20" s="827" t="n">
        <f aca="false">SUM(D20:L20)</f>
        <v>0.0642578222315978</v>
      </c>
      <c r="N20" s="827"/>
      <c r="O20" s="831" t="n">
        <v>2007</v>
      </c>
      <c r="P20" s="827" t="n">
        <f aca="false">K20+J20+I20</f>
        <v>0.0170710908760203</v>
      </c>
      <c r="Q20" s="827" t="n">
        <f aca="false">D20+H20+F20+G20+E20</f>
        <v>0.0453782833084081</v>
      </c>
      <c r="R20" s="827" t="n">
        <f aca="false">L20</f>
        <v>0.0018084480471694</v>
      </c>
    </row>
    <row r="21" customFormat="false" ht="15.75" hidden="false" customHeight="false" outlineLevel="0" collapsed="false">
      <c r="C21" s="831" t="n">
        <v>2008</v>
      </c>
      <c r="D21" s="830" t="n">
        <f aca="false">'Resultado ANSES por etapas'!M20-I21</f>
        <v>0.0334896863899083</v>
      </c>
      <c r="E21" s="830" t="n">
        <f aca="false">'Resultado ANSES por etapas'!R20</f>
        <v>0.00116689653702815</v>
      </c>
      <c r="F21" s="830" t="n">
        <f aca="false">'Resultado ANSES por etapas'!Q20-'Cuenta Ahorro-Inversión-Financi'!CK24/1000/'PIB corriente base 2004'!X12</f>
        <v>0.00350523877225053</v>
      </c>
      <c r="G21" s="830" t="n">
        <f aca="false">'Resultado ANSES por etapas'!P20</f>
        <v>0.00110112913760037</v>
      </c>
      <c r="H21" s="830" t="n">
        <f aca="false">'Resultado ANSES por etapas'!N20</f>
        <v>0.00717673059001263</v>
      </c>
      <c r="I21" s="830" t="n">
        <f aca="false">('[2]Versión ordenada'!$G$4+'[2]Versión ordenada'!$G$17)/1000/'PIB corriente base 2004'!X12</f>
        <v>0.0148867850278702</v>
      </c>
      <c r="J21" s="830"/>
      <c r="K21" s="830" t="n">
        <f aca="false">'Cuenta Ahorro-Inversión-Financi'!CK24/1000/'PIB corriente base 2004'!X12</f>
        <v>0.00404947872095714</v>
      </c>
      <c r="L21" s="830" t="n">
        <f aca="false">'Resultado ANSES por etapas'!O20</f>
        <v>0.00175828728657165</v>
      </c>
      <c r="M21" s="830" t="n">
        <f aca="false">SUM(D21:L21)</f>
        <v>0.067134232462199</v>
      </c>
      <c r="N21" s="830"/>
      <c r="O21" s="831" t="n">
        <v>2008</v>
      </c>
      <c r="P21" s="830" t="n">
        <f aca="false">K21+J21+I21</f>
        <v>0.0189362637488274</v>
      </c>
      <c r="Q21" s="830" t="n">
        <f aca="false">D21+H21+F21+G21+E21</f>
        <v>0.0464396814267999</v>
      </c>
      <c r="R21" s="830" t="n">
        <f aca="false">L21</f>
        <v>0.00175828728657165</v>
      </c>
    </row>
    <row r="22" customFormat="false" ht="15.75" hidden="false" customHeight="false" outlineLevel="0" collapsed="false">
      <c r="C22" s="831" t="n">
        <v>2009</v>
      </c>
      <c r="D22" s="827" t="n">
        <f aca="false">'Resultado ANSES por etapas'!M21-I22</f>
        <v>0.0387410248529356</v>
      </c>
      <c r="E22" s="827" t="n">
        <f aca="false">'Resultado ANSES por etapas'!R21</f>
        <v>0.00167502693461996</v>
      </c>
      <c r="F22" s="827" t="n">
        <f aca="false">'Resultado ANSES por etapas'!Q21-'Cuenta Ahorro-Inversión-Financi'!CK25/1000/'PIB corriente base 2004'!X13</f>
        <v>0.00416001890802829</v>
      </c>
      <c r="G22" s="827" t="n">
        <f aca="false">'Resultado ANSES por etapas'!P21</f>
        <v>0.00178122445365416</v>
      </c>
      <c r="H22" s="827" t="n">
        <f aca="false">'Resultado ANSES por etapas'!N21</f>
        <v>0.0103548744113128</v>
      </c>
      <c r="I22" s="827" t="n">
        <f aca="false">('[2]Versión ordenada'!$H$4+'[2]Versión ordenada'!$H$17)/1000/'PIB corriente base 2004'!X13</f>
        <v>0.0180752497040962</v>
      </c>
      <c r="J22" s="827"/>
      <c r="K22" s="827" t="n">
        <f aca="false">'Cuenta Ahorro-Inversión-Financi'!CK25/1000/'PIB corriente base 2004'!X13</f>
        <v>0.00547264569428922</v>
      </c>
      <c r="L22" s="827" t="n">
        <f aca="false">'Resultado ANSES por etapas'!O21</f>
        <v>0.0020413731238185</v>
      </c>
      <c r="M22" s="827" t="n">
        <f aca="false">SUM(D22:L22)</f>
        <v>0.0823014380827548</v>
      </c>
      <c r="N22" s="827"/>
      <c r="O22" s="831" t="n">
        <v>2009</v>
      </c>
      <c r="P22" s="827" t="n">
        <f aca="false">K22+J22+I22</f>
        <v>0.0235478953983854</v>
      </c>
      <c r="Q22" s="827" t="n">
        <f aca="false">D22+H22+F22+G22+E22</f>
        <v>0.0567121695605509</v>
      </c>
      <c r="R22" s="827" t="n">
        <f aca="false">L22</f>
        <v>0.0020413731238185</v>
      </c>
    </row>
    <row r="23" customFormat="false" ht="15.75" hidden="false" customHeight="false" outlineLevel="0" collapsed="false">
      <c r="C23" s="831" t="n">
        <v>2010</v>
      </c>
      <c r="D23" s="830" t="n">
        <f aca="false">'Resultado ANSES por etapas'!M22-I23</f>
        <v>0.0350566477486803</v>
      </c>
      <c r="E23" s="830" t="n">
        <f aca="false">'Resultado ANSES por etapas'!R22</f>
        <v>0.00129161278918117</v>
      </c>
      <c r="F23" s="830" t="n">
        <f aca="false">'Resultado ANSES por etapas'!Q22-'Cuenta Ahorro-Inversión-Financi'!CK26/1000/'PIB corriente base 2004'!X14</f>
        <v>0.00412622658211544</v>
      </c>
      <c r="G23" s="830" t="n">
        <f aca="false">'Resultado ANSES por etapas'!P22</f>
        <v>0.00193273387962204</v>
      </c>
      <c r="H23" s="830" t="n">
        <f aca="false">'Resultado ANSES por etapas'!N22-J23</f>
        <v>0.00958589961771431</v>
      </c>
      <c r="I23" s="830" t="n">
        <f aca="false">('[2]Versión ordenada'!$I$4+'[2]Versión ordenada'!$I$17)/1000/'PIB corriente base 2004'!X14</f>
        <v>0.0181156774901227</v>
      </c>
      <c r="J23" s="830" t="n">
        <f aca="false">('[2]Versión ordenada'!$I$11+'[2]Versión ordenada'!$I$16)/1000/'PIB corriente base 2004'!X14</f>
        <v>0.0038152325556087</v>
      </c>
      <c r="K23" s="830" t="n">
        <f aca="false">'Cuenta Ahorro-Inversión-Financi'!CK26/1000/'PIB corriente base 2004'!X14</f>
        <v>0.00598011044710249</v>
      </c>
      <c r="L23" s="830" t="n">
        <f aca="false">'Resultado ANSES por etapas'!O22</f>
        <v>0.00190415963472409</v>
      </c>
      <c r="M23" s="830" t="n">
        <f aca="false">SUM(D23:L23)</f>
        <v>0.0818083007448712</v>
      </c>
      <c r="N23" s="830"/>
      <c r="O23" s="831" t="n">
        <v>2010</v>
      </c>
      <c r="P23" s="830" t="n">
        <f aca="false">K23+J23+I23</f>
        <v>0.0279110204928338</v>
      </c>
      <c r="Q23" s="830" t="n">
        <f aca="false">D23+H23+F23+G23+E23</f>
        <v>0.0519931206173133</v>
      </c>
      <c r="R23" s="830" t="n">
        <f aca="false">L23</f>
        <v>0.00190415963472409</v>
      </c>
    </row>
    <row r="24" customFormat="false" ht="15.75" hidden="false" customHeight="false" outlineLevel="0" collapsed="false">
      <c r="C24" s="831" t="n">
        <v>2011</v>
      </c>
      <c r="D24" s="827" t="n">
        <f aca="false">'Resultado ANSES por etapas'!M23-I24</f>
        <v>0.0364405621957978</v>
      </c>
      <c r="E24" s="827" t="n">
        <f aca="false">'Resultado ANSES por etapas'!R23</f>
        <v>0.00103133324512357</v>
      </c>
      <c r="F24" s="827" t="n">
        <f aca="false">'Resultado ANSES por etapas'!Q23-'Cuenta Ahorro-Inversión-Financi'!CK27/1000/'PIB corriente base 2004'!X15</f>
        <v>0.00525615141865851</v>
      </c>
      <c r="G24" s="827" t="n">
        <f aca="false">'Resultado ANSES por etapas'!P23</f>
        <v>0.00219213433804649</v>
      </c>
      <c r="H24" s="827" t="n">
        <f aca="false">'Resultado ANSES por etapas'!N23-J24</f>
        <v>0.00683288060749366</v>
      </c>
      <c r="I24" s="827" t="n">
        <f aca="false">('[2]Versión ordenada'!$J$4+'[2]Versión ordenada'!$J$17)/1000/'PIB corriente base 2004'!X15</f>
        <v>0.0195517882092317</v>
      </c>
      <c r="J24" s="827" t="n">
        <f aca="false">('[2]Versión ordenada'!$J11+'[2]Versión ordenada'!$J$16)/1000/'PIB corriente base 2004'!X15</f>
        <v>0.00414711179740635</v>
      </c>
      <c r="K24" s="827" t="n">
        <f aca="false">'Cuenta Ahorro-Inversión-Financi'!CK27/1000/'PIB corriente base 2004'!X15</f>
        <v>0.00684311371349412</v>
      </c>
      <c r="L24" s="827" t="n">
        <f aca="false">'Resultado ANSES por etapas'!O23</f>
        <v>0.00200692451763306</v>
      </c>
      <c r="M24" s="827" t="n">
        <f aca="false">SUM(D24:L24)</f>
        <v>0.0843020000428853</v>
      </c>
      <c r="N24" s="827"/>
      <c r="O24" s="831" t="n">
        <v>2011</v>
      </c>
      <c r="P24" s="827" t="n">
        <f aca="false">K24+J24+I24</f>
        <v>0.0305420137201322</v>
      </c>
      <c r="Q24" s="827" t="n">
        <f aca="false">D24+H24+F24+G24+E24</f>
        <v>0.0517530618051201</v>
      </c>
      <c r="R24" s="827" t="n">
        <f aca="false">L24</f>
        <v>0.00200692451763306</v>
      </c>
    </row>
    <row r="25" customFormat="false" ht="15.75" hidden="false" customHeight="false" outlineLevel="0" collapsed="false">
      <c r="C25" s="831" t="n">
        <v>2012</v>
      </c>
      <c r="D25" s="830" t="n">
        <f aca="false">'Resultado ANSES por etapas'!M24-I25</f>
        <v>0.0420091443044068</v>
      </c>
      <c r="E25" s="830" t="n">
        <f aca="false">'Resultado ANSES por etapas'!R24</f>
        <v>0.00123537014000835</v>
      </c>
      <c r="F25" s="830" t="n">
        <f aca="false">'Resultado ANSES por etapas'!Q24-'Cuenta Ahorro-Inversión-Financi'!CK28/1000/'PIB corriente base 2004'!X16</f>
        <v>0.00421109874918186</v>
      </c>
      <c r="G25" s="830" t="n">
        <f aca="false">'Resultado ANSES por etapas'!P24</f>
        <v>0.00236681220168485</v>
      </c>
      <c r="H25" s="830" t="n">
        <f aca="false">'Resultado ANSES por etapas'!N24-J25</f>
        <v>0.00572128711656347</v>
      </c>
      <c r="I25" s="830" t="n">
        <f aca="false">('[2]Versión ordenada'!$K$4+'[2]Versión ordenada'!$K$17)/1000/'PIB corriente base 2004'!X16</f>
        <v>0.021948543125154</v>
      </c>
      <c r="J25" s="830" t="n">
        <f aca="false">('[2]Versión ordenada'!$K$11+'[2]Versión ordenada'!$K16)/1000/'PIB corriente base 2004'!X16</f>
        <v>0.0042338659723687</v>
      </c>
      <c r="K25" s="830" t="n">
        <f aca="false">'Cuenta Ahorro-Inversión-Financi'!CK28/1000/'PIB corriente base 2004'!X16</f>
        <v>0.0087071728840794</v>
      </c>
      <c r="L25" s="830" t="n">
        <f aca="false">'Resultado ANSES por etapas'!O24</f>
        <v>0.0022917701706974</v>
      </c>
      <c r="M25" s="830" t="n">
        <f aca="false">SUM(D25:L25)</f>
        <v>0.0927250646641448</v>
      </c>
      <c r="N25" s="830"/>
      <c r="O25" s="831" t="n">
        <v>2012</v>
      </c>
      <c r="P25" s="830" t="n">
        <f aca="false">K25+J25+I25</f>
        <v>0.0348895819816021</v>
      </c>
      <c r="Q25" s="830" t="n">
        <f aca="false">D25+H25+F25+G25+E25</f>
        <v>0.0555437125118453</v>
      </c>
      <c r="R25" s="830" t="n">
        <f aca="false">L25</f>
        <v>0.0022917701706974</v>
      </c>
    </row>
    <row r="26" customFormat="false" ht="15.75" hidden="false" customHeight="false" outlineLevel="0" collapsed="false">
      <c r="C26" s="831" t="n">
        <v>2013</v>
      </c>
      <c r="D26" s="827" t="n">
        <f aca="false">'Resultado ANSES por etapas'!M25-I26</f>
        <v>0.0439849216186219</v>
      </c>
      <c r="E26" s="827" t="n">
        <f aca="false">'Resultado ANSES por etapas'!R25</f>
        <v>0.00166967888999977</v>
      </c>
      <c r="F26" s="827" t="n">
        <f aca="false">'Resultado ANSES por etapas'!Q25-'Cuenta Ahorro-Inversión-Financi'!CK29/1000/'PIB corriente base 2004'!X17</f>
        <v>0.0051449693316493</v>
      </c>
      <c r="G26" s="827" t="n">
        <f aca="false">'Resultado ANSES por etapas'!P25</f>
        <v>0.00210806956969702</v>
      </c>
      <c r="H26" s="827" t="n">
        <f aca="false">'Resultado ANSES por etapas'!N25-J26</f>
        <v>0.00599444085841293</v>
      </c>
      <c r="I26" s="827" t="n">
        <f aca="false">('[2]Versión ordenada'!$L$4+'[2]Versión ordenada'!$L$17)/1000/'PIB corriente base 2004'!X17</f>
        <v>0.022607372880113</v>
      </c>
      <c r="J26" s="827" t="n">
        <f aca="false">('[2]Versión ordenada'!$L$11+'[2]Versión ordenada'!$L$16)/1000/'PIB corriente base 2004'!X17</f>
        <v>0.004720231235733</v>
      </c>
      <c r="K26" s="827" t="n">
        <f aca="false">'Cuenta Ahorro-Inversión-Financi'!CK29/1000/'PIB corriente base 2004'!X17</f>
        <v>0.00947685069910942</v>
      </c>
      <c r="L26" s="827" t="n">
        <f aca="false">'Resultado ANSES por etapas'!O25</f>
        <v>0.00238561996391175</v>
      </c>
      <c r="M26" s="827" t="n">
        <f aca="false">SUM(D26:L26)</f>
        <v>0.0980921550472481</v>
      </c>
      <c r="N26" s="827"/>
      <c r="O26" s="831" t="n">
        <v>2013</v>
      </c>
      <c r="P26" s="827" t="n">
        <f aca="false">K26+J26+I26</f>
        <v>0.0368044548149555</v>
      </c>
      <c r="Q26" s="827" t="n">
        <f aca="false">D26+H26+F26+G26+E26</f>
        <v>0.0589020802683809</v>
      </c>
      <c r="R26" s="827" t="n">
        <f aca="false">L26</f>
        <v>0.00238561996391175</v>
      </c>
    </row>
    <row r="27" customFormat="false" ht="15.75" hidden="false" customHeight="false" outlineLevel="0" collapsed="false">
      <c r="C27" s="831" t="n">
        <v>2014</v>
      </c>
      <c r="D27" s="830" t="n">
        <f aca="false">'Resultado ANSES por etapas'!M26-I27</f>
        <v>0.0427397309980085</v>
      </c>
      <c r="E27" s="830" t="n">
        <f aca="false">'Resultado ANSES por etapas'!R26</f>
        <v>0.00180520724704594</v>
      </c>
      <c r="F27" s="830" t="n">
        <f aca="false">'Resultado ANSES por etapas'!Q26-'Cuenta Ahorro-Inversión-Financi'!CK30/1000/'PIB corriente base 2004'!X18</f>
        <v>0.00449605101877852</v>
      </c>
      <c r="G27" s="830" t="n">
        <f aca="false">'Resultado ANSES por etapas'!P26</f>
        <v>0.00208133381503417</v>
      </c>
      <c r="H27" s="830" t="n">
        <f aca="false">'Resultado ANSES por etapas'!N26-J27</f>
        <v>0.00533065417293667</v>
      </c>
      <c r="I27" s="830" t="n">
        <f aca="false">('[2]Versión ordenada'!$M$4+'[2]Versión ordenada'!$M$17)/1000/'PIB corriente base 2004'!X18</f>
        <v>0.0218161918284941</v>
      </c>
      <c r="J27" s="830" t="n">
        <f aca="false">(('[2]Versión ordenada'!$M11+'[2]Versión ordenada'!$M16))/1000/'PIB corriente base 2004'!X18</f>
        <v>0.00534449122060591</v>
      </c>
      <c r="K27" s="830" t="n">
        <f aca="false">'Cuenta Ahorro-Inversión-Financi'!CK30/1000/'PIB corriente base 2004'!X18</f>
        <v>0.00964518092523107</v>
      </c>
      <c r="L27" s="830" t="n">
        <f aca="false">'Resultado ANSES por etapas'!O26</f>
        <v>0.0023272132721661</v>
      </c>
      <c r="M27" s="830" t="n">
        <f aca="false">SUM(D27:L27)</f>
        <v>0.095586054498301</v>
      </c>
      <c r="N27" s="830"/>
      <c r="O27" s="831" t="n">
        <v>2014</v>
      </c>
      <c r="P27" s="830" t="n">
        <f aca="false">K27+J27+I27</f>
        <v>0.0368058639743311</v>
      </c>
      <c r="Q27" s="830" t="n">
        <f aca="false">D27+H27+F27+G27+E27</f>
        <v>0.0564529772518038</v>
      </c>
      <c r="R27" s="830" t="n">
        <f aca="false">L27</f>
        <v>0.0023272132721661</v>
      </c>
    </row>
    <row r="28" customFormat="false" ht="15.75" hidden="false" customHeight="false" outlineLevel="0" collapsed="false">
      <c r="C28" s="831" t="n">
        <f aca="false">C27+1</f>
        <v>2015</v>
      </c>
      <c r="D28" s="827" t="n">
        <f aca="false">'Resultado ANSES por etapas'!M27-I28</f>
        <v>0.0454162255862639</v>
      </c>
      <c r="E28" s="827" t="n">
        <f aca="false">'Resultado ANSES por etapas'!R27</f>
        <v>0.00171424659032606</v>
      </c>
      <c r="F28" s="827" t="n">
        <f aca="false">'Resultado ANSES por etapas'!Q27-'Cuenta Ahorro-Inversión-Financi'!CK31/1000/'PIB corriente base 2004'!X19</f>
        <v>0.00408226511568985</v>
      </c>
      <c r="G28" s="827" t="n">
        <f aca="false">'Resultado ANSES por etapas'!P27</f>
        <v>0.00209925380408706</v>
      </c>
      <c r="H28" s="827" t="n">
        <f aca="false">'Resultado ANSES por etapas'!N27-J28</f>
        <v>0.00476347459845601</v>
      </c>
      <c r="I28" s="827" t="n">
        <f aca="false">('[2]Versión ordenada'!$N$4+'[2]Versión ordenada'!$N$17)/1000/'PIB corriente base 2004'!X19</f>
        <v>0.0273742506172789</v>
      </c>
      <c r="J28" s="827" t="n">
        <f aca="false">('[2]Versión ordenada'!$N$11+'[2]Versión ordenada'!$N$16)/1000/'PIB corriente base 2004'!X19</f>
        <v>0.00686937577720966</v>
      </c>
      <c r="K28" s="827" t="n">
        <f aca="false">'Cuenta Ahorro-Inversión-Financi'!CK31/1000/'PIB corriente base 2004'!X19</f>
        <v>0.0104568666999862</v>
      </c>
      <c r="L28" s="827" t="n">
        <f aca="false">'Resultado ANSES por etapas'!O27</f>
        <v>0.00260688705263258</v>
      </c>
      <c r="M28" s="827" t="n">
        <f aca="false">SUM(D28:L28)</f>
        <v>0.10538284584193</v>
      </c>
      <c r="N28" s="827"/>
      <c r="O28" s="831" t="n">
        <f aca="false">O27+1</f>
        <v>2015</v>
      </c>
      <c r="P28" s="827" t="n">
        <f aca="false">K28+J28+I28</f>
        <v>0.0447004930944747</v>
      </c>
      <c r="Q28" s="827" t="n">
        <f aca="false">D28+H28+F28+G28+E28</f>
        <v>0.0580754656948229</v>
      </c>
      <c r="R28" s="827" t="n">
        <f aca="false">L28</f>
        <v>0.00260688705263258</v>
      </c>
    </row>
    <row r="29" customFormat="false" ht="15.75" hidden="false" customHeight="false" outlineLevel="0" collapsed="false">
      <c r="C29" s="831" t="n">
        <f aca="false">C28+1</f>
        <v>2016</v>
      </c>
      <c r="D29" s="830" t="n">
        <f aca="false">'Resultado ANSES por etapas'!M28-I29</f>
        <v>0.0447229510322757</v>
      </c>
      <c r="E29" s="830" t="n">
        <f aca="false">'Resultado ANSES por etapas'!R28</f>
        <v>0.00197107261819154</v>
      </c>
      <c r="F29" s="830" t="n">
        <f aca="false">'Resultado ANSES por etapas'!Q28-'Cuenta Ahorro-Inversión-Financi'!CK32/1000/'PIB corriente base 2004'!X20</f>
        <v>0.00402643500125511</v>
      </c>
      <c r="G29" s="830" t="n">
        <f aca="false">'Resultado ANSES por etapas'!P28</f>
        <v>0.00177072549143578</v>
      </c>
      <c r="H29" s="830" t="n">
        <f aca="false">'Resultado ANSES por etapas'!N28-J29</f>
        <v>0.00911235022993784</v>
      </c>
      <c r="I29" s="830" t="n">
        <f aca="false">(('[2]Versión ordenada'!$O$4+'[2]Versión ordenada'!$O$17)+'Cuenta Ahorro-Inversión-Financi'!BG32)/1000/'PIB corriente base 2004'!X20</f>
        <v>0.0283181233482025</v>
      </c>
      <c r="J29" s="830" t="n">
        <f aca="false">('[2]Versión ordenada'!$O$11+'[2]Versión ordenada'!$O$16)/1000/'PIB corriente base 2004'!X20</f>
        <v>0.00723367838895608</v>
      </c>
      <c r="K29" s="830" t="n">
        <f aca="false">'Cuenta Ahorro-Inversión-Financi'!CK32/1000/'PIB corriente base 2004'!X20</f>
        <v>0.0097160356203608</v>
      </c>
      <c r="L29" s="830" t="n">
        <f aca="false">'Resultado ANSES por etapas'!O28</f>
        <v>0.00263630884740172</v>
      </c>
      <c r="M29" s="830" t="n">
        <f aca="false">SUM(D29:L29)</f>
        <v>0.109507680578017</v>
      </c>
      <c r="N29" s="830" t="n">
        <f aca="false">'Resultado ANSES por etapas'!T28</f>
        <v>0.000771083734631746</v>
      </c>
      <c r="O29" s="831" t="n">
        <f aca="false">O28+1</f>
        <v>2016</v>
      </c>
      <c r="P29" s="830" t="n">
        <f aca="false">K29+J29+I29</f>
        <v>0.0452678373575194</v>
      </c>
      <c r="Q29" s="830" t="n">
        <f aca="false">D29+H29+F29+G29+E29</f>
        <v>0.061603534373096</v>
      </c>
      <c r="R29" s="830" t="n">
        <f aca="false">L29</f>
        <v>0.00263630884740172</v>
      </c>
    </row>
    <row r="30" customFormat="false" ht="15.75" hidden="false" customHeight="false" outlineLevel="0" collapsed="false">
      <c r="C30" s="831" t="n">
        <f aca="false">C29+1</f>
        <v>2017</v>
      </c>
      <c r="D30" s="827" t="n">
        <f aca="false">'Resultado ANSES por etapas'!M29-('Cuenta Ahorro-Inversión-Financi'!BH33)/1000/'PIB corriente base 2004'!X21-I30</f>
        <v>0.0454828289030153</v>
      </c>
      <c r="E30" s="827" t="n">
        <f aca="false">'Resultado ANSES por etapas'!R29</f>
        <v>0.00169318277702991</v>
      </c>
      <c r="F30" s="827" t="n">
        <f aca="false">'Resultado ANSES por etapas'!Q29-'Cuenta Ahorro-Inversión-Financi'!CK33/1000/'PIB corriente base 2004'!X21</f>
        <v>0.00409895559886543</v>
      </c>
      <c r="G30" s="827" t="n">
        <f aca="false">'Resultado ANSES por etapas'!P29</f>
        <v>0.00172705093781381</v>
      </c>
      <c r="H30" s="827" t="n">
        <f aca="false">'Resultado ANSES por etapas'!N29-J30</f>
        <v>0.00849992275679633</v>
      </c>
      <c r="I30" s="827" t="n">
        <f aca="false">(('[2]Versión ordenada'!$P$4+'[2]Versión ordenada'!$P$17)+'Cuenta Ahorro-Inversión-Financi'!BG33)/1000/'PIB corriente base 2004'!X21</f>
        <v>0.030023001170428</v>
      </c>
      <c r="J30" s="827" t="n">
        <f aca="false">('[2]Versión ordenada'!$P$11+'[2]Versión ordenada'!$P$16)/1000/'PIB corriente base 2004'!X21</f>
        <v>0.00641370230372483</v>
      </c>
      <c r="K30" s="827" t="n">
        <f aca="false">('Cuenta Ahorro-Inversión-Financi'!CK33+'Cuenta Ahorro-Inversión-Financi'!BH33)/1000/'PIB corriente base 2004'!X21</f>
        <v>0.00956831052276629</v>
      </c>
      <c r="L30" s="827" t="n">
        <f aca="false">'Resultado ANSES por etapas'!O29</f>
        <v>0.00297079733174157</v>
      </c>
      <c r="M30" s="827" t="n">
        <f aca="false">SUM(D30:L30)</f>
        <v>0.110477752302181</v>
      </c>
      <c r="N30" s="827" t="n">
        <f aca="false">'Resultado ANSES por etapas'!T29</f>
        <v>0.00371888754837215</v>
      </c>
      <c r="O30" s="831" t="n">
        <f aca="false">O29+1</f>
        <v>2017</v>
      </c>
      <c r="P30" s="827" t="n">
        <f aca="false">K30+J30+I30</f>
        <v>0.0460050139969191</v>
      </c>
      <c r="Q30" s="827" t="n">
        <f aca="false">D30+H30+F30+G30+E30</f>
        <v>0.0615019409735208</v>
      </c>
      <c r="R30" s="827" t="n">
        <f aca="false">L30</f>
        <v>0.00297079733174157</v>
      </c>
    </row>
    <row r="31" customFormat="false" ht="15.75" hidden="false" customHeight="false" outlineLevel="0" collapsed="false">
      <c r="C31" s="831" t="n">
        <f aca="false">C30+1</f>
        <v>2018</v>
      </c>
      <c r="D31" s="830" t="n">
        <f aca="false">'Resultado ANSES por etapas'!M30-('Cuenta Ahorro-Inversión-Financi'!BH34)/1000/'PIB corriente base 2004'!X22-I31</f>
        <v>0.041544072383978</v>
      </c>
      <c r="E31" s="830" t="n">
        <f aca="false">'Resultado ANSES por etapas'!R30</f>
        <v>0.00155582043184477</v>
      </c>
      <c r="F31" s="830" t="n">
        <f aca="false">'Resultado ANSES por etapas'!Q30-'Cuenta Ahorro-Inversión-Financi'!CK34/1000/'PIB corriente base 2004'!X22</f>
        <v>0.00354154709268915</v>
      </c>
      <c r="G31" s="830" t="n">
        <f aca="false">'Resultado ANSES por etapas'!P30</f>
        <v>0.00148225469051734</v>
      </c>
      <c r="H31" s="830" t="n">
        <f aca="false">'Resultado ANSES por etapas'!N30-J31</f>
        <v>0.00870055087278955</v>
      </c>
      <c r="I31" s="830" t="n">
        <f aca="false">(('[2]Versión ordenada'!$Q$4+'[2]Versión ordenada'!$Q$17)+'Cuenta Ahorro-Inversión-Financi'!BG34)/1000/'PIB corriente base 2004'!X22</f>
        <v>0.0278106886023452</v>
      </c>
      <c r="J31" s="830" t="n">
        <f aca="false">('[2]Versión ordenada'!$Q$11+'[2]Versión ordenada'!$Q$16)/1000/'PIB corriente base 2004'!X22</f>
        <v>0.00617151423494498</v>
      </c>
      <c r="K31" s="830" t="n">
        <f aca="false">('Cuenta Ahorro-Inversión-Financi'!CK34+'Cuenta Ahorro-Inversión-Financi'!BH34)/1000/'PIB corriente base 2004'!X22</f>
        <v>0.00873121626193791</v>
      </c>
      <c r="L31" s="830" t="n">
        <f aca="false">'Resultado ANSES por etapas'!O30</f>
        <v>0.00281753105217518</v>
      </c>
      <c r="M31" s="830" t="n">
        <f aca="false">SUM(D31:L31)</f>
        <v>0.102355195623222</v>
      </c>
      <c r="N31" s="830" t="n">
        <f aca="false">'Resultado ANSES por etapas'!T30</f>
        <v>0.00509130111541257</v>
      </c>
      <c r="O31" s="831" t="n">
        <f aca="false">O30+1</f>
        <v>2018</v>
      </c>
      <c r="P31" s="830" t="n">
        <f aca="false">K31+J31+I31</f>
        <v>0.0427134190992281</v>
      </c>
      <c r="Q31" s="830" t="n">
        <f aca="false">D31+H31+F31+G31+E31</f>
        <v>0.0568242454718188</v>
      </c>
      <c r="R31" s="830" t="n">
        <f aca="false">L31</f>
        <v>0.00281753105217518</v>
      </c>
    </row>
    <row r="33" customFormat="false" ht="15" hidden="false" customHeight="false" outlineLevel="0" collapsed="false">
      <c r="K33" s="519"/>
    </row>
    <row r="34" customFormat="false" ht="15" hidden="false" customHeight="true" outlineLevel="0" collapsed="false">
      <c r="C34" s="839"/>
      <c r="D34" s="840" t="s">
        <v>1136</v>
      </c>
      <c r="E34" s="840" t="s">
        <v>1137</v>
      </c>
      <c r="F34" s="840" t="s">
        <v>1138</v>
      </c>
      <c r="G34" s="584" t="s">
        <v>1139</v>
      </c>
      <c r="H34" s="840" t="s">
        <v>1128</v>
      </c>
      <c r="I34" s="840" t="s">
        <v>1129</v>
      </c>
      <c r="J34" s="840" t="s">
        <v>1130</v>
      </c>
      <c r="K34" s="584" t="s">
        <v>1134</v>
      </c>
      <c r="L34" s="840" t="s">
        <v>1096</v>
      </c>
      <c r="M34" s="840" t="s">
        <v>1140</v>
      </c>
      <c r="N34" s="584" t="s">
        <v>1133</v>
      </c>
    </row>
    <row r="35" customFormat="false" ht="15" hidden="false" customHeight="false" outlineLevel="0" collapsed="false">
      <c r="C35" s="839"/>
      <c r="D35" s="840"/>
      <c r="E35" s="840"/>
      <c r="F35" s="840"/>
      <c r="G35" s="584"/>
      <c r="H35" s="840"/>
      <c r="I35" s="840"/>
      <c r="J35" s="840"/>
      <c r="K35" s="584"/>
      <c r="L35" s="840"/>
      <c r="M35" s="840"/>
      <c r="N35" s="584"/>
    </row>
    <row r="36" customFormat="false" ht="15.75" hidden="false" customHeight="false" outlineLevel="0" collapsed="false">
      <c r="C36" s="826" t="n">
        <v>1993</v>
      </c>
      <c r="D36" s="841" t="n">
        <v>0.0526370931910582</v>
      </c>
      <c r="E36" s="841" t="n">
        <f aca="false">F6+G6</f>
        <v>0.00677853852615936</v>
      </c>
      <c r="F36" s="841" t="n">
        <v>0.011642303700453</v>
      </c>
      <c r="G36" s="842" t="n">
        <f aca="false">Q6+L6</f>
        <v>0.0710579354176705</v>
      </c>
      <c r="H36" s="841"/>
      <c r="I36" s="841"/>
      <c r="J36" s="841" t="n">
        <v>0</v>
      </c>
      <c r="K36" s="842" t="n">
        <f aca="false">P6</f>
        <v>0</v>
      </c>
      <c r="L36" s="841"/>
      <c r="M36" s="842" t="n">
        <v>0.0710579354176705</v>
      </c>
      <c r="N36" s="841"/>
    </row>
    <row r="37" customFormat="false" ht="15.75" hidden="false" customHeight="false" outlineLevel="0" collapsed="false">
      <c r="C37" s="831" t="n">
        <v>1994</v>
      </c>
      <c r="D37" s="843" t="n">
        <v>0.0564644262203535</v>
      </c>
      <c r="E37" s="843" t="n">
        <f aca="false">F7+G7</f>
        <v>0.00792156687715747</v>
      </c>
      <c r="F37" s="843" t="n">
        <v>0.0107240840715422</v>
      </c>
      <c r="G37" s="844" t="n">
        <f aca="false">Q7+L7</f>
        <v>0.0751100771690532</v>
      </c>
      <c r="H37" s="843"/>
      <c r="I37" s="843"/>
      <c r="J37" s="843" t="n">
        <v>0.00171193703223306</v>
      </c>
      <c r="K37" s="844" t="n">
        <f aca="false">P7</f>
        <v>0.00171193703223306</v>
      </c>
      <c r="L37" s="843"/>
      <c r="M37" s="844" t="n">
        <v>0.0768220142012863</v>
      </c>
      <c r="N37" s="843"/>
    </row>
    <row r="38" customFormat="false" ht="15.75" hidden="false" customHeight="false" outlineLevel="0" collapsed="false">
      <c r="C38" s="831" t="n">
        <v>1995</v>
      </c>
      <c r="D38" s="841" t="n">
        <v>0.0536446703997522</v>
      </c>
      <c r="E38" s="841" t="n">
        <f aca="false">F8+G8</f>
        <v>0.00783051117961243</v>
      </c>
      <c r="F38" s="841" t="n">
        <v>0.00337186702375018</v>
      </c>
      <c r="G38" s="842" t="n">
        <f aca="false">Q8+L8</f>
        <v>0.0648470486031148</v>
      </c>
      <c r="H38" s="841"/>
      <c r="I38" s="841"/>
      <c r="J38" s="841" t="n">
        <v>0.00198401285923971</v>
      </c>
      <c r="K38" s="842" t="n">
        <f aca="false">P8</f>
        <v>0.00198401285923971</v>
      </c>
      <c r="L38" s="841"/>
      <c r="M38" s="842" t="n">
        <v>0.0668310614623545</v>
      </c>
      <c r="N38" s="841"/>
    </row>
    <row r="39" customFormat="false" ht="15.75" hidden="false" customHeight="false" outlineLevel="0" collapsed="false">
      <c r="C39" s="831" t="n">
        <v>1996</v>
      </c>
      <c r="D39" s="843" t="n">
        <v>0.0531622526632245</v>
      </c>
      <c r="E39" s="843" t="n">
        <f aca="false">F9+G9</f>
        <v>0.00719989842591952</v>
      </c>
      <c r="F39" s="843" t="n">
        <v>0.00600272468782676</v>
      </c>
      <c r="G39" s="844" t="n">
        <f aca="false">Q9+L9</f>
        <v>0.0663648757769708</v>
      </c>
      <c r="H39" s="843"/>
      <c r="I39" s="843"/>
      <c r="J39" s="843" t="n">
        <v>0.00197117400964931</v>
      </c>
      <c r="K39" s="844" t="n">
        <f aca="false">P9</f>
        <v>0.00197117400964931</v>
      </c>
      <c r="L39" s="843"/>
      <c r="M39" s="844" t="n">
        <v>0.0683360497866201</v>
      </c>
      <c r="N39" s="843"/>
    </row>
    <row r="40" customFormat="false" ht="15.75" hidden="false" customHeight="false" outlineLevel="0" collapsed="false">
      <c r="C40" s="831" t="n">
        <v>1997</v>
      </c>
      <c r="D40" s="841" t="n">
        <v>0.0500659666860674</v>
      </c>
      <c r="E40" s="841" t="n">
        <f aca="false">F10+G10</f>
        <v>0.00648697084685695</v>
      </c>
      <c r="F40" s="841" t="n">
        <v>0.00539903006587295</v>
      </c>
      <c r="G40" s="842" t="n">
        <f aca="false">Q10+L10</f>
        <v>0.0619519675987973</v>
      </c>
      <c r="H40" s="841"/>
      <c r="I40" s="841"/>
      <c r="J40" s="841" t="n">
        <v>0.00186608828792662</v>
      </c>
      <c r="K40" s="842" t="n">
        <f aca="false">P10</f>
        <v>0.00186608828792662</v>
      </c>
      <c r="L40" s="841"/>
      <c r="M40" s="842" t="n">
        <v>0.0638180558867239</v>
      </c>
      <c r="N40" s="841"/>
    </row>
    <row r="41" customFormat="false" ht="15.75" hidden="false" customHeight="false" outlineLevel="0" collapsed="false">
      <c r="C41" s="831" t="n">
        <v>1998</v>
      </c>
      <c r="D41" s="843" t="n">
        <v>0.0491903555478579</v>
      </c>
      <c r="E41" s="843" t="n">
        <f aca="false">F11+G11</f>
        <v>0.00742671082228877</v>
      </c>
      <c r="F41" s="843" t="n">
        <v>0.00477034993055969</v>
      </c>
      <c r="G41" s="844" t="n">
        <f aca="false">Q11+L11</f>
        <v>0.0613874163007064</v>
      </c>
      <c r="H41" s="843"/>
      <c r="I41" s="843"/>
      <c r="J41" s="843" t="n">
        <v>0.00177883711250943</v>
      </c>
      <c r="K41" s="844" t="n">
        <f aca="false">P11</f>
        <v>0.00177883711250943</v>
      </c>
      <c r="L41" s="843"/>
      <c r="M41" s="844" t="n">
        <v>0.0631662534132158</v>
      </c>
      <c r="N41" s="843"/>
    </row>
    <row r="42" customFormat="false" ht="15.75" hidden="false" customHeight="false" outlineLevel="0" collapsed="false">
      <c r="C42" s="831" t="n">
        <v>1999</v>
      </c>
      <c r="D42" s="841" t="n">
        <v>0.0517496903211291</v>
      </c>
      <c r="E42" s="841" t="n">
        <f aca="false">F12+G12</f>
        <v>0.00763255278039606</v>
      </c>
      <c r="F42" s="841" t="n">
        <v>0.00587322823822414</v>
      </c>
      <c r="G42" s="842" t="n">
        <f aca="false">Q12+L12</f>
        <v>0.0652554713397493</v>
      </c>
      <c r="H42" s="841"/>
      <c r="I42" s="841"/>
      <c r="J42" s="841" t="n">
        <v>0.00190807349849257</v>
      </c>
      <c r="K42" s="842" t="n">
        <f aca="false">P12</f>
        <v>0.00190807349849257</v>
      </c>
      <c r="L42" s="841"/>
      <c r="M42" s="842" t="n">
        <v>0.0671635448382419</v>
      </c>
      <c r="N42" s="841"/>
      <c r="AB42" s="845" t="n">
        <v>0.042</v>
      </c>
    </row>
    <row r="43" customFormat="false" ht="15.75" hidden="false" customHeight="false" outlineLevel="0" collapsed="false">
      <c r="C43" s="831" t="n">
        <v>2000</v>
      </c>
      <c r="D43" s="843" t="n">
        <v>0.0518501300658357</v>
      </c>
      <c r="E43" s="843" t="n">
        <f aca="false">F13+G13</f>
        <v>0.00683536853925572</v>
      </c>
      <c r="F43" s="843" t="n">
        <v>0.00613084017631838</v>
      </c>
      <c r="G43" s="844" t="n">
        <f aca="false">Q13+L13</f>
        <v>0.0648163387814097</v>
      </c>
      <c r="H43" s="843"/>
      <c r="I43" s="843"/>
      <c r="J43" s="843" t="n">
        <v>0.00235232403726366</v>
      </c>
      <c r="K43" s="844" t="n">
        <f aca="false">P13</f>
        <v>0.00235232403726366</v>
      </c>
      <c r="L43" s="843"/>
      <c r="M43" s="844" t="n">
        <v>0.0671686628186734</v>
      </c>
      <c r="N43" s="843"/>
    </row>
    <row r="44" customFormat="false" ht="15.75" hidden="false" customHeight="false" outlineLevel="0" collapsed="false">
      <c r="C44" s="831" t="n">
        <v>2001</v>
      </c>
      <c r="D44" s="841" t="n">
        <v>0.0525215308255347</v>
      </c>
      <c r="E44" s="841" t="n">
        <f aca="false">F14+G14</f>
        <v>0.00667012001939068</v>
      </c>
      <c r="F44" s="841" t="n">
        <v>0.00621669920590712</v>
      </c>
      <c r="G44" s="842" t="n">
        <f aca="false">Q14+L14</f>
        <v>0.0654083500508325</v>
      </c>
      <c r="H44" s="841"/>
      <c r="I44" s="841"/>
      <c r="J44" s="841" t="n">
        <v>0.00252454580040404</v>
      </c>
      <c r="K44" s="842" t="n">
        <f aca="false">P14</f>
        <v>0.00252454580040404</v>
      </c>
      <c r="L44" s="841"/>
      <c r="M44" s="842" t="n">
        <v>0.0679328958512366</v>
      </c>
      <c r="N44" s="841"/>
    </row>
    <row r="45" customFormat="false" ht="15.75" hidden="false" customHeight="false" outlineLevel="0" collapsed="false">
      <c r="C45" s="831" t="n">
        <v>2002</v>
      </c>
      <c r="D45" s="843" t="n">
        <v>0.0443421627477132</v>
      </c>
      <c r="E45" s="843" t="n">
        <f aca="false">F15+G15</f>
        <v>0.00555598081753331</v>
      </c>
      <c r="F45" s="843" t="n">
        <v>0.00678591755475529</v>
      </c>
      <c r="G45" s="844" t="n">
        <f aca="false">Q15+L15</f>
        <v>0.0566840611200018</v>
      </c>
      <c r="H45" s="843"/>
      <c r="I45" s="843"/>
      <c r="J45" s="843" t="n">
        <v>0.00191686270135462</v>
      </c>
      <c r="K45" s="844" t="n">
        <f aca="false">P15</f>
        <v>0.00191686270135462</v>
      </c>
      <c r="L45" s="843"/>
      <c r="M45" s="844" t="n">
        <v>0.0586009238213564</v>
      </c>
      <c r="N45" s="843"/>
    </row>
    <row r="46" customFormat="false" ht="15.75" hidden="false" customHeight="false" outlineLevel="0" collapsed="false">
      <c r="C46" s="831" t="n">
        <v>2003</v>
      </c>
      <c r="D46" s="841" t="n">
        <v>0.0414155099169041</v>
      </c>
      <c r="E46" s="841" t="n">
        <f aca="false">F16+G16</f>
        <v>0.0056618809736537</v>
      </c>
      <c r="F46" s="841" t="n">
        <v>0.00815617118660916</v>
      </c>
      <c r="G46" s="842" t="n">
        <f aca="false">Q16+L16</f>
        <v>0.055233562077167</v>
      </c>
      <c r="H46" s="841"/>
      <c r="I46" s="841"/>
      <c r="J46" s="841" t="n">
        <v>0.00182990573055766</v>
      </c>
      <c r="K46" s="842" t="n">
        <f aca="false">P16</f>
        <v>0.00182990573055766</v>
      </c>
      <c r="L46" s="841"/>
      <c r="M46" s="842" t="n">
        <v>0.0570634678077246</v>
      </c>
      <c r="N46" s="841"/>
    </row>
    <row r="47" customFormat="false" ht="15.75" hidden="false" customHeight="false" outlineLevel="0" collapsed="false">
      <c r="C47" s="831" t="n">
        <v>2004</v>
      </c>
      <c r="D47" s="843" t="n">
        <v>0.036705436096272</v>
      </c>
      <c r="E47" s="843" t="n">
        <f aca="false">F17+G17</f>
        <v>0.00456870494241582</v>
      </c>
      <c r="F47" s="843" t="n">
        <v>0.00601253522505087</v>
      </c>
      <c r="G47" s="844" t="n">
        <f aca="false">Q17+L17</f>
        <v>0.0487650948576088</v>
      </c>
      <c r="H47" s="843"/>
      <c r="I47" s="843"/>
      <c r="J47" s="843" t="n">
        <v>0.00229369584290455</v>
      </c>
      <c r="K47" s="844" t="n">
        <f aca="false">P17</f>
        <v>0.00229369584290455</v>
      </c>
      <c r="L47" s="843" t="n">
        <v>0.00147841859387012</v>
      </c>
      <c r="M47" s="844" t="n">
        <v>0.0510587907005133</v>
      </c>
      <c r="N47" s="843"/>
    </row>
    <row r="48" customFormat="false" ht="15.75" hidden="false" customHeight="false" outlineLevel="0" collapsed="false">
      <c r="C48" s="831" t="n">
        <v>2005</v>
      </c>
      <c r="D48" s="841" t="n">
        <v>0.0345505912680115</v>
      </c>
      <c r="E48" s="841" t="n">
        <f aca="false">F18+G18</f>
        <v>0.00446122948059548</v>
      </c>
      <c r="F48" s="841" t="n">
        <v>0.00717141324245858</v>
      </c>
      <c r="G48" s="842" t="n">
        <f aca="false">Q18+L18</f>
        <v>0.0475377276632682</v>
      </c>
      <c r="H48" s="841"/>
      <c r="I48" s="841"/>
      <c r="J48" s="841" t="n">
        <v>0.00228516213229058</v>
      </c>
      <c r="K48" s="842" t="n">
        <f aca="false">P18</f>
        <v>0.00228516213229058</v>
      </c>
      <c r="L48" s="841" t="n">
        <v>0.0013544936722026</v>
      </c>
      <c r="M48" s="842" t="n">
        <v>0.0498228897955588</v>
      </c>
      <c r="N48" s="841"/>
    </row>
    <row r="49" customFormat="false" ht="15.75" hidden="false" customHeight="false" outlineLevel="0" collapsed="false">
      <c r="C49" s="831" t="n">
        <v>2006</v>
      </c>
      <c r="D49" s="843" t="n">
        <v>0.0368418871162505</v>
      </c>
      <c r="E49" s="843" t="n">
        <f aca="false">F19+G19</f>
        <v>0.00432057379390792</v>
      </c>
      <c r="F49" s="843" t="n">
        <v>0.00645013061743081</v>
      </c>
      <c r="G49" s="844" t="n">
        <f aca="false">Q19+L19</f>
        <v>0.0490334901624953</v>
      </c>
      <c r="H49" s="843"/>
      <c r="I49" s="843"/>
      <c r="J49" s="843" t="n">
        <v>0.00278053471164374</v>
      </c>
      <c r="K49" s="844" t="n">
        <f aca="false">P19</f>
        <v>0.00278053471164374</v>
      </c>
      <c r="L49" s="843" t="n">
        <v>0.001420898634906</v>
      </c>
      <c r="M49" s="844" t="n">
        <v>0.051814024874139</v>
      </c>
      <c r="N49" s="843"/>
    </row>
    <row r="50" customFormat="false" ht="15.75" hidden="false" customHeight="false" outlineLevel="0" collapsed="false">
      <c r="C50" s="831" t="n">
        <v>2007</v>
      </c>
      <c r="D50" s="841" t="n">
        <v>0.0354897758968173</v>
      </c>
      <c r="E50" s="841" t="n">
        <f aca="false">F20+G20</f>
        <v>0.00429816358345837</v>
      </c>
      <c r="F50" s="841" t="n">
        <v>0.00559034382813241</v>
      </c>
      <c r="G50" s="842" t="n">
        <f aca="false">Q20+L20</f>
        <v>0.0471867313555775</v>
      </c>
      <c r="H50" s="841" t="n">
        <v>0.0134910799718077</v>
      </c>
      <c r="I50" s="841"/>
      <c r="J50" s="841" t="n">
        <v>0.00358001090421268</v>
      </c>
      <c r="K50" s="842" t="n">
        <f aca="false">P20</f>
        <v>0.0170710908760203</v>
      </c>
      <c r="L50" s="841" t="n">
        <v>0.0018084480471694</v>
      </c>
      <c r="M50" s="842" t="n">
        <v>0.0642578222315978</v>
      </c>
      <c r="N50" s="841"/>
      <c r="AB50" s="845" t="n">
        <v>0.061</v>
      </c>
    </row>
    <row r="51" customFormat="false" ht="15.75" hidden="false" customHeight="false" outlineLevel="0" collapsed="false">
      <c r="C51" s="831" t="n">
        <v>2008</v>
      </c>
      <c r="D51" s="843" t="n">
        <f aca="false">D21+E21</f>
        <v>0.0346565829269364</v>
      </c>
      <c r="E51" s="843" t="n">
        <f aca="false">F21+G21</f>
        <v>0.0046063679098509</v>
      </c>
      <c r="F51" s="843" t="n">
        <v>0.00717673059001263</v>
      </c>
      <c r="G51" s="844" t="n">
        <f aca="false">Q21+L21</f>
        <v>0.0481979687133716</v>
      </c>
      <c r="H51" s="843" t="n">
        <v>0.0148867850278702</v>
      </c>
      <c r="I51" s="843"/>
      <c r="J51" s="843" t="n">
        <v>0.00404947872095714</v>
      </c>
      <c r="K51" s="844" t="n">
        <f aca="false">P21</f>
        <v>0.0189362637488274</v>
      </c>
      <c r="L51" s="843" t="n">
        <v>0.00175828728657165</v>
      </c>
      <c r="M51" s="844" t="n">
        <v>0.067134232462199</v>
      </c>
      <c r="N51" s="843"/>
    </row>
    <row r="52" customFormat="false" ht="15.75" hidden="false" customHeight="false" outlineLevel="0" collapsed="false">
      <c r="C52" s="831" t="n">
        <v>2009</v>
      </c>
      <c r="D52" s="841" t="n">
        <f aca="false">D22+E22</f>
        <v>0.0404160517875556</v>
      </c>
      <c r="E52" s="841" t="n">
        <f aca="false">F22+G22</f>
        <v>0.00594124336168245</v>
      </c>
      <c r="F52" s="841" t="n">
        <v>0.0103548744113128</v>
      </c>
      <c r="G52" s="842" t="n">
        <f aca="false">Q22+L22</f>
        <v>0.0587535426843693</v>
      </c>
      <c r="H52" s="841" t="n">
        <v>0.0180752497040962</v>
      </c>
      <c r="I52" s="841"/>
      <c r="J52" s="841" t="n">
        <v>0.00547264569428922</v>
      </c>
      <c r="K52" s="842" t="n">
        <f aca="false">P22</f>
        <v>0.0235478953983854</v>
      </c>
      <c r="L52" s="841" t="n">
        <v>0.0020413731238185</v>
      </c>
      <c r="M52" s="842" t="n">
        <v>0.0823014380827548</v>
      </c>
      <c r="N52" s="841"/>
    </row>
    <row r="53" customFormat="false" ht="15.75" hidden="false" customHeight="false" outlineLevel="0" collapsed="false">
      <c r="C53" s="831" t="n">
        <v>2010</v>
      </c>
      <c r="D53" s="843" t="n">
        <f aca="false">D23+E23</f>
        <v>0.0363482605378615</v>
      </c>
      <c r="E53" s="843" t="n">
        <f aca="false">F23+G23</f>
        <v>0.00605896046173748</v>
      </c>
      <c r="F53" s="843" t="n">
        <v>0.00958589961771429</v>
      </c>
      <c r="G53" s="844" t="n">
        <f aca="false">Q23+L23</f>
        <v>0.0538972802520374</v>
      </c>
      <c r="H53" s="843" t="n">
        <v>0.0181156774901226</v>
      </c>
      <c r="I53" s="843" t="n">
        <v>0.0038152325556087</v>
      </c>
      <c r="J53" s="843" t="n">
        <v>0.00598011044710248</v>
      </c>
      <c r="K53" s="844" t="n">
        <f aca="false">P23</f>
        <v>0.0279110204928338</v>
      </c>
      <c r="L53" s="843" t="n">
        <v>0.00190415963472408</v>
      </c>
      <c r="M53" s="844" t="n">
        <v>0.0818083007448711</v>
      </c>
      <c r="N53" s="843"/>
    </row>
    <row r="54" customFormat="false" ht="15.75" hidden="false" customHeight="false" outlineLevel="0" collapsed="false">
      <c r="C54" s="831" t="n">
        <v>2011</v>
      </c>
      <c r="D54" s="841" t="n">
        <f aca="false">D24+E24</f>
        <v>0.0374718954409214</v>
      </c>
      <c r="E54" s="841" t="n">
        <f aca="false">F24+G24</f>
        <v>0.007448285756705</v>
      </c>
      <c r="F54" s="841" t="n">
        <v>0.00683288060749366</v>
      </c>
      <c r="G54" s="842" t="n">
        <f aca="false">Q24+L24</f>
        <v>0.0537599863227531</v>
      </c>
      <c r="H54" s="841" t="n">
        <v>0.0195517882092317</v>
      </c>
      <c r="I54" s="841" t="n">
        <v>0.00414711179740635</v>
      </c>
      <c r="J54" s="841" t="n">
        <v>0.00684311371349412</v>
      </c>
      <c r="K54" s="842" t="n">
        <f aca="false">P24</f>
        <v>0.0305420137201322</v>
      </c>
      <c r="L54" s="841" t="n">
        <v>0.00200692451763306</v>
      </c>
      <c r="M54" s="842" t="n">
        <v>0.0843020000428854</v>
      </c>
      <c r="N54" s="841"/>
    </row>
    <row r="55" customFormat="false" ht="15.75" hidden="false" customHeight="false" outlineLevel="0" collapsed="false">
      <c r="C55" s="831" t="n">
        <v>2012</v>
      </c>
      <c r="D55" s="843" t="n">
        <f aca="false">D25+E25</f>
        <v>0.0432445144444151</v>
      </c>
      <c r="E55" s="843" t="n">
        <f aca="false">F25+G25</f>
        <v>0.00657791095086671</v>
      </c>
      <c r="F55" s="843" t="n">
        <v>0.00572128711656348</v>
      </c>
      <c r="G55" s="844" t="n">
        <f aca="false">Q25+L25</f>
        <v>0.0578354826825427</v>
      </c>
      <c r="H55" s="843" t="n">
        <v>0.021948543125154</v>
      </c>
      <c r="I55" s="843" t="n">
        <v>0.00423386597236871</v>
      </c>
      <c r="J55" s="843" t="n">
        <v>0.00870717288407941</v>
      </c>
      <c r="K55" s="844" t="n">
        <f aca="false">P25</f>
        <v>0.0348895819816021</v>
      </c>
      <c r="L55" s="843" t="n">
        <v>0.00229177017069741</v>
      </c>
      <c r="M55" s="844" t="n">
        <v>0.0927250646641448</v>
      </c>
      <c r="N55" s="843"/>
    </row>
    <row r="56" customFormat="false" ht="15.75" hidden="false" customHeight="false" outlineLevel="0" collapsed="false">
      <c r="C56" s="831" t="n">
        <v>2013</v>
      </c>
      <c r="D56" s="841" t="n">
        <f aca="false">D26+E26</f>
        <v>0.0456546005086217</v>
      </c>
      <c r="E56" s="841" t="n">
        <f aca="false">F26+G26</f>
        <v>0.00725303890134632</v>
      </c>
      <c r="F56" s="841" t="n">
        <v>0.00599444085841293</v>
      </c>
      <c r="G56" s="842" t="n">
        <f aca="false">Q26+L26</f>
        <v>0.0612877002322927</v>
      </c>
      <c r="H56" s="841" t="n">
        <v>0.022607372880113</v>
      </c>
      <c r="I56" s="841" t="n">
        <v>0.004720231235733</v>
      </c>
      <c r="J56" s="841" t="n">
        <v>0.00947685069910942</v>
      </c>
      <c r="K56" s="842" t="n">
        <f aca="false">P26</f>
        <v>0.0368044548149555</v>
      </c>
      <c r="L56" s="841" t="n">
        <v>0.00238561996391175</v>
      </c>
      <c r="M56" s="842" t="n">
        <v>0.0980921550472481</v>
      </c>
      <c r="N56" s="841"/>
    </row>
    <row r="57" customFormat="false" ht="15.75" hidden="false" customHeight="false" outlineLevel="0" collapsed="false">
      <c r="C57" s="831" t="n">
        <v>2014</v>
      </c>
      <c r="D57" s="843" t="n">
        <f aca="false">D27+E27</f>
        <v>0.0445449382450544</v>
      </c>
      <c r="E57" s="843" t="n">
        <f aca="false">F27+G27</f>
        <v>0.0065773848338127</v>
      </c>
      <c r="F57" s="843" t="n">
        <v>0.00533065417293667</v>
      </c>
      <c r="G57" s="844" t="n">
        <f aca="false">Q27+L27</f>
        <v>0.0587801905239699</v>
      </c>
      <c r="H57" s="843" t="n">
        <v>0.0218161918284941</v>
      </c>
      <c r="I57" s="843" t="n">
        <v>0.00534449122060592</v>
      </c>
      <c r="J57" s="843" t="n">
        <v>0.00964518092523107</v>
      </c>
      <c r="K57" s="844" t="n">
        <f aca="false">P27</f>
        <v>0.0368058639743311</v>
      </c>
      <c r="L57" s="843" t="n">
        <v>0.0023272132721661</v>
      </c>
      <c r="M57" s="844" t="n">
        <v>0.095586054498301</v>
      </c>
      <c r="N57" s="843"/>
    </row>
    <row r="58" customFormat="false" ht="15.75" hidden="false" customHeight="false" outlineLevel="0" collapsed="false">
      <c r="C58" s="831" t="n">
        <f aca="false">C57+1</f>
        <v>2015</v>
      </c>
      <c r="D58" s="841" t="n">
        <f aca="false">D28+E28</f>
        <v>0.04713047217659</v>
      </c>
      <c r="E58" s="841" t="n">
        <f aca="false">F28+G28</f>
        <v>0.00618151891977691</v>
      </c>
      <c r="F58" s="841" t="n">
        <v>0.00476347459845601</v>
      </c>
      <c r="G58" s="842" t="n">
        <f aca="false">Q28+L28</f>
        <v>0.0606823527474555</v>
      </c>
      <c r="H58" s="841" t="n">
        <v>0.0273742506172789</v>
      </c>
      <c r="I58" s="841" t="n">
        <v>0.00686937577720967</v>
      </c>
      <c r="J58" s="841" t="n">
        <v>0.0104568666999862</v>
      </c>
      <c r="K58" s="842" t="n">
        <f aca="false">P28</f>
        <v>0.0447004930944747</v>
      </c>
      <c r="L58" s="841" t="n">
        <v>0.00260688705263258</v>
      </c>
      <c r="M58" s="842" t="n">
        <v>0.10538284584193</v>
      </c>
      <c r="N58" s="841"/>
    </row>
    <row r="59" customFormat="false" ht="15.75" hidden="false" customHeight="false" outlineLevel="0" collapsed="false">
      <c r="C59" s="831" t="n">
        <f aca="false">C58+1</f>
        <v>2016</v>
      </c>
      <c r="D59" s="843" t="n">
        <f aca="false">D29+E29</f>
        <v>0.0466940236504672</v>
      </c>
      <c r="E59" s="843" t="n">
        <f aca="false">F29+G29</f>
        <v>0.00579716049269089</v>
      </c>
      <c r="F59" s="843" t="n">
        <v>0.00911235022993784</v>
      </c>
      <c r="G59" s="844" t="n">
        <f aca="false">Q29+L29</f>
        <v>0.0642398432204977</v>
      </c>
      <c r="H59" s="843" t="n">
        <v>0.0283181233482025</v>
      </c>
      <c r="I59" s="843" t="n">
        <v>0.00723367838895608</v>
      </c>
      <c r="J59" s="843" t="n">
        <v>0.00971603562036079</v>
      </c>
      <c r="K59" s="844" t="n">
        <f aca="false">P29</f>
        <v>0.0452678373575194</v>
      </c>
      <c r="L59" s="843" t="n">
        <v>0.00263630884740172</v>
      </c>
      <c r="M59" s="844" t="n">
        <v>0.109507680578017</v>
      </c>
      <c r="N59" s="843" t="n">
        <v>0.000771083734631746</v>
      </c>
    </row>
    <row r="60" customFormat="false" ht="15.75" hidden="false" customHeight="false" outlineLevel="0" collapsed="false">
      <c r="C60" s="831" t="n">
        <f aca="false">C59+1</f>
        <v>2017</v>
      </c>
      <c r="D60" s="841" t="n">
        <f aca="false">D30+E30</f>
        <v>0.0471760116800452</v>
      </c>
      <c r="E60" s="841" t="n">
        <f aca="false">F30+G30</f>
        <v>0.00582600653667924</v>
      </c>
      <c r="F60" s="841" t="n">
        <v>0.00849992275679631</v>
      </c>
      <c r="G60" s="842" t="n">
        <f aca="false">Q30+L30</f>
        <v>0.0644727383052624</v>
      </c>
      <c r="H60" s="841" t="n">
        <v>0.0297439698167444</v>
      </c>
      <c r="I60" s="841" t="n">
        <v>0.00641370230372482</v>
      </c>
      <c r="J60" s="841" t="n">
        <v>0.00956831052276627</v>
      </c>
      <c r="K60" s="842" t="n">
        <f aca="false">P30</f>
        <v>0.0460050139969191</v>
      </c>
      <c r="L60" s="841" t="n">
        <v>0.00297079733174156</v>
      </c>
      <c r="M60" s="842" t="n">
        <v>0.110288718926531</v>
      </c>
      <c r="N60" s="841" t="n">
        <v>0.00390792092402231</v>
      </c>
    </row>
    <row r="61" customFormat="false" ht="15.75" hidden="false" customHeight="false" outlineLevel="0" collapsed="false">
      <c r="C61" s="831" t="n">
        <f aca="false">C60+1</f>
        <v>2018</v>
      </c>
      <c r="D61" s="843" t="n">
        <f aca="false">D31+E31</f>
        <v>0.0430998928158228</v>
      </c>
      <c r="E61" s="843" t="n">
        <f aca="false">F31+G31</f>
        <v>0.00502380178320648</v>
      </c>
      <c r="F61" s="843" t="n">
        <v>0.00870055087278953</v>
      </c>
      <c r="G61" s="844" t="n">
        <f aca="false">Q31+L31</f>
        <v>0.059641776523994</v>
      </c>
      <c r="H61" s="843" t="n">
        <v>0.0272200219840512</v>
      </c>
      <c r="I61" s="843" t="n">
        <v>0.00617151423494497</v>
      </c>
      <c r="J61" s="843" t="n">
        <v>0.00873233526506147</v>
      </c>
      <c r="K61" s="844" t="n">
        <f aca="false">P31</f>
        <v>0.0427134190992281</v>
      </c>
      <c r="L61" s="843" t="n">
        <v>0.00281753105217517</v>
      </c>
      <c r="M61" s="844" t="n">
        <v>0.103446496738635</v>
      </c>
      <c r="N61" s="843" t="n">
        <v>0.004</v>
      </c>
    </row>
    <row r="62" customFormat="false" ht="15" hidden="false" customHeight="false" outlineLevel="0" collapsed="false">
      <c r="K62" s="845"/>
    </row>
    <row r="64" customFormat="false" ht="15" hidden="false" customHeight="true" outlineLevel="0" collapsed="false">
      <c r="C64" s="584"/>
      <c r="D64" s="819" t="s">
        <v>790</v>
      </c>
      <c r="E64" s="819" t="s">
        <v>1088</v>
      </c>
      <c r="F64" s="819" t="s">
        <v>1089</v>
      </c>
      <c r="G64" s="820" t="s">
        <v>1141</v>
      </c>
      <c r="H64" s="584"/>
      <c r="I64" s="846" t="s">
        <v>1142</v>
      </c>
      <c r="J64" s="819" t="s">
        <v>1143</v>
      </c>
      <c r="K64" s="820" t="s">
        <v>1144</v>
      </c>
      <c r="L64" s="819"/>
    </row>
    <row r="65" customFormat="false" ht="15" hidden="false" customHeight="false" outlineLevel="0" collapsed="false">
      <c r="C65" s="584"/>
      <c r="D65" s="819"/>
      <c r="E65" s="819"/>
      <c r="F65" s="819"/>
      <c r="G65" s="820"/>
      <c r="H65" s="584"/>
      <c r="I65" s="846"/>
      <c r="J65" s="819"/>
      <c r="K65" s="820"/>
      <c r="L65" s="819"/>
    </row>
    <row r="66" customFormat="false" ht="15" hidden="false" customHeight="false" outlineLevel="0" collapsed="false">
      <c r="B66" s="845" t="n">
        <f aca="false">SUM(D66:G66)</f>
        <v>0.0706118661422067</v>
      </c>
      <c r="C66" s="824" t="n">
        <v>1993</v>
      </c>
      <c r="D66" s="825" t="n">
        <f aca="false">'Resultado ANSES por etapas'!B5</f>
        <v>0.045352832912549</v>
      </c>
      <c r="E66" s="825" t="n">
        <f aca="false">'Resultado ANSES por etapas'!C5</f>
        <v>0.0114261586914329</v>
      </c>
      <c r="F66" s="825" t="n">
        <f aca="false">'Resultado ANSES por etapas'!D5</f>
        <v>0.012477115671009</v>
      </c>
      <c r="G66" s="825" t="n">
        <f aca="false">'Resultado ANSES por etapas'!E5</f>
        <v>0.00135575886721573</v>
      </c>
      <c r="H66" s="824" t="n">
        <v>1993</v>
      </c>
      <c r="I66" s="825" t="n">
        <f aca="false">D66-G36</f>
        <v>-0.0257051025051215</v>
      </c>
      <c r="J66" s="825" t="n">
        <f aca="false">E66+F66+G66-K36</f>
        <v>0.0252590332296576</v>
      </c>
      <c r="K66" s="825" t="n">
        <f aca="false">I66+J66</f>
        <v>-0.000446069275463892</v>
      </c>
      <c r="L66" s="825"/>
    </row>
    <row r="67" customFormat="false" ht="15" hidden="false" customHeight="false" outlineLevel="0" collapsed="false">
      <c r="C67" s="824" t="n">
        <v>1994</v>
      </c>
      <c r="D67" s="830" t="n">
        <f aca="false">'Resultado ANSES por etapas'!B6</f>
        <v>0.0412406410701487</v>
      </c>
      <c r="E67" s="830" t="n">
        <f aca="false">'Resultado ANSES por etapas'!C6</f>
        <v>0.0120869185800861</v>
      </c>
      <c r="F67" s="830" t="n">
        <f aca="false">'Resultado ANSES por etapas'!D6</f>
        <v>0.0103138055803019</v>
      </c>
      <c r="G67" s="830" t="n">
        <f aca="false">'Resultado ANSES por etapas'!E6</f>
        <v>9.53195096879308E-005</v>
      </c>
      <c r="H67" s="824" t="n">
        <v>1994</v>
      </c>
      <c r="I67" s="830" t="n">
        <f aca="false">D67-G37</f>
        <v>-0.0338694360989045</v>
      </c>
      <c r="J67" s="830" t="n">
        <f aca="false">E67+F67+G67-K37</f>
        <v>0.0207841066378429</v>
      </c>
      <c r="K67" s="830" t="n">
        <f aca="false">I67+J67</f>
        <v>-0.0130853294610615</v>
      </c>
      <c r="L67" s="830"/>
    </row>
    <row r="68" customFormat="false" ht="15" hidden="false" customHeight="false" outlineLevel="0" collapsed="false">
      <c r="C68" s="824" t="n">
        <v>1995</v>
      </c>
      <c r="D68" s="825" t="n">
        <f aca="false">'Resultado ANSES por etapas'!B7</f>
        <v>0.0367162842262927</v>
      </c>
      <c r="E68" s="825" t="n">
        <f aca="false">'Resultado ANSES por etapas'!C7</f>
        <v>0.0121121840535182</v>
      </c>
      <c r="F68" s="825" t="n">
        <f aca="false">'Resultado ANSES por etapas'!D7</f>
        <v>0.011591546064283</v>
      </c>
      <c r="G68" s="825" t="n">
        <f aca="false">'Resultado ANSES por etapas'!E7</f>
        <v>3.16975206724679E-005</v>
      </c>
      <c r="H68" s="824" t="n">
        <v>1995</v>
      </c>
      <c r="I68" s="825" t="n">
        <f aca="false">D68-G38</f>
        <v>-0.0281307643768221</v>
      </c>
      <c r="J68" s="825" t="n">
        <f aca="false">E68+F68+G68-K38</f>
        <v>0.0217514147792339</v>
      </c>
      <c r="K68" s="825" t="n">
        <f aca="false">I68+J68</f>
        <v>-0.0063793495975882</v>
      </c>
      <c r="L68" s="825"/>
    </row>
    <row r="69" customFormat="false" ht="15" hidden="false" customHeight="false" outlineLevel="0" collapsed="false">
      <c r="C69" s="824" t="n">
        <v>1996</v>
      </c>
      <c r="D69" s="830" t="n">
        <f aca="false">'Resultado ANSES por etapas'!B8</f>
        <v>0.0363846758844649</v>
      </c>
      <c r="E69" s="830" t="n">
        <f aca="false">'Resultado ANSES por etapas'!C8</f>
        <v>0.0146741320077489</v>
      </c>
      <c r="F69" s="830" t="n">
        <f aca="false">'Resultado ANSES por etapas'!D8</f>
        <v>0.0118734138888744</v>
      </c>
      <c r="G69" s="830" t="n">
        <f aca="false">'Resultado ANSES por etapas'!E8</f>
        <v>0.000116523274740473</v>
      </c>
      <c r="H69" s="824" t="n">
        <v>1996</v>
      </c>
      <c r="I69" s="830" t="n">
        <f aca="false">D69-G39</f>
        <v>-0.0299801998925058</v>
      </c>
      <c r="J69" s="830" t="n">
        <f aca="false">E69+F69+G69-K39</f>
        <v>0.0246928951617144</v>
      </c>
      <c r="K69" s="830" t="n">
        <f aca="false">I69+J69</f>
        <v>-0.0052873047307914</v>
      </c>
      <c r="L69" s="830"/>
    </row>
    <row r="70" customFormat="false" ht="15" hidden="false" customHeight="false" outlineLevel="0" collapsed="false">
      <c r="C70" s="824" t="n">
        <v>1997</v>
      </c>
      <c r="D70" s="825" t="n">
        <f aca="false">'Resultado ANSES por etapas'!B9</f>
        <v>0.0281819888678765</v>
      </c>
      <c r="E70" s="825" t="n">
        <f aca="false">'Resultado ANSES por etapas'!C9</f>
        <v>0.0200853946887565</v>
      </c>
      <c r="F70" s="825" t="n">
        <f aca="false">'Resultado ANSES por etapas'!D9</f>
        <v>0.0122864231415156</v>
      </c>
      <c r="G70" s="825" t="n">
        <f aca="false">'Resultado ANSES por etapas'!E9</f>
        <v>0.000108303900462984</v>
      </c>
      <c r="H70" s="824" t="n">
        <v>1997</v>
      </c>
      <c r="I70" s="825" t="n">
        <f aca="false">D70-G40</f>
        <v>-0.0337699787309208</v>
      </c>
      <c r="J70" s="825" t="n">
        <f aca="false">E70+F70+G70-K40</f>
        <v>0.0306140334428085</v>
      </c>
      <c r="K70" s="825" t="n">
        <f aca="false">I70+J70</f>
        <v>-0.00315594528811224</v>
      </c>
      <c r="L70" s="825"/>
    </row>
    <row r="71" customFormat="false" ht="15" hidden="false" customHeight="false" outlineLevel="0" collapsed="false">
      <c r="C71" s="824" t="n">
        <v>1998</v>
      </c>
      <c r="D71" s="830" t="n">
        <f aca="false">'Resultado ANSES por etapas'!B10</f>
        <v>0.0264965219233464</v>
      </c>
      <c r="E71" s="830" t="n">
        <f aca="false">'Resultado ANSES por etapas'!C10</f>
        <v>0.0212578403477591</v>
      </c>
      <c r="F71" s="830" t="n">
        <f aca="false">'Resultado ANSES por etapas'!D10</f>
        <v>0.0127033327129764</v>
      </c>
      <c r="G71" s="830" t="n">
        <f aca="false">'Resultado ANSES por etapas'!E10</f>
        <v>4.84963051482054E-005</v>
      </c>
      <c r="H71" s="824" t="n">
        <v>1998</v>
      </c>
      <c r="I71" s="830" t="n">
        <f aca="false">D71-G41</f>
        <v>-0.0348908943773599</v>
      </c>
      <c r="J71" s="830" t="n">
        <f aca="false">E71+F71+G71-K41</f>
        <v>0.0322308322533743</v>
      </c>
      <c r="K71" s="830" t="n">
        <f aca="false">I71+J71</f>
        <v>-0.00266006212398561</v>
      </c>
      <c r="L71" s="830"/>
    </row>
    <row r="72" customFormat="false" ht="15" hidden="false" customHeight="false" outlineLevel="0" collapsed="false">
      <c r="C72" s="824" t="n">
        <v>1999</v>
      </c>
      <c r="D72" s="825" t="n">
        <f aca="false">'Resultado ANSES por etapas'!B11</f>
        <v>0.0249055646687138</v>
      </c>
      <c r="E72" s="825" t="n">
        <f aca="false">'Resultado ANSES por etapas'!C11</f>
        <v>0.0214303302315375</v>
      </c>
      <c r="F72" s="825" t="n">
        <f aca="false">'Resultado ANSES por etapas'!D11</f>
        <v>0.0130590610333592</v>
      </c>
      <c r="G72" s="825" t="n">
        <f aca="false">'Resultado ANSES por etapas'!E11</f>
        <v>8.90089000381151E-006</v>
      </c>
      <c r="H72" s="824" t="n">
        <v>1999</v>
      </c>
      <c r="I72" s="825" t="n">
        <f aca="false">D72-G42</f>
        <v>-0.0403499066710355</v>
      </c>
      <c r="J72" s="825" t="n">
        <f aca="false">E72+F72+G72-K42</f>
        <v>0.032590218656408</v>
      </c>
      <c r="K72" s="825" t="n">
        <f aca="false">I72+J72</f>
        <v>-0.00775968801462749</v>
      </c>
      <c r="L72" s="825"/>
    </row>
    <row r="73" customFormat="false" ht="15" hidden="false" customHeight="false" outlineLevel="0" collapsed="false">
      <c r="C73" s="824" t="n">
        <v>2000</v>
      </c>
      <c r="D73" s="830" t="n">
        <f aca="false">'Resultado ANSES por etapas'!B12</f>
        <v>0.0236198765665383</v>
      </c>
      <c r="E73" s="830" t="n">
        <f aca="false">'Resultado ANSES por etapas'!C12</f>
        <v>0.023556870770298</v>
      </c>
      <c r="F73" s="830" t="n">
        <f aca="false">'Resultado ANSES por etapas'!D12</f>
        <v>0.0132482904466693</v>
      </c>
      <c r="G73" s="830" t="n">
        <f aca="false">'Resultado ANSES por etapas'!E12</f>
        <v>5.08058139376392E-006</v>
      </c>
      <c r="H73" s="824" t="n">
        <v>2000</v>
      </c>
      <c r="I73" s="830" t="n">
        <f aca="false">D73-G43</f>
        <v>-0.0411964622148714</v>
      </c>
      <c r="J73" s="830" t="n">
        <f aca="false">E73+F73+G73-K43</f>
        <v>0.0344579177610974</v>
      </c>
      <c r="K73" s="830" t="n">
        <f aca="false">I73+J73</f>
        <v>-0.00673854445377407</v>
      </c>
      <c r="L73" s="830"/>
    </row>
    <row r="74" customFormat="false" ht="15" hidden="false" customHeight="false" outlineLevel="0" collapsed="false">
      <c r="C74" s="824" t="n">
        <v>2001</v>
      </c>
      <c r="D74" s="825" t="n">
        <f aca="false">'Resultado ANSES por etapas'!B13</f>
        <v>0.0238758696338049</v>
      </c>
      <c r="E74" s="825" t="n">
        <f aca="false">'Resultado ANSES por etapas'!C13</f>
        <v>0.0214457736331774</v>
      </c>
      <c r="F74" s="825" t="n">
        <f aca="false">'Resultado ANSES por etapas'!D13</f>
        <v>0.0124450443431941</v>
      </c>
      <c r="G74" s="825" t="n">
        <f aca="false">'Resultado ANSES por etapas'!E13</f>
        <v>1.27950379999639E-006</v>
      </c>
      <c r="H74" s="824" t="n">
        <v>2001</v>
      </c>
      <c r="I74" s="825" t="n">
        <f aca="false">D74-G44</f>
        <v>-0.0415324804170276</v>
      </c>
      <c r="J74" s="825" t="n">
        <f aca="false">E74+F74+G74-K44</f>
        <v>0.0313675516797674</v>
      </c>
      <c r="K74" s="825" t="n">
        <f aca="false">I74+J74</f>
        <v>-0.0101649287372602</v>
      </c>
      <c r="L74" s="825"/>
    </row>
    <row r="75" customFormat="false" ht="15" hidden="false" customHeight="false" outlineLevel="0" collapsed="false">
      <c r="C75" s="824" t="n">
        <v>2002</v>
      </c>
      <c r="D75" s="830" t="n">
        <f aca="false">'Resultado ANSES por etapas'!B14</f>
        <v>0.0204511996433966</v>
      </c>
      <c r="E75" s="830" t="n">
        <f aca="false">'Resultado ANSES por etapas'!C14</f>
        <v>0.0170555199717405</v>
      </c>
      <c r="F75" s="830" t="n">
        <f aca="false">'Resultado ANSES por etapas'!D14</f>
        <v>0.00963695804700716</v>
      </c>
      <c r="G75" s="830" t="n">
        <f aca="false">'Resultado ANSES por etapas'!E14</f>
        <v>1.71830895387883E-005</v>
      </c>
      <c r="H75" s="824" t="n">
        <v>2002</v>
      </c>
      <c r="I75" s="830" t="n">
        <f aca="false">D75-G45</f>
        <v>-0.0362328614766052</v>
      </c>
      <c r="J75" s="830" t="n">
        <f aca="false">E75+F75+G75-K45</f>
        <v>0.0247927984069318</v>
      </c>
      <c r="K75" s="830" t="n">
        <f aca="false">I75+J75</f>
        <v>-0.0114400630696734</v>
      </c>
      <c r="L75" s="830"/>
    </row>
    <row r="76" customFormat="false" ht="15" hidden="false" customHeight="false" outlineLevel="0" collapsed="false">
      <c r="C76" s="824" t="n">
        <v>2003</v>
      </c>
      <c r="D76" s="825" t="n">
        <f aca="false">'Resultado ANSES por etapas'!B15</f>
        <v>0.0204726739831029</v>
      </c>
      <c r="E76" s="825" t="n">
        <f aca="false">'Resultado ANSES por etapas'!C15</f>
        <v>0.0198553916144812</v>
      </c>
      <c r="F76" s="825" t="n">
        <f aca="false">'Resultado ANSES por etapas'!D15</f>
        <v>0.0118026727120887</v>
      </c>
      <c r="G76" s="825" t="n">
        <f aca="false">'Resultado ANSES por etapas'!E15</f>
        <v>5.45970901702129E-006</v>
      </c>
      <c r="H76" s="824" t="n">
        <v>2003</v>
      </c>
      <c r="I76" s="825" t="n">
        <f aca="false">D76-G46</f>
        <v>-0.0347608880940641</v>
      </c>
      <c r="J76" s="825" t="n">
        <f aca="false">E76+F76+G76-K46</f>
        <v>0.0298336183050293</v>
      </c>
      <c r="K76" s="825" t="n">
        <f aca="false">I76+J76</f>
        <v>-0.00492726978903478</v>
      </c>
      <c r="L76" s="825"/>
    </row>
    <row r="77" customFormat="false" ht="15" hidden="false" customHeight="false" outlineLevel="0" collapsed="false">
      <c r="C77" s="824" t="n">
        <v>2004</v>
      </c>
      <c r="D77" s="830" t="n">
        <f aca="false">'Resultado ANSES por etapas'!B16</f>
        <v>0.0198583830686151</v>
      </c>
      <c r="E77" s="830" t="n">
        <f aca="false">'Resultado ANSES por etapas'!C16</f>
        <v>0.0216742076161843</v>
      </c>
      <c r="F77" s="830" t="n">
        <f aca="false">'Resultado ANSES por etapas'!D16</f>
        <v>0.0133242836449752</v>
      </c>
      <c r="G77" s="830" t="n">
        <f aca="false">'Resultado ANSES por etapas'!E16</f>
        <v>2.30880969959205E-005</v>
      </c>
      <c r="H77" s="824" t="n">
        <v>2004</v>
      </c>
      <c r="I77" s="830" t="n">
        <f aca="false">D77-G47</f>
        <v>-0.0289067117889936</v>
      </c>
      <c r="J77" s="830" t="n">
        <f aca="false">E77+F77+G77-K47</f>
        <v>0.0327278835152509</v>
      </c>
      <c r="K77" s="830" t="n">
        <f aca="false">I77+J77</f>
        <v>0.00382117172625724</v>
      </c>
      <c r="L77" s="830"/>
    </row>
    <row r="78" customFormat="false" ht="15" hidden="false" customHeight="false" outlineLevel="0" collapsed="false">
      <c r="C78" s="824" t="n">
        <v>2005</v>
      </c>
      <c r="D78" s="825" t="n">
        <f aca="false">'Resultado ANSES por etapas'!B17</f>
        <v>0.0214249777603053</v>
      </c>
      <c r="E78" s="825" t="n">
        <f aca="false">'Resultado ANSES por etapas'!C17</f>
        <v>0.0219471405894574</v>
      </c>
      <c r="F78" s="825" t="n">
        <f aca="false">'Resultado ANSES por etapas'!D17</f>
        <v>0.0139618318212355</v>
      </c>
      <c r="G78" s="825" t="n">
        <f aca="false">'Resultado ANSES por etapas'!E17</f>
        <v>6.64758507150565E-005</v>
      </c>
      <c r="H78" s="824" t="n">
        <v>2005</v>
      </c>
      <c r="I78" s="825" t="n">
        <f aca="false">D78-G48</f>
        <v>-0.0261127499029629</v>
      </c>
      <c r="J78" s="825" t="n">
        <f aca="false">E78+F78+G78-K48</f>
        <v>0.0336902861291173</v>
      </c>
      <c r="K78" s="825" t="n">
        <f aca="false">I78+J78</f>
        <v>0.00757753622615441</v>
      </c>
      <c r="L78" s="825"/>
    </row>
    <row r="79" customFormat="false" ht="15" hidden="false" customHeight="false" outlineLevel="0" collapsed="false">
      <c r="C79" s="824" t="n">
        <v>2006</v>
      </c>
      <c r="D79" s="830" t="n">
        <f aca="false">'Resultado ANSES por etapas'!B18</f>
        <v>0.0252575877444441</v>
      </c>
      <c r="E79" s="830" t="n">
        <f aca="false">'Resultado ANSES por etapas'!C18</f>
        <v>0.0212196799431274</v>
      </c>
      <c r="F79" s="830" t="n">
        <f aca="false">'Resultado ANSES por etapas'!D18</f>
        <v>0.0141131235333867</v>
      </c>
      <c r="G79" s="830" t="n">
        <f aca="false">'Resultado ANSES por etapas'!E18</f>
        <v>0.000401428799431498</v>
      </c>
      <c r="H79" s="824" t="n">
        <v>2006</v>
      </c>
      <c r="I79" s="830" t="n">
        <f aca="false">D79-G49</f>
        <v>-0.0237759024180512</v>
      </c>
      <c r="J79" s="830" t="n">
        <f aca="false">E79+F79+G79-K49</f>
        <v>0.0329536975643019</v>
      </c>
      <c r="K79" s="830" t="n">
        <f aca="false">I79+J79</f>
        <v>0.0091777951462507</v>
      </c>
      <c r="L79" s="830"/>
    </row>
    <row r="80" customFormat="false" ht="15" hidden="false" customHeight="false" outlineLevel="0" collapsed="false">
      <c r="C80" s="824" t="n">
        <v>2007</v>
      </c>
      <c r="D80" s="825" t="n">
        <f aca="false">'Resultado ANSES por etapas'!B19</f>
        <v>0.0385047966381489</v>
      </c>
      <c r="E80" s="825" t="n">
        <f aca="false">'Resultado ANSES por etapas'!C19</f>
        <v>0.0209548679959935</v>
      </c>
      <c r="F80" s="825" t="n">
        <f aca="false">'Resultado ANSES por etapas'!D19</f>
        <v>0.0149068047295749</v>
      </c>
      <c r="G80" s="825" t="n">
        <f aca="false">'Resultado ANSES por etapas'!E19</f>
        <v>0.000737928817183578</v>
      </c>
      <c r="H80" s="824" t="n">
        <v>2007</v>
      </c>
      <c r="I80" s="825" t="n">
        <f aca="false">D80-G50</f>
        <v>-0.00868193471742861</v>
      </c>
      <c r="J80" s="825" t="n">
        <f aca="false">E80+F80+G80-K50</f>
        <v>0.0195285106667317</v>
      </c>
      <c r="K80" s="825" t="n">
        <f aca="false">I80+J80</f>
        <v>0.0108465759493031</v>
      </c>
      <c r="L80" s="825"/>
    </row>
    <row r="81" customFormat="false" ht="15" hidden="false" customHeight="false" outlineLevel="0" collapsed="false">
      <c r="C81" s="824" t="n">
        <v>2008</v>
      </c>
      <c r="D81" s="830" t="n">
        <f aca="false">'Resultado ANSES por etapas'!B20</f>
        <v>0.0368508016736982</v>
      </c>
      <c r="E81" s="830" t="n">
        <f aca="false">'Resultado ANSES por etapas'!C20</f>
        <v>0.0204392279016501</v>
      </c>
      <c r="F81" s="830" t="n">
        <f aca="false">'Resultado ANSES por etapas'!D20</f>
        <v>0.0145730376476074</v>
      </c>
      <c r="G81" s="830"/>
      <c r="H81" s="824" t="n">
        <v>2008</v>
      </c>
      <c r="I81" s="830" t="n">
        <f aca="false">D81-G51</f>
        <v>-0.0113471670396734</v>
      </c>
      <c r="J81" s="830" t="n">
        <f aca="false">E81+F81+G81-K51</f>
        <v>0.0160760018004302</v>
      </c>
      <c r="K81" s="830" t="n">
        <f aca="false">I81+J81</f>
        <v>0.00472883476075675</v>
      </c>
      <c r="L81" s="830"/>
    </row>
    <row r="82" customFormat="false" ht="15" hidden="false" customHeight="false" outlineLevel="0" collapsed="false">
      <c r="C82" s="824" t="n">
        <v>2009</v>
      </c>
      <c r="D82" s="825" t="n">
        <f aca="false">'Resultado ANSES por etapas'!B21</f>
        <v>0.0507701371819389</v>
      </c>
      <c r="E82" s="825" t="n">
        <f aca="false">'Resultado ANSES por etapas'!C21</f>
        <v>0.0203921181346288</v>
      </c>
      <c r="F82" s="825" t="n">
        <f aca="false">'Resultado ANSES por etapas'!D21</f>
        <v>0.0146173597980544</v>
      </c>
      <c r="G82" s="825"/>
      <c r="H82" s="824" t="n">
        <v>2009</v>
      </c>
      <c r="I82" s="825" t="n">
        <f aca="false">D82-G52</f>
        <v>-0.00798340550243044</v>
      </c>
      <c r="J82" s="825" t="n">
        <f aca="false">E82+F82+G82-K52</f>
        <v>0.0114615825342978</v>
      </c>
      <c r="K82" s="825" t="n">
        <f aca="false">I82+J82</f>
        <v>0.00347817703186733</v>
      </c>
      <c r="L82" s="825"/>
    </row>
    <row r="83" customFormat="false" ht="15" hidden="false" customHeight="false" outlineLevel="0" collapsed="false">
      <c r="C83" s="824" t="n">
        <v>2010</v>
      </c>
      <c r="D83" s="830" t="n">
        <f aca="false">'Resultado ANSES por etapas'!B22</f>
        <v>0.0504873115779599</v>
      </c>
      <c r="E83" s="830" t="n">
        <f aca="false">'Resultado ANSES por etapas'!C22</f>
        <v>0.0206407631065506</v>
      </c>
      <c r="F83" s="830" t="n">
        <f aca="false">'Resultado ANSES por etapas'!D22</f>
        <v>0.0147442218942046</v>
      </c>
      <c r="G83" s="830" t="n">
        <f aca="false">'Resultado ANSES por etapas'!F22</f>
        <v>4.78419683827532E-005</v>
      </c>
      <c r="H83" s="824" t="n">
        <v>2010</v>
      </c>
      <c r="I83" s="830" t="n">
        <f aca="false">D83-G53</f>
        <v>-0.00340996867407745</v>
      </c>
      <c r="J83" s="830" t="n">
        <f aca="false">E83+F83+G83-K53</f>
        <v>0.00752180647630411</v>
      </c>
      <c r="K83" s="830" t="n">
        <f aca="false">I83+J83</f>
        <v>0.00411183780222666</v>
      </c>
      <c r="L83" s="830"/>
    </row>
    <row r="84" customFormat="false" ht="15" hidden="false" customHeight="false" outlineLevel="0" collapsed="false">
      <c r="C84" s="824" t="n">
        <v>2011</v>
      </c>
      <c r="D84" s="825" t="n">
        <f aca="false">'Resultado ANSES por etapas'!B23</f>
        <v>0.051623947009386</v>
      </c>
      <c r="E84" s="825" t="n">
        <f aca="false">'Resultado ANSES por etapas'!C23</f>
        <v>0.0210555255476486</v>
      </c>
      <c r="F84" s="825" t="n">
        <f aca="false">'Resultado ANSES por etapas'!D23</f>
        <v>0.0148856065446608</v>
      </c>
      <c r="G84" s="825" t="n">
        <f aca="false">'Resultado ANSES por etapas'!F23</f>
        <v>0.00127650660654248</v>
      </c>
      <c r="H84" s="824" t="n">
        <v>2011</v>
      </c>
      <c r="I84" s="825" t="n">
        <f aca="false">D84-G54</f>
        <v>-0.00213603931336718</v>
      </c>
      <c r="J84" s="825" t="n">
        <f aca="false">E84+F84+G84-K54</f>
        <v>0.00667562497871973</v>
      </c>
      <c r="K84" s="825" t="n">
        <f aca="false">I84+J84</f>
        <v>0.00453958566535255</v>
      </c>
      <c r="L84" s="825"/>
    </row>
    <row r="85" customFormat="false" ht="15" hidden="false" customHeight="false" outlineLevel="0" collapsed="false">
      <c r="C85" s="824" t="n">
        <v>2012</v>
      </c>
      <c r="D85" s="830" t="n">
        <f aca="false">'Resultado ANSES por etapas'!B24</f>
        <v>0.055778278265298</v>
      </c>
      <c r="E85" s="830" t="n">
        <f aca="false">'Resultado ANSES por etapas'!C24</f>
        <v>0.0224400989125377</v>
      </c>
      <c r="F85" s="830" t="n">
        <f aca="false">'Resultado ANSES por etapas'!D24</f>
        <v>0.0155583049965991</v>
      </c>
      <c r="G85" s="830" t="n">
        <f aca="false">'Resultado ANSES por etapas'!F24</f>
        <v>0.000474495124682221</v>
      </c>
      <c r="H85" s="824" t="n">
        <v>2012</v>
      </c>
      <c r="I85" s="830" t="n">
        <f aca="false">D85-G55</f>
        <v>-0.00205720441724472</v>
      </c>
      <c r="J85" s="830" t="n">
        <f aca="false">E85+F85+G85-K55</f>
        <v>0.00358331705221695</v>
      </c>
      <c r="K85" s="830" t="n">
        <f aca="false">I85+J85</f>
        <v>0.00152611263497223</v>
      </c>
      <c r="L85" s="830"/>
    </row>
    <row r="86" customFormat="false" ht="15" hidden="false" customHeight="false" outlineLevel="0" collapsed="false">
      <c r="C86" s="824" t="n">
        <f aca="false">C85+1</f>
        <v>2013</v>
      </c>
      <c r="D86" s="825" t="n">
        <f aca="false">'Resultado ANSES por etapas'!B25</f>
        <v>0.0576719027752101</v>
      </c>
      <c r="E86" s="825" t="n">
        <f aca="false">'Resultado ANSES por etapas'!C25</f>
        <v>0.0223318530313047</v>
      </c>
      <c r="F86" s="825" t="n">
        <f aca="false">'Resultado ANSES por etapas'!D25</f>
        <v>0.0159148002617685</v>
      </c>
      <c r="G86" s="825" t="n">
        <f aca="false">'Resultado ANSES por etapas'!F25</f>
        <v>0.00122193042080368</v>
      </c>
      <c r="H86" s="824" t="n">
        <f aca="false">H85+1</f>
        <v>2013</v>
      </c>
      <c r="I86" s="825" t="n">
        <f aca="false">D86-G56</f>
        <v>-0.00361579745708259</v>
      </c>
      <c r="J86" s="825" t="n">
        <f aca="false">E86+F86+G86-K56</f>
        <v>0.00266412889892142</v>
      </c>
      <c r="K86" s="825" t="n">
        <f aca="false">I86+J86</f>
        <v>-0.000951668558161173</v>
      </c>
      <c r="L86" s="825"/>
    </row>
    <row r="87" customFormat="false" ht="15" hidden="false" customHeight="false" outlineLevel="0" collapsed="false">
      <c r="C87" s="824" t="n">
        <f aca="false">C86+1</f>
        <v>2014</v>
      </c>
      <c r="D87" s="830" t="n">
        <f aca="false">'Resultado ANSES por etapas'!B26</f>
        <v>0.0542098068652894</v>
      </c>
      <c r="E87" s="830" t="n">
        <f aca="false">'Resultado ANSES por etapas'!C26</f>
        <v>0.0225793750807335</v>
      </c>
      <c r="F87" s="830" t="n">
        <f aca="false">'Resultado ANSES por etapas'!D26</f>
        <v>0.015871302582137</v>
      </c>
      <c r="G87" s="830" t="n">
        <f aca="false">'Resultado ANSES por etapas'!F26</f>
        <v>0.0016327062141725</v>
      </c>
      <c r="H87" s="824" t="n">
        <f aca="false">H86+1</f>
        <v>2014</v>
      </c>
      <c r="I87" s="830" t="n">
        <f aca="false">D87-G57</f>
        <v>-0.00457038365868048</v>
      </c>
      <c r="J87" s="830" t="n">
        <f aca="false">E87+F87+G87-K57</f>
        <v>0.00327751990271201</v>
      </c>
      <c r="K87" s="830" t="n">
        <f aca="false">I87+J87</f>
        <v>-0.00129286375596847</v>
      </c>
      <c r="L87" s="830"/>
    </row>
    <row r="88" customFormat="false" ht="15" hidden="false" customHeight="false" outlineLevel="0" collapsed="false">
      <c r="C88" s="824" t="n">
        <f aca="false">C87+1</f>
        <v>2015</v>
      </c>
      <c r="D88" s="825" t="n">
        <f aca="false">'Resultado ANSES por etapas'!B27</f>
        <v>0.0564297158299164</v>
      </c>
      <c r="E88" s="825" t="n">
        <f aca="false">'Resultado ANSES por etapas'!C27</f>
        <v>0.0236426052651485</v>
      </c>
      <c r="F88" s="825" t="n">
        <f aca="false">'Resultado ANSES por etapas'!D27</f>
        <v>0.0160551081025211</v>
      </c>
      <c r="G88" s="825" t="n">
        <f aca="false">'Resultado ANSES por etapas'!F27</f>
        <v>0.00174808358257101</v>
      </c>
      <c r="H88" s="824" t="n">
        <f aca="false">H87+1</f>
        <v>2015</v>
      </c>
      <c r="I88" s="825" t="n">
        <f aca="false">D88-G58</f>
        <v>-0.00425263691753908</v>
      </c>
      <c r="J88" s="825" t="n">
        <f aca="false">E88+F88+G88-K58</f>
        <v>-0.00325469614423415</v>
      </c>
      <c r="K88" s="825" t="n">
        <f aca="false">I88+J88</f>
        <v>-0.00750733306177323</v>
      </c>
      <c r="L88" s="825"/>
    </row>
    <row r="89" customFormat="false" ht="15" hidden="false" customHeight="false" outlineLevel="0" collapsed="false">
      <c r="C89" s="824" t="n">
        <f aca="false">C88+1</f>
        <v>2016</v>
      </c>
      <c r="D89" s="830" t="n">
        <f aca="false">'Resultado ANSES por etapas'!B28</f>
        <v>0.0546875274954749</v>
      </c>
      <c r="E89" s="830" t="n">
        <f aca="false">'Resultado ANSES por etapas'!C28</f>
        <v>0.021229363568432</v>
      </c>
      <c r="F89" s="830" t="n">
        <f aca="false">'Resultado ANSES por etapas'!D28</f>
        <v>0.0115333980628038</v>
      </c>
      <c r="G89" s="830" t="n">
        <f aca="false">'Resultado ANSES por etapas'!F28</f>
        <v>0.00171059175545749</v>
      </c>
      <c r="H89" s="824" t="n">
        <f aca="false">H88+1</f>
        <v>2016</v>
      </c>
      <c r="I89" s="830" t="n">
        <f aca="false">D89-G59</f>
        <v>-0.00955231572502284</v>
      </c>
      <c r="J89" s="830" t="n">
        <f aca="false">E89+F89+G89-K59</f>
        <v>-0.0107944839708261</v>
      </c>
      <c r="K89" s="830" t="n">
        <f aca="false">I89+J89</f>
        <v>-0.0203467996958489</v>
      </c>
      <c r="L89" s="830"/>
    </row>
    <row r="90" customFormat="false" ht="15" hidden="false" customHeight="false" outlineLevel="0" collapsed="false">
      <c r="C90" s="824" t="n">
        <f aca="false">C89+1</f>
        <v>2017</v>
      </c>
      <c r="D90" s="825" t="n">
        <f aca="false">'Resultado ANSES por etapas'!B29</f>
        <v>0.055590096056665</v>
      </c>
      <c r="E90" s="825" t="n">
        <f aca="false">'Resultado ANSES por etapas'!C29</f>
        <v>0.0213651993139403</v>
      </c>
      <c r="F90" s="825" t="n">
        <f aca="false">'Resultado ANSES por etapas'!D29</f>
        <v>0.00831240027666563</v>
      </c>
      <c r="G90" s="825" t="n">
        <f aca="false">'Resultado ANSES por etapas'!F29</f>
        <v>0.00110535464672093</v>
      </c>
      <c r="H90" s="824" t="n">
        <f aca="false">H89+1</f>
        <v>2017</v>
      </c>
      <c r="I90" s="825" t="n">
        <f aca="false">D90-G60</f>
        <v>-0.00888264224859735</v>
      </c>
      <c r="J90" s="825" t="n">
        <f aca="false">E90+F90+G90-K60</f>
        <v>-0.0152220597595923</v>
      </c>
      <c r="K90" s="825" t="n">
        <f aca="false">I90+J90</f>
        <v>-0.0241047020081896</v>
      </c>
      <c r="L90" s="825"/>
    </row>
    <row r="91" customFormat="false" ht="15" hidden="false" customHeight="false" outlineLevel="0" collapsed="false">
      <c r="C91" s="824" t="n">
        <f aca="false">C90+1</f>
        <v>2018</v>
      </c>
      <c r="D91" s="830" t="n">
        <f aca="false">'Resultado ANSES por etapas'!B30</f>
        <v>0.0507048464919942</v>
      </c>
      <c r="E91" s="830" t="n">
        <f aca="false">'Resultado ANSES por etapas'!C30</f>
        <v>0.0267202526606726</v>
      </c>
      <c r="F91" s="830" t="n">
        <f aca="false">'Resultado ANSES por etapas'!D30</f>
        <v>0.00633564870628469</v>
      </c>
      <c r="G91" s="830" t="n">
        <f aca="false">'Resultado ANSES por etapas'!F30</f>
        <v>0.00032264996405818</v>
      </c>
      <c r="H91" s="824" t="n">
        <f aca="false">H90+1</f>
        <v>2018</v>
      </c>
      <c r="I91" s="830" t="n">
        <f aca="false">D91-G61</f>
        <v>-0.00893693003199979</v>
      </c>
      <c r="J91" s="830" t="n">
        <f aca="false">E91+F91+G91-K61</f>
        <v>-0.00933486776821268</v>
      </c>
      <c r="K91" s="830" t="n">
        <f aca="false">I91+J91</f>
        <v>-0.0182717978002125</v>
      </c>
      <c r="L91" s="830"/>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1950</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2020-11-18T17:55:48Z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