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9.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externalLinks/_rels/externalLink1.xml.rels" ContentType="application/vnd.openxmlformats-package.relationships+xml"/>
  <Override PartName="/xl/externalLinks/_rels/externalLink2.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media/image4.wmf" ContentType="image/x-wmf"/>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vmlDrawing3.vml" ContentType="application/vnd.openxmlformats-officedocument.vmlDrawing"/>
  <Override PartName="/xl/drawings/drawing4.xml" ContentType="application/vnd.openxmlformats-officedocument.drawing+xml"/>
  <Override PartName="/xl/drawings/vmlDrawing4.vml" ContentType="application/vnd.openxmlformats-officedocument.vmlDrawing"/>
  <Override PartName="/xl/drawings/drawing5.xml" ContentType="application/vnd.openxmlformats-officedocument.drawing+xml"/>
  <Override PartName="/xl/drawings/vmlDrawing5.vml" ContentType="application/vnd.openxmlformats-officedocument.vmlDrawing"/>
  <Override PartName="/xl/drawings/drawing6.xml" ContentType="application/vnd.openxmlformats-officedocument.drawing+xml"/>
  <Override PartName="/xl/drawings/vmlDrawing6.vml" ContentType="application/vnd.openxmlformats-officedocument.vmlDrawing"/>
  <Override PartName="/xl/drawings/_rels/drawing1.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charts/chart61.xml" ContentType="application/vnd.openxmlformats-officedocument.drawingml.chart+xml"/>
  <Override PartName="/xl/charts/chart69.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IVA" sheetId="1" state="visible" r:id="rId2"/>
    <sheet name="PIB corriente base 2004" sheetId="2" state="visible" r:id="rId3"/>
    <sheet name="PIB corriente base 1993" sheetId="3" state="visible" r:id="rId4"/>
    <sheet name="Cálculo masa impuestos copartic" sheetId="4" state="visible" r:id="rId5"/>
    <sheet name="Cuenta Ahorro-Inversión-Financi" sheetId="5" state="visible" r:id="rId6"/>
    <sheet name="Exogenous tax and expenses" sheetId="6" state="visible" r:id="rId7"/>
    <sheet name="Cobertura y contribuyentes" sheetId="7" state="visible" r:id="rId8"/>
    <sheet name="Resultado ANSES por etapas" sheetId="8" state="visible" r:id="rId9"/>
    <sheet name="Contrib gastos ANSES" sheetId="9" state="visible" r:id="rId10"/>
  </sheets>
  <externalReferences>
    <externalReference r:id="rId11"/>
    <externalReference r:id="rId12"/>
  </externalReferences>
  <definedNames>
    <definedName function="false" hidden="false" name="SHARED_FORMULA_100_26_100_26_4" vbProcedure="false">NA()</definedName>
    <definedName function="false" hidden="false" name="SHARED_FORMULA_101_38_101_38_4" vbProcedure="false">NA()</definedName>
    <definedName function="false" hidden="false" name="SHARED_FORMULA_102_26_102_26_4" vbProcedure="false">NA()</definedName>
    <definedName function="false" hidden="false" name="SHARED_FORMULA_10_26_10_26_5" vbProcedure="false">NA()</definedName>
    <definedName function="false" hidden="false" name="SHARED_FORMULA_10_49_10_49_5" vbProcedure="false">NA()</definedName>
    <definedName function="false" hidden="false" name="SHARED_FORMULA_10_7_10_7_4" vbProcedure="false">NA()</definedName>
    <definedName function="false" hidden="false" name="SHARED_FORMULA_10_86_10_86_4" vbProcedure="false">NA()</definedName>
    <definedName function="false" hidden="false" name="SHARED_FORMULA_10_88_10_88_4" vbProcedure="false">NA()</definedName>
    <definedName function="false" hidden="false" name="SHARED_FORMULA_112_13_112_13_4" vbProcedure="false">NA()</definedName>
    <definedName function="false" hidden="false" name="SHARED_FORMULA_113_13_113_13_4" vbProcedure="false">NA()</definedName>
    <definedName function="false" hidden="false" name="SHARED_FORMULA_115_13_115_13_4" vbProcedure="false">NA()</definedName>
    <definedName function="false" hidden="false" name="SHARED_FORMULA_116_13_116_13_4" vbProcedure="false">NA()</definedName>
    <definedName function="false" hidden="false" name="SHARED_FORMULA_118_13_118_13_4" vbProcedure="false">NA()</definedName>
    <definedName function="false" hidden="false" name="SHARED_FORMULA_119_13_119_13_4" vbProcedure="false">NA()</definedName>
    <definedName function="false" hidden="false" name="SHARED_FORMULA_11_26_11_26_5" vbProcedure="false">NA()</definedName>
    <definedName function="false" hidden="false" name="SHARED_FORMULA_11_49_11_49_5" vbProcedure="false">NA()</definedName>
    <definedName function="false" hidden="false" name="SHARED_FORMULA_11_7_11_7_4" vbProcedure="false">NA()</definedName>
    <definedName function="false" hidden="false" name="SHARED_FORMULA_11_86_11_86_4" vbProcedure="false">NA()</definedName>
    <definedName function="false" hidden="false" name="SHARED_FORMULA_11_88_11_88_4" vbProcedure="false">NA()</definedName>
    <definedName function="false" hidden="false" name="SHARED_FORMULA_122_13_122_13_4" vbProcedure="false">NA()</definedName>
    <definedName function="false" hidden="false" name="SHARED_FORMULA_123_13_123_13_4" vbProcedure="false">NA()</definedName>
    <definedName function="false" hidden="false" name="SHARED_FORMULA_12_26_12_26_5" vbProcedure="false">NA()</definedName>
    <definedName function="false" hidden="false" name="SHARED_FORMULA_12_49_12_49_5" vbProcedure="false">NA()</definedName>
    <definedName function="false" hidden="false" name="SHARED_FORMULA_12_7_12_7_4" vbProcedure="false">NA()</definedName>
    <definedName function="false" hidden="false" name="SHARED_FORMULA_12_86_12_86_4" vbProcedure="false">NA()</definedName>
    <definedName function="false" hidden="false" name="SHARED_FORMULA_12_88_12_88_4" vbProcedure="false">NA()</definedName>
    <definedName function="false" hidden="false" name="SHARED_FORMULA_137_38_137_38_1" vbProcedure="false">NA()</definedName>
    <definedName function="false" hidden="false" name="SHARED_FORMULA_13_12_13_12_7" vbProcedure="false">NA()</definedName>
    <definedName function="false" hidden="false" name="SHARED_FORMULA_13_26_13_26_5" vbProcedure="false">NA()</definedName>
    <definedName function="false" hidden="false" name="SHARED_FORMULA_13_49_13_49_5" vbProcedure="false">NA()</definedName>
    <definedName function="false" hidden="false" name="SHARED_FORMULA_13_7_13_7_4" vbProcedure="false">NA()</definedName>
    <definedName function="false" hidden="false" name="SHARED_FORMULA_13_86_13_86_4" vbProcedure="false">NA()</definedName>
    <definedName function="false" hidden="false" name="SHARED_FORMULA_13_88_13_88_4" vbProcedure="false">NA()</definedName>
    <definedName function="false" hidden="false" name="SHARED_FORMULA_13_8_13_8_7" vbProcedure="false">NA()</definedName>
    <definedName function="false" hidden="false" name="SHARED_FORMULA_143_31_143_31_1" vbProcedure="false">NA()</definedName>
    <definedName function="false" hidden="false" name="SHARED_FORMULA_144_31_144_31_1" vbProcedure="false">NA()</definedName>
    <definedName function="false" hidden="false" name="SHARED_FORMULA_14_26_14_26_5" vbProcedure="false">NA()</definedName>
    <definedName function="false" hidden="false" name="SHARED_FORMULA_14_49_14_49_5" vbProcedure="false">NA()</definedName>
    <definedName function="false" hidden="false" name="SHARED_FORMULA_14_86_14_86_4" vbProcedure="false">NA()</definedName>
    <definedName function="false" hidden="false" name="SHARED_FORMULA_14_88_14_88_4" vbProcedure="false">NA()</definedName>
    <definedName function="false" hidden="false" name="SHARED_FORMULA_155_58_155_58_1" vbProcedure="false">NA()</definedName>
    <definedName function="false" hidden="false" name="SHARED_FORMULA_156_10_156_10_1" vbProcedure="false">NA()</definedName>
    <definedName function="false" hidden="false" name="SHARED_FORMULA_157_10_157_10_1" vbProcedure="false">NA()</definedName>
    <definedName function="false" hidden="false" name="SHARED_FORMULA_15_26_15_26_5" vbProcedure="false">NA()</definedName>
    <definedName function="false" hidden="false" name="SHARED_FORMULA_15_49_15_49_5" vbProcedure="false">NA()</definedName>
    <definedName function="false" hidden="false" name="SHARED_FORMULA_15_7_15_7_4" vbProcedure="false">NA()</definedName>
    <definedName function="false" hidden="false" name="SHARED_FORMULA_15_86_15_86_4" vbProcedure="false">NA()</definedName>
    <definedName function="false" hidden="false" name="SHARED_FORMULA_15_88_15_88_4" vbProcedure="false">NA()</definedName>
    <definedName function="false" hidden="false" name="SHARED_FORMULA_16_22_16_22_7" vbProcedure="false">NA()</definedName>
    <definedName function="false" hidden="false" name="SHARED_FORMULA_16_26_16_26_5" vbProcedure="false">NA()</definedName>
    <definedName function="false" hidden="false" name="SHARED_FORMULA_16_49_16_49_5" vbProcedure="false">NA()</definedName>
    <definedName function="false" hidden="false" name="SHARED_FORMULA_16_7_16_7_4" vbProcedure="false">NA()</definedName>
    <definedName function="false" hidden="false" name="SHARED_FORMULA_16_86_16_86_4" vbProcedure="false">NA()</definedName>
    <definedName function="false" hidden="false" name="SHARED_FORMULA_16_88_16_88_4" vbProcedure="false">NA()</definedName>
    <definedName function="false" hidden="false" name="SHARED_FORMULA_17_26_17_26_5" vbProcedure="false">NA()</definedName>
    <definedName function="false" hidden="false" name="SHARED_FORMULA_17_49_17_49_5" vbProcedure="false">NA()</definedName>
    <definedName function="false" hidden="false" name="SHARED_FORMULA_17_7_17_7_4" vbProcedure="false">NA()</definedName>
    <definedName function="false" hidden="false" name="SHARED_FORMULA_17_86_17_86_4" vbProcedure="false">NA()</definedName>
    <definedName function="false" hidden="false" name="SHARED_FORMULA_17_88_17_88_4" vbProcedure="false">NA()</definedName>
    <definedName function="false" hidden="false" name="SHARED_FORMULA_18_26_18_26_5" vbProcedure="false">NA()</definedName>
    <definedName function="false" hidden="false" name="SHARED_FORMULA_18_49_18_49_5" vbProcedure="false">NA()</definedName>
    <definedName function="false" hidden="false" name="SHARED_FORMULA_18_7_18_7_4" vbProcedure="false">NA()</definedName>
    <definedName function="false" hidden="false" name="SHARED_FORMULA_18_86_18_86_4" vbProcedure="false">NA()</definedName>
    <definedName function="false" hidden="false" name="SHARED_FORMULA_18_88_18_88_4" vbProcedure="false">NA()</definedName>
    <definedName function="false" hidden="false" name="SHARED_FORMULA_19_11_19_11_7" vbProcedure="false">NA()</definedName>
    <definedName function="false" hidden="false" name="SHARED_FORMULA_19_86_19_86_4" vbProcedure="false">NA()</definedName>
    <definedName function="false" hidden="false" name="SHARED_FORMULA_19_88_19_88_4" vbProcedure="false">NA()</definedName>
    <definedName function="false" hidden="false" name="SHARED_FORMULA_19_8_19_8_7" vbProcedure="false">NA()</definedName>
    <definedName function="false" hidden="false" name="SHARED_FORMULA_1_26_1_26_5" vbProcedure="false">NA()</definedName>
    <definedName function="false" hidden="false" name="SHARED_FORMULA_1_49_1_49_5" vbProcedure="false">NA()</definedName>
    <definedName function="false" hidden="false" name="SHARED_FORMULA_20_7_20_7_4" vbProcedure="false">NA()</definedName>
    <definedName function="false" hidden="false" name="SHARED_FORMULA_20_86_20_86_4" vbProcedure="false">NA()</definedName>
    <definedName function="false" hidden="false" name="SHARED_FORMULA_20_88_20_88_4" vbProcedure="false">NA()</definedName>
    <definedName function="false" hidden="false" name="SHARED_FORMULA_21_7_21_7_4" vbProcedure="false">NA()</definedName>
    <definedName function="false" hidden="false" name="SHARED_FORMULA_21_86_21_86_4" vbProcedure="false">NA()</definedName>
    <definedName function="false" hidden="false" name="SHARED_FORMULA_21_88_21_88_4" vbProcedure="false">NA()</definedName>
    <definedName function="false" hidden="false" name="SHARED_FORMULA_22_7_22_7_4" vbProcedure="false">NA()</definedName>
    <definedName function="false" hidden="false" name="SHARED_FORMULA_22_86_22_86_4" vbProcedure="false">NA()</definedName>
    <definedName function="false" hidden="false" name="SHARED_FORMULA_22_88_22_88_4" vbProcedure="false">NA()</definedName>
    <definedName function="false" hidden="false" name="SHARED_FORMULA_22_8_22_8_7" vbProcedure="false">NA()</definedName>
    <definedName function="false" hidden="false" name="SHARED_FORMULA_23_7_23_7_4" vbProcedure="false">NA()</definedName>
    <definedName function="false" hidden="false" name="SHARED_FORMULA_23_86_23_86_4" vbProcedure="false">NA()</definedName>
    <definedName function="false" hidden="false" name="SHARED_FORMULA_23_88_23_88_4" vbProcedure="false">NA()</definedName>
    <definedName function="false" hidden="false" name="SHARED_FORMULA_24_27_24_27_5" vbProcedure="false">NA()</definedName>
    <definedName function="false" hidden="false" name="SHARED_FORMULA_24_4_24_4_5" vbProcedure="false">NA()</definedName>
    <definedName function="false" hidden="false" name="SHARED_FORMULA_24_50_24_50_5" vbProcedure="false">NA()</definedName>
    <definedName function="false" hidden="false" name="SHARED_FORMULA_24_86_24_86_4" vbProcedure="false">NA()</definedName>
    <definedName function="false" hidden="false" name="SHARED_FORMULA_24_88_24_88_4" vbProcedure="false">NA()</definedName>
    <definedName function="false" hidden="false" name="SHARED_FORMULA_25_4_25_4_6" vbProcedure="false">NA()</definedName>
    <definedName function="false" hidden="false" name="SHARED_FORMULA_25_7_25_7_4" vbProcedure="false">NA()</definedName>
    <definedName function="false" hidden="false" name="SHARED_FORMULA_25_86_25_86_4" vbProcedure="false">NA()</definedName>
    <definedName function="false" hidden="false" name="SHARED_FORMULA_25_88_25_88_4" vbProcedure="false">NA()</definedName>
    <definedName function="false" hidden="false" name="SHARED_FORMULA_26_7_26_7_4" vbProcedure="false">NA()</definedName>
    <definedName function="false" hidden="false" name="SHARED_FORMULA_26_86_26_86_4" vbProcedure="false">NA()</definedName>
    <definedName function="false" hidden="false" name="SHARED_FORMULA_26_88_26_88_4" vbProcedure="false">NA()</definedName>
    <definedName function="false" hidden="false" name="SHARED_FORMULA_27_26_27_26_5" vbProcedure="false">NA()</definedName>
    <definedName function="false" hidden="false" name="SHARED_FORMULA_27_49_27_49_5" vbProcedure="false">NA()</definedName>
    <definedName function="false" hidden="false" name="SHARED_FORMULA_27_7_27_7_4" vbProcedure="false">NA()</definedName>
    <definedName function="false" hidden="false" name="SHARED_FORMULA_27_86_27_86_4" vbProcedure="false">NA()</definedName>
    <definedName function="false" hidden="false" name="SHARED_FORMULA_27_88_27_88_4" vbProcedure="false">NA()</definedName>
    <definedName function="false" hidden="false" name="SHARED_FORMULA_28_26_28_26_5" vbProcedure="false">NA()</definedName>
    <definedName function="false" hidden="false" name="SHARED_FORMULA_28_49_28_49_5" vbProcedure="false">NA()</definedName>
    <definedName function="false" hidden="false" name="SHARED_FORMULA_28_7_28_7_4" vbProcedure="false">NA()</definedName>
    <definedName function="false" hidden="false" name="SHARED_FORMULA_28_86_28_86_4" vbProcedure="false">NA()</definedName>
    <definedName function="false" hidden="false" name="SHARED_FORMULA_28_88_28_88_4" vbProcedure="false">NA()</definedName>
    <definedName function="false" hidden="false" name="SHARED_FORMULA_29_26_29_26_5" vbProcedure="false">NA()</definedName>
    <definedName function="false" hidden="false" name="SHARED_FORMULA_29_49_29_49_5" vbProcedure="false">NA()</definedName>
    <definedName function="false" hidden="false" name="SHARED_FORMULA_29_86_29_86_4" vbProcedure="false">NA()</definedName>
    <definedName function="false" hidden="false" name="SHARED_FORMULA_29_88_29_88_4" vbProcedure="false">NA()</definedName>
    <definedName function="false" hidden="false" name="SHARED_FORMULA_2_17_2_17_7" vbProcedure="false">NA()</definedName>
    <definedName function="false" hidden="false" name="SHARED_FORMULA_2_26_2_26_5" vbProcedure="false">NA()</definedName>
    <definedName function="false" hidden="false" name="SHARED_FORMULA_2_49_2_49_5" vbProcedure="false">NA()</definedName>
    <definedName function="false" hidden="false" name="SHARED_FORMULA_2_86_2_86_4" vbProcedure="false">NA()</definedName>
    <definedName function="false" hidden="false" name="SHARED_FORMULA_2_88_2_88_4" vbProcedure="false">NA()</definedName>
    <definedName function="false" hidden="false" name="SHARED_FORMULA_2_8_2_8_7" vbProcedure="false">NA()</definedName>
    <definedName function="false" hidden="false" name="SHARED_FORMULA_30_136_30_136_1" vbProcedure="false">NA()</definedName>
    <definedName function="false" hidden="false" name="SHARED_FORMULA_30_184_30_184_1" vbProcedure="false">NA()</definedName>
    <definedName function="false" hidden="false" name="SHARED_FORMULA_30_196_30_196_1" vbProcedure="false">NA()</definedName>
    <definedName function="false" hidden="false" name="SHARED_FORMULA_30_212_30_212_1" vbProcedure="false">NA()</definedName>
    <definedName function="false" hidden="false" name="SHARED_FORMULA_30_24_30_24_1" vbProcedure="false">NA()</definedName>
    <definedName function="false" hidden="false" name="SHARED_FORMULA_30_26_30_26_5" vbProcedure="false">NA()</definedName>
    <definedName function="false" hidden="false" name="SHARED_FORMULA_30_49_30_49_5" vbProcedure="false">NA()</definedName>
    <definedName function="false" hidden="false" name="SHARED_FORMULA_30_56_30_56_1" vbProcedure="false">NA()</definedName>
    <definedName function="false" hidden="false" name="SHARED_FORMULA_30_72_30_72_1" vbProcedure="false">NA()</definedName>
    <definedName function="false" hidden="false" name="SHARED_FORMULA_30_7_30_7_4" vbProcedure="false">NA()</definedName>
    <definedName function="false" hidden="false" name="SHARED_FORMULA_30_86_30_86_4" vbProcedure="false">NA()</definedName>
    <definedName function="false" hidden="false" name="SHARED_FORMULA_30_88_30_88_4" vbProcedure="false">NA()</definedName>
    <definedName function="false" hidden="false" name="SHARED_FORMULA_31_136_31_136_1" vbProcedure="false">NA()</definedName>
    <definedName function="false" hidden="false" name="SHARED_FORMULA_31_184_31_184_1" vbProcedure="false">NA()</definedName>
    <definedName function="false" hidden="false" name="SHARED_FORMULA_31_196_31_196_1" vbProcedure="false">NA()</definedName>
    <definedName function="false" hidden="false" name="SHARED_FORMULA_31_212_31_212_1" vbProcedure="false">NA()</definedName>
    <definedName function="false" hidden="false" name="SHARED_FORMULA_31_24_31_24_1" vbProcedure="false">NA()</definedName>
    <definedName function="false" hidden="false" name="SHARED_FORMULA_31_26_31_26_5" vbProcedure="false">NA()</definedName>
    <definedName function="false" hidden="false" name="SHARED_FORMULA_31_49_31_49_5" vbProcedure="false">NA()</definedName>
    <definedName function="false" hidden="false" name="SHARED_FORMULA_31_56_31_56_1" vbProcedure="false">NA()</definedName>
    <definedName function="false" hidden="false" name="SHARED_FORMULA_31_72_31_72_1" vbProcedure="false">NA()</definedName>
    <definedName function="false" hidden="false" name="SHARED_FORMULA_31_7_31_7_4" vbProcedure="false">NA()</definedName>
    <definedName function="false" hidden="false" name="SHARED_FORMULA_31_86_31_86_4" vbProcedure="false">NA()</definedName>
    <definedName function="false" hidden="false" name="SHARED_FORMULA_31_88_31_88_4" vbProcedure="false">NA()</definedName>
    <definedName function="false" hidden="false" name="SHARED_FORMULA_32_136_32_136_1" vbProcedure="false">NA()</definedName>
    <definedName function="false" hidden="false" name="SHARED_FORMULA_32_184_32_184_1" vbProcedure="false">NA()</definedName>
    <definedName function="false" hidden="false" name="SHARED_FORMULA_32_196_32_196_1" vbProcedure="false">NA()</definedName>
    <definedName function="false" hidden="false" name="SHARED_FORMULA_32_212_32_212_1" vbProcedure="false">NA()</definedName>
    <definedName function="false" hidden="false" name="SHARED_FORMULA_32_24_32_24_1" vbProcedure="false">NA()</definedName>
    <definedName function="false" hidden="false" name="SHARED_FORMULA_32_26_32_26_5" vbProcedure="false">NA()</definedName>
    <definedName function="false" hidden="false" name="SHARED_FORMULA_32_49_32_49_5" vbProcedure="false">NA()</definedName>
    <definedName function="false" hidden="false" name="SHARED_FORMULA_32_56_32_56_1" vbProcedure="false">NA()</definedName>
    <definedName function="false" hidden="false" name="SHARED_FORMULA_32_72_32_72_1" vbProcedure="false">NA()</definedName>
    <definedName function="false" hidden="false" name="SHARED_FORMULA_32_7_32_7_4" vbProcedure="false">NA()</definedName>
    <definedName function="false" hidden="false" name="SHARED_FORMULA_32_86_32_86_4" vbProcedure="false">NA()</definedName>
    <definedName function="false" hidden="false" name="SHARED_FORMULA_32_88_32_88_4" vbProcedure="false">NA()</definedName>
    <definedName function="false" hidden="false" name="SHARED_FORMULA_32_9_32_9_7" vbProcedure="false">NA()</definedName>
    <definedName function="false" hidden="false" name="SHARED_FORMULA_33_136_33_136_1" vbProcedure="false">NA()</definedName>
    <definedName function="false" hidden="false" name="SHARED_FORMULA_33_13_33_13_7" vbProcedure="false">NA()</definedName>
    <definedName function="false" hidden="false" name="SHARED_FORMULA_33_184_33_184_1" vbProcedure="false">NA()</definedName>
    <definedName function="false" hidden="false" name="SHARED_FORMULA_33_196_33_196_1" vbProcedure="false">NA()</definedName>
    <definedName function="false" hidden="false" name="SHARED_FORMULA_33_212_33_212_1" vbProcedure="false">NA()</definedName>
    <definedName function="false" hidden="false" name="SHARED_FORMULA_33_24_33_24_1" vbProcedure="false">NA()</definedName>
    <definedName function="false" hidden="false" name="SHARED_FORMULA_33_26_33_26_5" vbProcedure="false">NA()</definedName>
    <definedName function="false" hidden="false" name="SHARED_FORMULA_33_49_33_49_5" vbProcedure="false">NA()</definedName>
    <definedName function="false" hidden="false" name="SHARED_FORMULA_33_56_33_56_1" vbProcedure="false">NA()</definedName>
    <definedName function="false" hidden="false" name="SHARED_FORMULA_33_72_33_72_1" vbProcedure="false">NA()</definedName>
    <definedName function="false" hidden="false" name="SHARED_FORMULA_33_7_33_7_4" vbProcedure="false">NA()</definedName>
    <definedName function="false" hidden="false" name="SHARED_FORMULA_33_86_33_86_4" vbProcedure="false">NA()</definedName>
    <definedName function="false" hidden="false" name="SHARED_FORMULA_33_88_33_88_4" vbProcedure="false">NA()</definedName>
    <definedName function="false" hidden="false" name="SHARED_FORMULA_34_136_34_136_1" vbProcedure="false">NA()</definedName>
    <definedName function="false" hidden="false" name="SHARED_FORMULA_34_184_34_184_1" vbProcedure="false">NA()</definedName>
    <definedName function="false" hidden="false" name="SHARED_FORMULA_34_196_34_196_1" vbProcedure="false">NA()</definedName>
    <definedName function="false" hidden="false" name="SHARED_FORMULA_34_212_34_212_1" vbProcedure="false">NA()</definedName>
    <definedName function="false" hidden="false" name="SHARED_FORMULA_34_24_34_24_1" vbProcedure="false">NA()</definedName>
    <definedName function="false" hidden="false" name="SHARED_FORMULA_34_26_34_26_5" vbProcedure="false">NA()</definedName>
    <definedName function="false" hidden="false" name="SHARED_FORMULA_34_49_34_49_5" vbProcedure="false">NA()</definedName>
    <definedName function="false" hidden="false" name="SHARED_FORMULA_34_56_34_56_1" vbProcedure="false">NA()</definedName>
    <definedName function="false" hidden="false" name="SHARED_FORMULA_34_72_34_72_1" vbProcedure="false">NA()</definedName>
    <definedName function="false" hidden="false" name="SHARED_FORMULA_34_86_34_86_4" vbProcedure="false">NA()</definedName>
    <definedName function="false" hidden="false" name="SHARED_FORMULA_34_88_34_88_4" vbProcedure="false">NA()</definedName>
    <definedName function="false" hidden="false" name="SHARED_FORMULA_35_136_35_136_1" vbProcedure="false">NA()</definedName>
    <definedName function="false" hidden="false" name="SHARED_FORMULA_35_184_35_184_1" vbProcedure="false">NA()</definedName>
    <definedName function="false" hidden="false" name="SHARED_FORMULA_35_196_35_196_1" vbProcedure="false">NA()</definedName>
    <definedName function="false" hidden="false" name="SHARED_FORMULA_35_212_35_212_1" vbProcedure="false">NA()</definedName>
    <definedName function="false" hidden="false" name="SHARED_FORMULA_35_24_35_24_1" vbProcedure="false">NA()</definedName>
    <definedName function="false" hidden="false" name="SHARED_FORMULA_35_26_35_26_5" vbProcedure="false">NA()</definedName>
    <definedName function="false" hidden="false" name="SHARED_FORMULA_35_49_35_49_5" vbProcedure="false">NA()</definedName>
    <definedName function="false" hidden="false" name="SHARED_FORMULA_35_56_35_56_1" vbProcedure="false">NA()</definedName>
    <definedName function="false" hidden="false" name="SHARED_FORMULA_35_72_35_72_1" vbProcedure="false">NA()</definedName>
    <definedName function="false" hidden="false" name="SHARED_FORMULA_35_7_35_7_4" vbProcedure="false">NA()</definedName>
    <definedName function="false" hidden="false" name="SHARED_FORMULA_35_86_35_86_4" vbProcedure="false">NA()</definedName>
    <definedName function="false" hidden="false" name="SHARED_FORMULA_35_88_35_88_4" vbProcedure="false">NA()</definedName>
    <definedName function="false" hidden="false" name="SHARED_FORMULA_36_136_36_136_1" vbProcedure="false">NA()</definedName>
    <definedName function="false" hidden="false" name="SHARED_FORMULA_36_184_36_184_1" vbProcedure="false">NA()</definedName>
    <definedName function="false" hidden="false" name="SHARED_FORMULA_36_196_36_196_1" vbProcedure="false">NA()</definedName>
    <definedName function="false" hidden="false" name="SHARED_FORMULA_36_212_36_212_1" vbProcedure="false">NA()</definedName>
    <definedName function="false" hidden="false" name="SHARED_FORMULA_36_24_36_24_1" vbProcedure="false">NA()</definedName>
    <definedName function="false" hidden="false" name="SHARED_FORMULA_36_26_36_26_5" vbProcedure="false">NA()</definedName>
    <definedName function="false" hidden="false" name="SHARED_FORMULA_36_49_36_49_5" vbProcedure="false">NA()</definedName>
    <definedName function="false" hidden="false" name="SHARED_FORMULA_36_56_36_56_1" vbProcedure="false">NA()</definedName>
    <definedName function="false" hidden="false" name="SHARED_FORMULA_36_72_36_72_1" vbProcedure="false">NA()</definedName>
    <definedName function="false" hidden="false" name="SHARED_FORMULA_36_7_36_7_4" vbProcedure="false">NA()</definedName>
    <definedName function="false" hidden="false" name="SHARED_FORMULA_36_86_36_86_4" vbProcedure="false">NA()</definedName>
    <definedName function="false" hidden="false" name="SHARED_FORMULA_36_88_36_88_4" vbProcedure="false">NA()</definedName>
    <definedName function="false" hidden="false" name="SHARED_FORMULA_37_136_37_136_1" vbProcedure="false">NA()</definedName>
    <definedName function="false" hidden="false" name="SHARED_FORMULA_37_184_37_184_1" vbProcedure="false">NA()</definedName>
    <definedName function="false" hidden="false" name="SHARED_FORMULA_37_196_37_196_1" vbProcedure="false">NA()</definedName>
    <definedName function="false" hidden="false" name="SHARED_FORMULA_37_212_37_212_1" vbProcedure="false">NA()</definedName>
    <definedName function="false" hidden="false" name="SHARED_FORMULA_37_24_37_24_1" vbProcedure="false">NA()</definedName>
    <definedName function="false" hidden="false" name="SHARED_FORMULA_37_26_37_26_5" vbProcedure="false">NA()</definedName>
    <definedName function="false" hidden="false" name="SHARED_FORMULA_37_49_37_49_5" vbProcedure="false">NA()</definedName>
    <definedName function="false" hidden="false" name="SHARED_FORMULA_37_56_37_56_1" vbProcedure="false">NA()</definedName>
    <definedName function="false" hidden="false" name="SHARED_FORMULA_37_72_37_72_1" vbProcedure="false">NA()</definedName>
    <definedName function="false" hidden="false" name="SHARED_FORMULA_37_7_37_7_4" vbProcedure="false">NA()</definedName>
    <definedName function="false" hidden="false" name="SHARED_FORMULA_37_86_37_86_4" vbProcedure="false">NA()</definedName>
    <definedName function="false" hidden="false" name="SHARED_FORMULA_37_88_37_88_4" vbProcedure="false">NA()</definedName>
    <definedName function="false" hidden="false" name="SHARED_FORMULA_38_136_38_136_1" vbProcedure="false">NA()</definedName>
    <definedName function="false" hidden="false" name="SHARED_FORMULA_38_184_38_184_1" vbProcedure="false">NA()</definedName>
    <definedName function="false" hidden="false" name="SHARED_FORMULA_38_196_38_196_1" vbProcedure="false">NA()</definedName>
    <definedName function="false" hidden="false" name="SHARED_FORMULA_38_212_38_212_1" vbProcedure="false">NA()</definedName>
    <definedName function="false" hidden="false" name="SHARED_FORMULA_38_24_38_24_1" vbProcedure="false">NA()</definedName>
    <definedName function="false" hidden="false" name="SHARED_FORMULA_38_56_38_56_1" vbProcedure="false">NA()</definedName>
    <definedName function="false" hidden="false" name="SHARED_FORMULA_38_72_38_72_1" vbProcedure="false">NA()</definedName>
    <definedName function="false" hidden="false" name="SHARED_FORMULA_38_7_38_7_4" vbProcedure="false">NA()</definedName>
    <definedName function="false" hidden="false" name="SHARED_FORMULA_38_86_38_86_4" vbProcedure="false">NA()</definedName>
    <definedName function="false" hidden="false" name="SHARED_FORMULA_38_88_38_88_4" vbProcedure="false">NA()</definedName>
    <definedName function="false" hidden="false" name="SHARED_FORMULA_39_136_39_136_1" vbProcedure="false">NA()</definedName>
    <definedName function="false" hidden="false" name="SHARED_FORMULA_39_184_39_184_1" vbProcedure="false">NA()</definedName>
    <definedName function="false" hidden="false" name="SHARED_FORMULA_39_196_39_196_1" vbProcedure="false">NA()</definedName>
    <definedName function="false" hidden="false" name="SHARED_FORMULA_39_212_39_212_1" vbProcedure="false">NA()</definedName>
    <definedName function="false" hidden="false" name="SHARED_FORMULA_39_24_39_24_1" vbProcedure="false">NA()</definedName>
    <definedName function="false" hidden="false" name="SHARED_FORMULA_39_56_39_56_1" vbProcedure="false">NA()</definedName>
    <definedName function="false" hidden="false" name="SHARED_FORMULA_39_72_39_72_1" vbProcedure="false">NA()</definedName>
    <definedName function="false" hidden="false" name="SHARED_FORMULA_39_86_39_86_4" vbProcedure="false">NA()</definedName>
    <definedName function="false" hidden="false" name="SHARED_FORMULA_39_88_39_88_4" vbProcedure="false">NA()</definedName>
    <definedName function="false" hidden="false" name="SHARED_FORMULA_3_13_3_13_7" vbProcedure="false">NA()</definedName>
    <definedName function="false" hidden="false" name="SHARED_FORMULA_3_24_3_24_7" vbProcedure="false">NA()</definedName>
    <definedName function="false" hidden="false" name="SHARED_FORMULA_3_26_3_26_5" vbProcedure="false">NA()</definedName>
    <definedName function="false" hidden="false" name="SHARED_FORMULA_3_27_3_27_7" vbProcedure="false">NA()</definedName>
    <definedName function="false" hidden="false" name="SHARED_FORMULA_3_49_3_49_5" vbProcedure="false">NA()</definedName>
    <definedName function="false" hidden="false" name="SHARED_FORMULA_3_86_3_86_4" vbProcedure="false">NA()</definedName>
    <definedName function="false" hidden="false" name="SHARED_FORMULA_3_88_3_88_4" vbProcedure="false">NA()</definedName>
    <definedName function="false" hidden="false" name="SHARED_FORMULA_3_8_3_8_7" vbProcedure="false">NA()</definedName>
    <definedName function="false" hidden="false" name="SHARED_FORMULA_40_136_40_136_1" vbProcedure="false">NA()</definedName>
    <definedName function="false" hidden="false" name="SHARED_FORMULA_40_184_40_184_1" vbProcedure="false">NA()</definedName>
    <definedName function="false" hidden="false" name="SHARED_FORMULA_40_196_40_196_1" vbProcedure="false">NA()</definedName>
    <definedName function="false" hidden="false" name="SHARED_FORMULA_40_212_40_212_1" vbProcedure="false">NA()</definedName>
    <definedName function="false" hidden="false" name="SHARED_FORMULA_40_24_40_24_1" vbProcedure="false">NA()</definedName>
    <definedName function="false" hidden="false" name="SHARED_FORMULA_40_56_40_56_1" vbProcedure="false">NA()</definedName>
    <definedName function="false" hidden="false" name="SHARED_FORMULA_40_72_40_72_1" vbProcedure="false">NA()</definedName>
    <definedName function="false" hidden="false" name="SHARED_FORMULA_40_7_40_7_4" vbProcedure="false">NA()</definedName>
    <definedName function="false" hidden="false" name="SHARED_FORMULA_40_86_40_86_4" vbProcedure="false">NA()</definedName>
    <definedName function="false" hidden="false" name="SHARED_FORMULA_40_88_40_88_4" vbProcedure="false">NA()</definedName>
    <definedName function="false" hidden="false" name="SHARED_FORMULA_41_136_41_136_1" vbProcedure="false">NA()</definedName>
    <definedName function="false" hidden="false" name="SHARED_FORMULA_41_184_41_184_1" vbProcedure="false">NA()</definedName>
    <definedName function="false" hidden="false" name="SHARED_FORMULA_41_196_41_196_1" vbProcedure="false">NA()</definedName>
    <definedName function="false" hidden="false" name="SHARED_FORMULA_41_212_41_212_1" vbProcedure="false">NA()</definedName>
    <definedName function="false" hidden="false" name="SHARED_FORMULA_41_24_41_24_1" vbProcedure="false">NA()</definedName>
    <definedName function="false" hidden="false" name="SHARED_FORMULA_41_56_41_56_1" vbProcedure="false">NA()</definedName>
    <definedName function="false" hidden="false" name="SHARED_FORMULA_41_72_41_72_1" vbProcedure="false">NA()</definedName>
    <definedName function="false" hidden="false" name="SHARED_FORMULA_41_7_41_7_4" vbProcedure="false">NA()</definedName>
    <definedName function="false" hidden="false" name="SHARED_FORMULA_41_86_41_86_4" vbProcedure="false">NA()</definedName>
    <definedName function="false" hidden="false" name="SHARED_FORMULA_41_88_41_88_4" vbProcedure="false">NA()</definedName>
    <definedName function="false" hidden="false" name="SHARED_FORMULA_42_212_42_212_1" vbProcedure="false">NA()</definedName>
    <definedName function="false" hidden="false" name="SHARED_FORMULA_42_26_42_26_5" vbProcedure="false">NA()</definedName>
    <definedName function="false" hidden="false" name="SHARED_FORMULA_42_49_42_49_5" vbProcedure="false">NA()</definedName>
    <definedName function="false" hidden="false" name="SHARED_FORMULA_42_56_42_56_1" vbProcedure="false">NA()</definedName>
    <definedName function="false" hidden="false" name="SHARED_FORMULA_42_7_42_7_4" vbProcedure="false">NA()</definedName>
    <definedName function="false" hidden="false" name="SHARED_FORMULA_42_86_42_86_4" vbProcedure="false">NA()</definedName>
    <definedName function="false" hidden="false" name="SHARED_FORMULA_42_88_42_88_4" vbProcedure="false">NA()</definedName>
    <definedName function="false" hidden="false" name="SHARED_FORMULA_43_56_43_56_1" vbProcedure="false">NA()</definedName>
    <definedName function="false" hidden="false" name="SHARED_FORMULA_43_72_43_72_1" vbProcedure="false">NA()</definedName>
    <definedName function="false" hidden="false" name="SHARED_FORMULA_43_7_43_7_4" vbProcedure="false">NA()</definedName>
    <definedName function="false" hidden="false" name="SHARED_FORMULA_43_86_43_86_4" vbProcedure="false">NA()</definedName>
    <definedName function="false" hidden="false" name="SHARED_FORMULA_43_88_43_88_4" vbProcedure="false">NA()</definedName>
    <definedName function="false" hidden="false" name="SHARED_FORMULA_43_8_43_8_1" vbProcedure="false">NA()</definedName>
    <definedName function="false" hidden="false" name="SHARED_FORMULA_44_27_44_27_5" vbProcedure="false">NA()</definedName>
    <definedName function="false" hidden="false" name="SHARED_FORMULA_44_4_44_4_5" vbProcedure="false">NA()</definedName>
    <definedName function="false" hidden="false" name="SHARED_FORMULA_44_50_44_50_5" vbProcedure="false">NA()</definedName>
    <definedName function="false" hidden="false" name="SHARED_FORMULA_44_56_44_56_1" vbProcedure="false">NA()</definedName>
    <definedName function="false" hidden="false" name="SHARED_FORMULA_44_72_44_72_1" vbProcedure="false">NA()</definedName>
    <definedName function="false" hidden="false" name="SHARED_FORMULA_44_86_44_86_4" vbProcedure="false">NA()</definedName>
    <definedName function="false" hidden="false" name="SHARED_FORMULA_44_88_44_88_4" vbProcedure="false">NA()</definedName>
    <definedName function="false" hidden="false" name="SHARED_FORMULA_44_8_44_8_1" vbProcedure="false">NA()</definedName>
    <definedName function="false" hidden="false" name="SHARED_FORMULA_45_212_45_212_1" vbProcedure="false">NA()</definedName>
    <definedName function="false" hidden="false" name="SHARED_FORMULA_45_228_45_228_1" vbProcedure="false">NA()</definedName>
    <definedName function="false" hidden="false" name="SHARED_FORMULA_45_4_45_4_6" vbProcedure="false">NA()</definedName>
    <definedName function="false" hidden="false" name="SHARED_FORMULA_45_56_45_56_1" vbProcedure="false">NA()</definedName>
    <definedName function="false" hidden="false" name="SHARED_FORMULA_45_72_45_72_1" vbProcedure="false">NA()</definedName>
    <definedName function="false" hidden="false" name="SHARED_FORMULA_45_7_45_7_4" vbProcedure="false">NA()</definedName>
    <definedName function="false" hidden="false" name="SHARED_FORMULA_45_86_45_86_4" vbProcedure="false">NA()</definedName>
    <definedName function="false" hidden="false" name="SHARED_FORMULA_45_88_45_88_4" vbProcedure="false">NA()</definedName>
    <definedName function="false" hidden="false" name="SHARED_FORMULA_45_8_45_8_1" vbProcedure="false">NA()</definedName>
    <definedName function="false" hidden="false" name="SHARED_FORMULA_46_136_46_136_1" vbProcedure="false">NA()</definedName>
    <definedName function="false" hidden="false" name="SHARED_FORMULA_46_184_46_184_1" vbProcedure="false">NA()</definedName>
    <definedName function="false" hidden="false" name="SHARED_FORMULA_46_196_46_196_1" vbProcedure="false">NA()</definedName>
    <definedName function="false" hidden="false" name="SHARED_FORMULA_46_212_46_212_1" vbProcedure="false">NA()</definedName>
    <definedName function="false" hidden="false" name="SHARED_FORMULA_46_24_46_24_1" vbProcedure="false">NA()</definedName>
    <definedName function="false" hidden="false" name="SHARED_FORMULA_46_56_46_56_1" vbProcedure="false">NA()</definedName>
    <definedName function="false" hidden="false" name="SHARED_FORMULA_46_72_46_72_1" vbProcedure="false">NA()</definedName>
    <definedName function="false" hidden="false" name="SHARED_FORMULA_46_7_46_7_4" vbProcedure="false">NA()</definedName>
    <definedName function="false" hidden="false" name="SHARED_FORMULA_46_86_46_86_4" vbProcedure="false">NA()</definedName>
    <definedName function="false" hidden="false" name="SHARED_FORMULA_46_88_46_88_4" vbProcedure="false">NA()</definedName>
    <definedName function="false" hidden="false" name="SHARED_FORMULA_47_104_47_104_1" vbProcedure="false">NA()</definedName>
    <definedName function="false" hidden="false" name="SHARED_FORMULA_47_120_47_120_1" vbProcedure="false">NA()</definedName>
    <definedName function="false" hidden="false" name="SHARED_FORMULA_47_136_47_136_1" vbProcedure="false">NA()</definedName>
    <definedName function="false" hidden="false" name="SHARED_FORMULA_47_152_47_152_1" vbProcedure="false">NA()</definedName>
    <definedName function="false" hidden="false" name="SHARED_FORMULA_47_168_47_168_1" vbProcedure="false">NA()</definedName>
    <definedName function="false" hidden="false" name="SHARED_FORMULA_47_184_47_184_1" vbProcedure="false">NA()</definedName>
    <definedName function="false" hidden="false" name="SHARED_FORMULA_47_187_47_187_1" vbProcedure="false">NA()</definedName>
    <definedName function="false" hidden="false" name="SHARED_FORMULA_47_190_47_190_1" vbProcedure="false">NA()</definedName>
    <definedName function="false" hidden="false" name="SHARED_FORMULA_47_193_47_193_1" vbProcedure="false">NA()</definedName>
    <definedName function="false" hidden="false" name="SHARED_FORMULA_47_196_47_196_1" vbProcedure="false">NA()</definedName>
    <definedName function="false" hidden="false" name="SHARED_FORMULA_47_212_47_212_1" vbProcedure="false">NA()</definedName>
    <definedName function="false" hidden="false" name="SHARED_FORMULA_47_228_47_228_1" vbProcedure="false">NA()</definedName>
    <definedName function="false" hidden="false" name="SHARED_FORMULA_47_24_47_24_1" vbProcedure="false">NA()</definedName>
    <definedName function="false" hidden="false" name="SHARED_FORMULA_47_40_47_40_1" vbProcedure="false">NA()</definedName>
    <definedName function="false" hidden="false" name="SHARED_FORMULA_47_56_47_56_1" vbProcedure="false">NA()</definedName>
    <definedName function="false" hidden="false" name="SHARED_FORMULA_47_72_47_72_1" vbProcedure="false">NA()</definedName>
    <definedName function="false" hidden="false" name="SHARED_FORMULA_47_7_47_7_4" vbProcedure="false">NA()</definedName>
    <definedName function="false" hidden="false" name="SHARED_FORMULA_47_86_47_86_4" vbProcedure="false">NA()</definedName>
    <definedName function="false" hidden="false" name="SHARED_FORMULA_47_88_47_88_1" vbProcedure="false">NA()</definedName>
    <definedName function="false" hidden="false" name="SHARED_FORMULA_47_88_47_88_4" vbProcedure="false">NA()</definedName>
    <definedName function="false" hidden="false" name="SHARED_FORMULA_47_8_47_8_1" vbProcedure="false">NA()</definedName>
    <definedName function="false" hidden="false" name="SHARED_FORMULA_48_104_48_104_1" vbProcedure="false">NA()</definedName>
    <definedName function="false" hidden="false" name="SHARED_FORMULA_48_120_48_120_1" vbProcedure="false">NA()</definedName>
    <definedName function="false" hidden="false" name="SHARED_FORMULA_48_136_48_136_1" vbProcedure="false">NA()</definedName>
    <definedName function="false" hidden="false" name="SHARED_FORMULA_48_152_48_152_1" vbProcedure="false">NA()</definedName>
    <definedName function="false" hidden="false" name="SHARED_FORMULA_48_168_48_168_1" vbProcedure="false">NA()</definedName>
    <definedName function="false" hidden="false" name="SHARED_FORMULA_48_184_48_184_1" vbProcedure="false">NA()</definedName>
    <definedName function="false" hidden="false" name="SHARED_FORMULA_48_187_48_187_1" vbProcedure="false">NA()</definedName>
    <definedName function="false" hidden="false" name="SHARED_FORMULA_48_190_48_190_1" vbProcedure="false">NA()</definedName>
    <definedName function="false" hidden="false" name="SHARED_FORMULA_48_193_48_193_1" vbProcedure="false">NA()</definedName>
    <definedName function="false" hidden="false" name="SHARED_FORMULA_48_196_48_196_1" vbProcedure="false">NA()</definedName>
    <definedName function="false" hidden="false" name="SHARED_FORMULA_48_212_48_212_1" vbProcedure="false">NA()</definedName>
    <definedName function="false" hidden="false" name="SHARED_FORMULA_48_228_48_228_1" vbProcedure="false">NA()</definedName>
    <definedName function="false" hidden="false" name="SHARED_FORMULA_48_24_48_24_1" vbProcedure="false">NA()</definedName>
    <definedName function="false" hidden="false" name="SHARED_FORMULA_48_40_48_40_1" vbProcedure="false">NA()</definedName>
    <definedName function="false" hidden="false" name="SHARED_FORMULA_48_51_48_51_5" vbProcedure="false">NA()</definedName>
    <definedName function="false" hidden="false" name="SHARED_FORMULA_48_56_48_56_1" vbProcedure="false">NA()</definedName>
    <definedName function="false" hidden="false" name="SHARED_FORMULA_48_72_48_72_1" vbProcedure="false">NA()</definedName>
    <definedName function="false" hidden="false" name="SHARED_FORMULA_48_7_48_7_4" vbProcedure="false">NA()</definedName>
    <definedName function="false" hidden="false" name="SHARED_FORMULA_48_86_48_86_4" vbProcedure="false">NA()</definedName>
    <definedName function="false" hidden="false" name="SHARED_FORMULA_48_88_48_88_1" vbProcedure="false">NA()</definedName>
    <definedName function="false" hidden="false" name="SHARED_FORMULA_48_88_48_88_4" vbProcedure="false">NA()</definedName>
    <definedName function="false" hidden="false" name="SHARED_FORMULA_48_8_48_8_1" vbProcedure="false">NA()</definedName>
    <definedName function="false" hidden="false" name="SHARED_FORMULA_48_8_48_8_7" vbProcedure="false">NA()</definedName>
    <definedName function="false" hidden="false" name="SHARED_FORMULA_49_104_49_104_1" vbProcedure="false">NA()</definedName>
    <definedName function="false" hidden="false" name="SHARED_FORMULA_49_120_49_120_1" vbProcedure="false">NA()</definedName>
    <definedName function="false" hidden="false" name="SHARED_FORMULA_49_136_49_136_1" vbProcedure="false">NA()</definedName>
    <definedName function="false" hidden="false" name="SHARED_FORMULA_49_152_49_152_1" vbProcedure="false">NA()</definedName>
    <definedName function="false" hidden="false" name="SHARED_FORMULA_49_168_49_168_1" vbProcedure="false">NA()</definedName>
    <definedName function="false" hidden="false" name="SHARED_FORMULA_49_184_49_184_1" vbProcedure="false">NA()</definedName>
    <definedName function="false" hidden="false" name="SHARED_FORMULA_49_187_49_187_1" vbProcedure="false">NA()</definedName>
    <definedName function="false" hidden="false" name="SHARED_FORMULA_49_190_49_190_1" vbProcedure="false">NA()</definedName>
    <definedName function="false" hidden="false" name="SHARED_FORMULA_49_193_49_193_1" vbProcedure="false">NA()</definedName>
    <definedName function="false" hidden="false" name="SHARED_FORMULA_49_196_49_196_1" vbProcedure="false">NA()</definedName>
    <definedName function="false" hidden="false" name="SHARED_FORMULA_49_212_49_212_1" vbProcedure="false">NA()</definedName>
    <definedName function="false" hidden="false" name="SHARED_FORMULA_49_228_49_228_1" vbProcedure="false">NA()</definedName>
    <definedName function="false" hidden="false" name="SHARED_FORMULA_49_24_49_24_1" vbProcedure="false">NA()</definedName>
    <definedName function="false" hidden="false" name="SHARED_FORMULA_49_27_49_27_5" vbProcedure="false">NA()</definedName>
    <definedName function="false" hidden="false" name="SHARED_FORMULA_49_40_49_40_1" vbProcedure="false">NA()</definedName>
    <definedName function="false" hidden="false" name="SHARED_FORMULA_49_50_49_50_5" vbProcedure="false">NA()</definedName>
    <definedName function="false" hidden="false" name="SHARED_FORMULA_49_56_49_56_1" vbProcedure="false">NA()</definedName>
    <definedName function="false" hidden="false" name="SHARED_FORMULA_49_72_49_72_1" vbProcedure="false">NA()</definedName>
    <definedName function="false" hidden="false" name="SHARED_FORMULA_49_86_49_86_4" vbProcedure="false">NA()</definedName>
    <definedName function="false" hidden="false" name="SHARED_FORMULA_49_88_49_88_1" vbProcedure="false">NA()</definedName>
    <definedName function="false" hidden="false" name="SHARED_FORMULA_49_88_49_88_4" vbProcedure="false">NA()</definedName>
    <definedName function="false" hidden="false" name="SHARED_FORMULA_49_8_49_8_1" vbProcedure="false">NA()</definedName>
    <definedName function="false" hidden="false" name="SHARED_FORMULA_4_26_4_26_5" vbProcedure="false">NA()</definedName>
    <definedName function="false" hidden="false" name="SHARED_FORMULA_4_49_4_49_5" vbProcedure="false">NA()</definedName>
    <definedName function="false" hidden="false" name="SHARED_FORMULA_4_86_4_86_4" vbProcedure="false">NA()</definedName>
    <definedName function="false" hidden="false" name="SHARED_FORMULA_4_88_4_88_4" vbProcedure="false">NA()</definedName>
    <definedName function="false" hidden="false" name="SHARED_FORMULA_50_104_50_104_1" vbProcedure="false">NA()</definedName>
    <definedName function="false" hidden="false" name="SHARED_FORMULA_50_120_50_120_1" vbProcedure="false">NA()</definedName>
    <definedName function="false" hidden="false" name="SHARED_FORMULA_50_136_50_136_1" vbProcedure="false">NA()</definedName>
    <definedName function="false" hidden="false" name="SHARED_FORMULA_50_152_50_152_1" vbProcedure="false">NA()</definedName>
    <definedName function="false" hidden="false" name="SHARED_FORMULA_50_168_50_168_1" vbProcedure="false">NA()</definedName>
    <definedName function="false" hidden="false" name="SHARED_FORMULA_50_184_50_184_1" vbProcedure="false">NA()</definedName>
    <definedName function="false" hidden="false" name="SHARED_FORMULA_50_187_50_187_1" vbProcedure="false">NA()</definedName>
    <definedName function="false" hidden="false" name="SHARED_FORMULA_50_190_50_190_1" vbProcedure="false">NA()</definedName>
    <definedName function="false" hidden="false" name="SHARED_FORMULA_50_193_50_193_1" vbProcedure="false">NA()</definedName>
    <definedName function="false" hidden="false" name="SHARED_FORMULA_50_196_50_196_1" vbProcedure="false">NA()</definedName>
    <definedName function="false" hidden="false" name="SHARED_FORMULA_50_212_50_212_1" vbProcedure="false">NA()</definedName>
    <definedName function="false" hidden="false" name="SHARED_FORMULA_50_228_50_228_1" vbProcedure="false">NA()</definedName>
    <definedName function="false" hidden="false" name="SHARED_FORMULA_50_24_50_24_1" vbProcedure="false">NA()</definedName>
    <definedName function="false" hidden="false" name="SHARED_FORMULA_50_27_50_27_5" vbProcedure="false">NA()</definedName>
    <definedName function="false" hidden="false" name="SHARED_FORMULA_50_40_50_40_1" vbProcedure="false">NA()</definedName>
    <definedName function="false" hidden="false" name="SHARED_FORMULA_50_51_50_51_5" vbProcedure="false">NA()</definedName>
    <definedName function="false" hidden="false" name="SHARED_FORMULA_50_56_50_56_1" vbProcedure="false">NA()</definedName>
    <definedName function="false" hidden="false" name="SHARED_FORMULA_50_72_50_72_1" vbProcedure="false">NA()</definedName>
    <definedName function="false" hidden="false" name="SHARED_FORMULA_50_7_50_7_4" vbProcedure="false">NA()</definedName>
    <definedName function="false" hidden="false" name="SHARED_FORMULA_50_86_50_86_4" vbProcedure="false">NA()</definedName>
    <definedName function="false" hidden="false" name="SHARED_FORMULA_50_88_50_88_1" vbProcedure="false">NA()</definedName>
    <definedName function="false" hidden="false" name="SHARED_FORMULA_50_88_50_88_4" vbProcedure="false">NA()</definedName>
    <definedName function="false" hidden="false" name="SHARED_FORMULA_50_8_50_8_1" vbProcedure="false">NA()</definedName>
    <definedName function="false" hidden="false" name="SHARED_FORMULA_51_104_51_104_1" vbProcedure="false">NA()</definedName>
    <definedName function="false" hidden="false" name="SHARED_FORMULA_51_120_51_120_1" vbProcedure="false">NA()</definedName>
    <definedName function="false" hidden="false" name="SHARED_FORMULA_51_136_51_136_1" vbProcedure="false">NA()</definedName>
    <definedName function="false" hidden="false" name="SHARED_FORMULA_51_152_51_152_1" vbProcedure="false">NA()</definedName>
    <definedName function="false" hidden="false" name="SHARED_FORMULA_51_168_51_168_1" vbProcedure="false">NA()</definedName>
    <definedName function="false" hidden="false" name="SHARED_FORMULA_51_184_51_184_1" vbProcedure="false">NA()</definedName>
    <definedName function="false" hidden="false" name="SHARED_FORMULA_51_187_51_187_1" vbProcedure="false">NA()</definedName>
    <definedName function="false" hidden="false" name="SHARED_FORMULA_51_190_51_190_1" vbProcedure="false">NA()</definedName>
    <definedName function="false" hidden="false" name="SHARED_FORMULA_51_193_51_193_1" vbProcedure="false">NA()</definedName>
    <definedName function="false" hidden="false" name="SHARED_FORMULA_51_196_51_196_1" vbProcedure="false">NA()</definedName>
    <definedName function="false" hidden="false" name="SHARED_FORMULA_51_212_51_212_1" vbProcedure="false">NA()</definedName>
    <definedName function="false" hidden="false" name="SHARED_FORMULA_51_228_51_228_1" vbProcedure="false">NA()</definedName>
    <definedName function="false" hidden="false" name="SHARED_FORMULA_51_24_51_24_1" vbProcedure="false">NA()</definedName>
    <definedName function="false" hidden="false" name="SHARED_FORMULA_51_28_51_28_5" vbProcedure="false">NA()</definedName>
    <definedName function="false" hidden="false" name="SHARED_FORMULA_51_40_51_40_1" vbProcedure="false">NA()</definedName>
    <definedName function="false" hidden="false" name="SHARED_FORMULA_51_56_51_56_1" vbProcedure="false">NA()</definedName>
    <definedName function="false" hidden="false" name="SHARED_FORMULA_51_72_51_72_1" vbProcedure="false">NA()</definedName>
    <definedName function="false" hidden="false" name="SHARED_FORMULA_51_7_51_7_4" vbProcedure="false">NA()</definedName>
    <definedName function="false" hidden="false" name="SHARED_FORMULA_51_86_51_86_4" vbProcedure="false">NA()</definedName>
    <definedName function="false" hidden="false" name="SHARED_FORMULA_51_88_51_88_1" vbProcedure="false">NA()</definedName>
    <definedName function="false" hidden="false" name="SHARED_FORMULA_51_88_51_88_4" vbProcedure="false">NA()</definedName>
    <definedName function="false" hidden="false" name="SHARED_FORMULA_51_8_51_8_1" vbProcedure="false">NA()</definedName>
    <definedName function="false" hidden="false" name="SHARED_FORMULA_52_28_52_28_5" vbProcedure="false">NA()</definedName>
    <definedName function="false" hidden="false" name="SHARED_FORMULA_52_7_52_7_4" vbProcedure="false">NA()</definedName>
    <definedName function="false" hidden="false" name="SHARED_FORMULA_52_86_52_86_4" vbProcedure="false">NA()</definedName>
    <definedName function="false" hidden="false" name="SHARED_FORMULA_52_88_52_88_4" vbProcedure="false">NA()</definedName>
    <definedName function="false" hidden="false" name="SHARED_FORMULA_53_19_53_19_7" vbProcedure="false">NA()</definedName>
    <definedName function="false" hidden="false" name="SHARED_FORMULA_53_28_53_28_5" vbProcedure="false">NA()</definedName>
    <definedName function="false" hidden="false" name="SHARED_FORMULA_53_7_53_7_4" vbProcedure="false">NA()</definedName>
    <definedName function="false" hidden="false" name="SHARED_FORMULA_53_86_53_86_4" vbProcedure="false">NA()</definedName>
    <definedName function="false" hidden="false" name="SHARED_FORMULA_53_88_53_88_4" vbProcedure="false">NA()</definedName>
    <definedName function="false" hidden="false" name="SHARED_FORMULA_53_8_53_8_7" vbProcedure="false">NA()</definedName>
    <definedName function="false" hidden="false" name="SHARED_FORMULA_54_2_54_2_5" vbProcedure="false">NA()</definedName>
    <definedName function="false" hidden="false" name="SHARED_FORMULA_54_86_54_86_4" vbProcedure="false">NA()</definedName>
    <definedName function="false" hidden="false" name="SHARED_FORMULA_54_88_54_88_4" vbProcedure="false">NA()</definedName>
    <definedName function="false" hidden="false" name="SHARED_FORMULA_55_2_55_2_5" vbProcedure="false">NA()</definedName>
    <definedName function="false" hidden="false" name="SHARED_FORMULA_55_7_55_7_4" vbProcedure="false">NA()</definedName>
    <definedName function="false" hidden="false" name="SHARED_FORMULA_55_86_55_86_4" vbProcedure="false">NA()</definedName>
    <definedName function="false" hidden="false" name="SHARED_FORMULA_55_88_55_88_4" vbProcedure="false">NA()</definedName>
    <definedName function="false" hidden="false" name="SHARED_FORMULA_56_3_56_3_5" vbProcedure="false">NA()</definedName>
    <definedName function="false" hidden="false" name="SHARED_FORMULA_56_7_56_7_4" vbProcedure="false">NA()</definedName>
    <definedName function="false" hidden="false" name="SHARED_FORMULA_56_86_56_86_4" vbProcedure="false">NA()</definedName>
    <definedName function="false" hidden="false" name="SHARED_FORMULA_56_88_56_88_4" vbProcedure="false">NA()</definedName>
    <definedName function="false" hidden="false" name="SHARED_FORMULA_57_136_57_136_1" vbProcedure="false">NA()</definedName>
    <definedName function="false" hidden="false" name="SHARED_FORMULA_57_24_57_24_1" vbProcedure="false">NA()</definedName>
    <definedName function="false" hidden="false" name="SHARED_FORMULA_57_3_57_3_5" vbProcedure="false">NA()</definedName>
    <definedName function="false" hidden="false" name="SHARED_FORMULA_57_7_57_7_4" vbProcedure="false">NA()</definedName>
    <definedName function="false" hidden="false" name="SHARED_FORMULA_57_86_57_86_4" vbProcedure="false">NA()</definedName>
    <definedName function="false" hidden="false" name="SHARED_FORMULA_57_88_57_88_4" vbProcedure="false">NA()</definedName>
    <definedName function="false" hidden="false" name="SHARED_FORMULA_57_8_57_8_1" vbProcedure="false">NA()</definedName>
    <definedName function="false" hidden="false" name="SHARED_FORMULA_58_136_58_136_1" vbProcedure="false">NA()</definedName>
    <definedName function="false" hidden="false" name="SHARED_FORMULA_58_24_58_24_1" vbProcedure="false">NA()</definedName>
    <definedName function="false" hidden="false" name="SHARED_FORMULA_58_7_58_7_4" vbProcedure="false">NA()</definedName>
    <definedName function="false" hidden="false" name="SHARED_FORMULA_58_86_58_86_4" vbProcedure="false">NA()</definedName>
    <definedName function="false" hidden="false" name="SHARED_FORMULA_58_88_58_88_4" vbProcedure="false">NA()</definedName>
    <definedName function="false" hidden="false" name="SHARED_FORMULA_58_8_58_8_1" vbProcedure="false">NA()</definedName>
    <definedName function="false" hidden="false" name="SHARED_FORMULA_59_136_59_136_1" vbProcedure="false">NA()</definedName>
    <definedName function="false" hidden="false" name="SHARED_FORMULA_59_24_59_24_1" vbProcedure="false">NA()</definedName>
    <definedName function="false" hidden="false" name="SHARED_FORMULA_59_86_59_86_4" vbProcedure="false">NA()</definedName>
    <definedName function="false" hidden="false" name="SHARED_FORMULA_59_88_59_88_4" vbProcedure="false">NA()</definedName>
    <definedName function="false" hidden="false" name="SHARED_FORMULA_59_8_59_8_1" vbProcedure="false">NA()</definedName>
    <definedName function="false" hidden="false" name="SHARED_FORMULA_5_26_5_26_5" vbProcedure="false">NA()</definedName>
    <definedName function="false" hidden="false" name="SHARED_FORMULA_5_49_5_49_5" vbProcedure="false">NA()</definedName>
    <definedName function="false" hidden="false" name="SHARED_FORMULA_5_86_5_86_4" vbProcedure="false">NA()</definedName>
    <definedName function="false" hidden="false" name="SHARED_FORMULA_5_88_5_88_4" vbProcedure="false">NA()</definedName>
    <definedName function="false" hidden="false" name="SHARED_FORMULA_60_136_60_136_1" vbProcedure="false">NA()</definedName>
    <definedName function="false" hidden="false" name="SHARED_FORMULA_60_24_60_24_1" vbProcedure="false">NA()</definedName>
    <definedName function="false" hidden="false" name="SHARED_FORMULA_60_7_60_7_4" vbProcedure="false">NA()</definedName>
    <definedName function="false" hidden="false" name="SHARED_FORMULA_60_86_60_86_4" vbProcedure="false">NA()</definedName>
    <definedName function="false" hidden="false" name="SHARED_FORMULA_60_88_60_88_4" vbProcedure="false">NA()</definedName>
    <definedName function="false" hidden="false" name="SHARED_FORMULA_60_8_60_8_1" vbProcedure="false">NA()</definedName>
    <definedName function="false" hidden="false" name="SHARED_FORMULA_60_8_60_8_7" vbProcedure="false">NA()</definedName>
    <definedName function="false" hidden="false" name="SHARED_FORMULA_61_136_61_136_1" vbProcedure="false">NA()</definedName>
    <definedName function="false" hidden="false" name="SHARED_FORMULA_61_24_61_24_1" vbProcedure="false">NA()</definedName>
    <definedName function="false" hidden="false" name="SHARED_FORMULA_61_7_61_7_4" vbProcedure="false">NA()</definedName>
    <definedName function="false" hidden="false" name="SHARED_FORMULA_61_86_61_86_4" vbProcedure="false">NA()</definedName>
    <definedName function="false" hidden="false" name="SHARED_FORMULA_61_88_61_88_4" vbProcedure="false">NA()</definedName>
    <definedName function="false" hidden="false" name="SHARED_FORMULA_61_8_61_8_1" vbProcedure="false">NA()</definedName>
    <definedName function="false" hidden="false" name="SHARED_FORMULA_62_136_62_136_1" vbProcedure="false">NA()</definedName>
    <definedName function="false" hidden="false" name="SHARED_FORMULA_62_24_62_24_1" vbProcedure="false">NA()</definedName>
    <definedName function="false" hidden="false" name="SHARED_FORMULA_62_7_62_7_4" vbProcedure="false">NA()</definedName>
    <definedName function="false" hidden="false" name="SHARED_FORMULA_62_86_62_86_4" vbProcedure="false">NA()</definedName>
    <definedName function="false" hidden="false" name="SHARED_FORMULA_62_88_62_88_4" vbProcedure="false">NA()</definedName>
    <definedName function="false" hidden="false" name="SHARED_FORMULA_62_8_62_8_1" vbProcedure="false">NA()</definedName>
    <definedName function="false" hidden="false" name="SHARED_FORMULA_62_8_62_8_7" vbProcedure="false">NA()</definedName>
    <definedName function="false" hidden="false" name="SHARED_FORMULA_63_136_63_136_1" vbProcedure="false">NA()</definedName>
    <definedName function="false" hidden="false" name="SHARED_FORMULA_63_24_63_24_1" vbProcedure="false">NA()</definedName>
    <definedName function="false" hidden="false" name="SHARED_FORMULA_63_7_63_7_4" vbProcedure="false">NA()</definedName>
    <definedName function="false" hidden="false" name="SHARED_FORMULA_63_86_63_86_4" vbProcedure="false">NA()</definedName>
    <definedName function="false" hidden="false" name="SHARED_FORMULA_63_88_63_88_4" vbProcedure="false">NA()</definedName>
    <definedName function="false" hidden="false" name="SHARED_FORMULA_63_8_63_8_1" vbProcedure="false">NA()</definedName>
    <definedName function="false" hidden="false" name="SHARED_FORMULA_63_8_63_8_7" vbProcedure="false">NA()</definedName>
    <definedName function="false" hidden="false" name="SHARED_FORMULA_64_136_64_136_1" vbProcedure="false">NA()</definedName>
    <definedName function="false" hidden="false" name="SHARED_FORMULA_64_24_64_24_1" vbProcedure="false">NA()</definedName>
    <definedName function="false" hidden="false" name="SHARED_FORMULA_64_86_64_86_4" vbProcedure="false">NA()</definedName>
    <definedName function="false" hidden="false" name="SHARED_FORMULA_64_88_64_88_4" vbProcedure="false">NA()</definedName>
    <definedName function="false" hidden="false" name="SHARED_FORMULA_64_8_64_8_1" vbProcedure="false">NA()</definedName>
    <definedName function="false" hidden="false" name="SHARED_FORMULA_65_136_65_136_1" vbProcedure="false">NA()</definedName>
    <definedName function="false" hidden="false" name="SHARED_FORMULA_65_24_65_24_1" vbProcedure="false">NA()</definedName>
    <definedName function="false" hidden="false" name="SHARED_FORMULA_65_7_65_7_4" vbProcedure="false">NA()</definedName>
    <definedName function="false" hidden="false" name="SHARED_FORMULA_65_86_65_86_4" vbProcedure="false">NA()</definedName>
    <definedName function="false" hidden="false" name="SHARED_FORMULA_65_88_65_88_4" vbProcedure="false">NA()</definedName>
    <definedName function="false" hidden="false" name="SHARED_FORMULA_65_8_65_8_1" vbProcedure="false">NA()</definedName>
    <definedName function="false" hidden="false" name="SHARED_FORMULA_66_136_66_136_1" vbProcedure="false">NA()</definedName>
    <definedName function="false" hidden="false" name="SHARED_FORMULA_66_24_66_24_1" vbProcedure="false">NA()</definedName>
    <definedName function="false" hidden="false" name="SHARED_FORMULA_66_2_66_2_5" vbProcedure="false">NA()</definedName>
    <definedName function="false" hidden="false" name="SHARED_FORMULA_66_7_66_7_4" vbProcedure="false">NA()</definedName>
    <definedName function="false" hidden="false" name="SHARED_FORMULA_66_86_66_86_4" vbProcedure="false">NA()</definedName>
    <definedName function="false" hidden="false" name="SHARED_FORMULA_66_88_66_88_4" vbProcedure="false">NA()</definedName>
    <definedName function="false" hidden="false" name="SHARED_FORMULA_66_8_66_8_1" vbProcedure="false">NA()</definedName>
    <definedName function="false" hidden="false" name="SHARED_FORMULA_67_136_67_136_1" vbProcedure="false">NA()</definedName>
    <definedName function="false" hidden="false" name="SHARED_FORMULA_67_24_67_24_1" vbProcedure="false">NA()</definedName>
    <definedName function="false" hidden="false" name="SHARED_FORMULA_67_7_67_7_4" vbProcedure="false">NA()</definedName>
    <definedName function="false" hidden="false" name="SHARED_FORMULA_67_86_67_86_4" vbProcedure="false">NA()</definedName>
    <definedName function="false" hidden="false" name="SHARED_FORMULA_67_88_67_88_4" vbProcedure="false">NA()</definedName>
    <definedName function="false" hidden="false" name="SHARED_FORMULA_67_8_67_8_1" vbProcedure="false">NA()</definedName>
    <definedName function="false" hidden="false" name="SHARED_FORMULA_68_136_68_136_1" vbProcedure="false">NA()</definedName>
    <definedName function="false" hidden="false" name="SHARED_FORMULA_68_24_68_24_1" vbProcedure="false">NA()</definedName>
    <definedName function="false" hidden="false" name="SHARED_FORMULA_68_7_68_7_4" vbProcedure="false">NA()</definedName>
    <definedName function="false" hidden="false" name="SHARED_FORMULA_68_86_68_86_4" vbProcedure="false">NA()</definedName>
    <definedName function="false" hidden="false" name="SHARED_FORMULA_68_88_68_88_4" vbProcedure="false">NA()</definedName>
    <definedName function="false" hidden="false" name="SHARED_FORMULA_68_8_68_8_1" vbProcedure="false">NA()</definedName>
    <definedName function="false" hidden="false" name="SHARED_FORMULA_69_24_69_24_1" vbProcedure="false">NA()</definedName>
    <definedName function="false" hidden="false" name="SHARED_FORMULA_69_40_69_40_1" vbProcedure="false">NA()</definedName>
    <definedName function="false" hidden="false" name="SHARED_FORMULA_69_86_69_86_4" vbProcedure="false">NA()</definedName>
    <definedName function="false" hidden="false" name="SHARED_FORMULA_69_88_69_88_4" vbProcedure="false">NA()</definedName>
    <definedName function="false" hidden="false" name="SHARED_FORMULA_69_8_69_8_1" vbProcedure="false">NA()</definedName>
    <definedName function="false" hidden="false" name="SHARED_FORMULA_6_26_6_26_5" vbProcedure="false">NA()</definedName>
    <definedName function="false" hidden="false" name="SHARED_FORMULA_6_49_6_49_5" vbProcedure="false">NA()</definedName>
    <definedName function="false" hidden="false" name="SHARED_FORMULA_6_86_6_86_4" vbProcedure="false">NA()</definedName>
    <definedName function="false" hidden="false" name="SHARED_FORMULA_6_88_6_88_4" vbProcedure="false">NA()</definedName>
    <definedName function="false" hidden="false" name="SHARED_FORMULA_70_24_70_24_1" vbProcedure="false">NA()</definedName>
    <definedName function="false" hidden="false" name="SHARED_FORMULA_70_40_70_40_1" vbProcedure="false">NA()</definedName>
    <definedName function="false" hidden="false" name="SHARED_FORMULA_70_86_70_86_4" vbProcedure="false">NA()</definedName>
    <definedName function="false" hidden="false" name="SHARED_FORMULA_70_88_70_88_4" vbProcedure="false">NA()</definedName>
    <definedName function="false" hidden="false" name="SHARED_FORMULA_70_8_70_8_1" vbProcedure="false">NA()</definedName>
    <definedName function="false" hidden="false" name="SHARED_FORMULA_71_24_71_24_1" vbProcedure="false">NA()</definedName>
    <definedName function="false" hidden="false" name="SHARED_FORMULA_71_40_71_40_1" vbProcedure="false">NA()</definedName>
    <definedName function="false" hidden="false" name="SHARED_FORMULA_71_86_71_86_4" vbProcedure="false">NA()</definedName>
    <definedName function="false" hidden="false" name="SHARED_FORMULA_71_88_71_88_4" vbProcedure="false">NA()</definedName>
    <definedName function="false" hidden="false" name="SHARED_FORMULA_71_8_71_8_1" vbProcedure="false">NA()</definedName>
    <definedName function="false" hidden="false" name="SHARED_FORMULA_72_24_72_24_1" vbProcedure="false">NA()</definedName>
    <definedName function="false" hidden="false" name="SHARED_FORMULA_72_40_72_40_1" vbProcedure="false">NA()</definedName>
    <definedName function="false" hidden="false" name="SHARED_FORMULA_72_86_72_86_4" vbProcedure="false">NA()</definedName>
    <definedName function="false" hidden="false" name="SHARED_FORMULA_72_88_72_88_4" vbProcedure="false">NA()</definedName>
    <definedName function="false" hidden="false" name="SHARED_FORMULA_72_8_72_8_1" vbProcedure="false">NA()</definedName>
    <definedName function="false" hidden="false" name="SHARED_FORMULA_73_24_73_24_1" vbProcedure="false">NA()</definedName>
    <definedName function="false" hidden="false" name="SHARED_FORMULA_73_40_73_40_1" vbProcedure="false">NA()</definedName>
    <definedName function="false" hidden="false" name="SHARED_FORMULA_73_86_73_86_4" vbProcedure="false">NA()</definedName>
    <definedName function="false" hidden="false" name="SHARED_FORMULA_73_88_73_88_4" vbProcedure="false">NA()</definedName>
    <definedName function="false" hidden="false" name="SHARED_FORMULA_73_8_73_8_1" vbProcedure="false">NA()</definedName>
    <definedName function="false" hidden="false" name="SHARED_FORMULA_74_104_74_104_1" vbProcedure="false">NA()</definedName>
    <definedName function="false" hidden="false" name="SHARED_FORMULA_74_120_74_120_1" vbProcedure="false">NA()</definedName>
    <definedName function="false" hidden="false" name="SHARED_FORMULA_74_136_74_136_1" vbProcedure="false">NA()</definedName>
    <definedName function="false" hidden="false" name="SHARED_FORMULA_74_152_74_152_1" vbProcedure="false">NA()</definedName>
    <definedName function="false" hidden="false" name="SHARED_FORMULA_74_24_74_24_1" vbProcedure="false">NA()</definedName>
    <definedName function="false" hidden="false" name="SHARED_FORMULA_74_40_74_40_1" vbProcedure="false">NA()</definedName>
    <definedName function="false" hidden="false" name="SHARED_FORMULA_74_56_74_56_1" vbProcedure="false">NA()</definedName>
    <definedName function="false" hidden="false" name="SHARED_FORMULA_74_72_74_72_1" vbProcedure="false">NA()</definedName>
    <definedName function="false" hidden="false" name="SHARED_FORMULA_74_86_74_86_4" vbProcedure="false">NA()</definedName>
    <definedName function="false" hidden="false" name="SHARED_FORMULA_74_88_74_88_1" vbProcedure="false">NA()</definedName>
    <definedName function="false" hidden="false" name="SHARED_FORMULA_74_88_74_88_4" vbProcedure="false">NA()</definedName>
    <definedName function="false" hidden="false" name="SHARED_FORMULA_74_8_74_8_1" vbProcedure="false">NA()</definedName>
    <definedName function="false" hidden="false" name="SHARED_FORMULA_75_104_75_104_1" vbProcedure="false">NA()</definedName>
    <definedName function="false" hidden="false" name="SHARED_FORMULA_75_120_75_120_1" vbProcedure="false">NA()</definedName>
    <definedName function="false" hidden="false" name="SHARED_FORMULA_75_136_75_136_1" vbProcedure="false">NA()</definedName>
    <definedName function="false" hidden="false" name="SHARED_FORMULA_75_152_75_152_1" vbProcedure="false">NA()</definedName>
    <definedName function="false" hidden="false" name="SHARED_FORMULA_75_24_75_24_1" vbProcedure="false">NA()</definedName>
    <definedName function="false" hidden="false" name="SHARED_FORMULA_75_40_75_40_1" vbProcedure="false">NA()</definedName>
    <definedName function="false" hidden="false" name="SHARED_FORMULA_75_56_75_56_1" vbProcedure="false">NA()</definedName>
    <definedName function="false" hidden="false" name="SHARED_FORMULA_75_72_75_72_1" vbProcedure="false">NA()</definedName>
    <definedName function="false" hidden="false" name="SHARED_FORMULA_75_86_75_86_4" vbProcedure="false">NA()</definedName>
    <definedName function="false" hidden="false" name="SHARED_FORMULA_75_88_75_88_1" vbProcedure="false">NA()</definedName>
    <definedName function="false" hidden="false" name="SHARED_FORMULA_75_88_75_88_4" vbProcedure="false">NA()</definedName>
    <definedName function="false" hidden="false" name="SHARED_FORMULA_75_8_75_8_1" vbProcedure="false">NA()</definedName>
    <definedName function="false" hidden="false" name="SHARED_FORMULA_76_104_76_104_1" vbProcedure="false">NA()</definedName>
    <definedName function="false" hidden="false" name="SHARED_FORMULA_76_120_76_120_1" vbProcedure="false">NA()</definedName>
    <definedName function="false" hidden="false" name="SHARED_FORMULA_76_136_76_136_1" vbProcedure="false">NA()</definedName>
    <definedName function="false" hidden="false" name="SHARED_FORMULA_76_152_76_152_1" vbProcedure="false">NA()</definedName>
    <definedName function="false" hidden="false" name="SHARED_FORMULA_76_24_76_24_1" vbProcedure="false">NA()</definedName>
    <definedName function="false" hidden="false" name="SHARED_FORMULA_76_40_76_40_1" vbProcedure="false">NA()</definedName>
    <definedName function="false" hidden="false" name="SHARED_FORMULA_76_56_76_56_1" vbProcedure="false">NA()</definedName>
    <definedName function="false" hidden="false" name="SHARED_FORMULA_76_72_76_72_1" vbProcedure="false">NA()</definedName>
    <definedName function="false" hidden="false" name="SHARED_FORMULA_76_86_76_86_4" vbProcedure="false">NA()</definedName>
    <definedName function="false" hidden="false" name="SHARED_FORMULA_76_88_76_88_1" vbProcedure="false">NA()</definedName>
    <definedName function="false" hidden="false" name="SHARED_FORMULA_76_88_76_88_4" vbProcedure="false">NA()</definedName>
    <definedName function="false" hidden="false" name="SHARED_FORMULA_76_8_76_8_1" vbProcedure="false">NA()</definedName>
    <definedName function="false" hidden="false" name="SHARED_FORMULA_77_104_77_104_1" vbProcedure="false">NA()</definedName>
    <definedName function="false" hidden="false" name="SHARED_FORMULA_77_120_77_120_1" vbProcedure="false">NA()</definedName>
    <definedName function="false" hidden="false" name="SHARED_FORMULA_77_136_77_136_1" vbProcedure="false">NA()</definedName>
    <definedName function="false" hidden="false" name="SHARED_FORMULA_77_152_77_152_1" vbProcedure="false">NA()</definedName>
    <definedName function="false" hidden="false" name="SHARED_FORMULA_77_18_77_18_7" vbProcedure="false">NA()</definedName>
    <definedName function="false" hidden="false" name="SHARED_FORMULA_77_24_77_24_1" vbProcedure="false">NA()</definedName>
    <definedName function="false" hidden="false" name="SHARED_FORMULA_77_40_77_40_1" vbProcedure="false">NA()</definedName>
    <definedName function="false" hidden="false" name="SHARED_FORMULA_77_56_77_56_1" vbProcedure="false">NA()</definedName>
    <definedName function="false" hidden="false" name="SHARED_FORMULA_77_72_77_72_1" vbProcedure="false">NA()</definedName>
    <definedName function="false" hidden="false" name="SHARED_FORMULA_77_86_77_86_4" vbProcedure="false">NA()</definedName>
    <definedName function="false" hidden="false" name="SHARED_FORMULA_77_88_77_88_1" vbProcedure="false">NA()</definedName>
    <definedName function="false" hidden="false" name="SHARED_FORMULA_77_88_77_88_4" vbProcedure="false">NA()</definedName>
    <definedName function="false" hidden="false" name="SHARED_FORMULA_77_8_77_8_1" vbProcedure="false">NA()</definedName>
    <definedName function="false" hidden="false" name="SHARED_FORMULA_78_104_78_104_1" vbProcedure="false">NA()</definedName>
    <definedName function="false" hidden="false" name="SHARED_FORMULA_78_120_78_120_1" vbProcedure="false">NA()</definedName>
    <definedName function="false" hidden="false" name="SHARED_FORMULA_78_136_78_136_1" vbProcedure="false">NA()</definedName>
    <definedName function="false" hidden="false" name="SHARED_FORMULA_78_152_78_152_1" vbProcedure="false">NA()</definedName>
    <definedName function="false" hidden="false" name="SHARED_FORMULA_78_24_78_24_1" vbProcedure="false">NA()</definedName>
    <definedName function="false" hidden="false" name="SHARED_FORMULA_78_40_78_40_1" vbProcedure="false">NA()</definedName>
    <definedName function="false" hidden="false" name="SHARED_FORMULA_78_56_78_56_1" vbProcedure="false">NA()</definedName>
    <definedName function="false" hidden="false" name="SHARED_FORMULA_78_72_78_72_1" vbProcedure="false">NA()</definedName>
    <definedName function="false" hidden="false" name="SHARED_FORMULA_78_86_78_86_4" vbProcedure="false">NA()</definedName>
    <definedName function="false" hidden="false" name="SHARED_FORMULA_78_88_78_88_1" vbProcedure="false">NA()</definedName>
    <definedName function="false" hidden="false" name="SHARED_FORMULA_78_88_78_88_4" vbProcedure="false">NA()</definedName>
    <definedName function="false" hidden="false" name="SHARED_FORMULA_78_8_78_8_1" vbProcedure="false">NA()</definedName>
    <definedName function="false" hidden="false" name="SHARED_FORMULA_7_26_7_26_5" vbProcedure="false">NA()</definedName>
    <definedName function="false" hidden="false" name="SHARED_FORMULA_7_49_7_49_5" vbProcedure="false">NA()</definedName>
    <definedName function="false" hidden="false" name="SHARED_FORMULA_7_86_7_86_4" vbProcedure="false">NA()</definedName>
    <definedName function="false" hidden="false" name="SHARED_FORMULA_7_88_7_88_4" vbProcedure="false">NA()</definedName>
    <definedName function="false" hidden="false" name="SHARED_FORMULA_87_102_87_102_1" vbProcedure="false">NA()</definedName>
    <definedName function="false" hidden="false" name="SHARED_FORMULA_87_115_87_115_1" vbProcedure="false">NA()</definedName>
    <definedName function="false" hidden="false" name="SHARED_FORMULA_87_126_87_126_1" vbProcedure="false">NA()</definedName>
    <definedName function="false" hidden="false" name="SHARED_FORMULA_87_150_87_150_1" vbProcedure="false">NA()</definedName>
    <definedName function="false" hidden="false" name="SHARED_FORMULA_87_30_87_30_1" vbProcedure="false">NA()</definedName>
    <definedName function="false" hidden="false" name="SHARED_FORMULA_87_43_87_43_1" vbProcedure="false">NA()</definedName>
    <definedName function="false" hidden="false" name="SHARED_FORMULA_87_54_87_54_1" vbProcedure="false">NA()</definedName>
    <definedName function="false" hidden="false" name="SHARED_FORMULA_87_5_87_5_1" vbProcedure="false">NA()</definedName>
    <definedName function="false" hidden="false" name="SHARED_FORMULA_87_78_87_78_1" vbProcedure="false">NA()</definedName>
    <definedName function="false" hidden="false" name="SHARED_FORMULA_88_102_88_102_1" vbProcedure="false">NA()</definedName>
    <definedName function="false" hidden="false" name="SHARED_FORMULA_88_115_88_115_1" vbProcedure="false">NA()</definedName>
    <definedName function="false" hidden="false" name="SHARED_FORMULA_88_126_88_126_1" vbProcedure="false">NA()</definedName>
    <definedName function="false" hidden="false" name="SHARED_FORMULA_88_150_88_150_1" vbProcedure="false">NA()</definedName>
    <definedName function="false" hidden="false" name="SHARED_FORMULA_88_30_88_30_1" vbProcedure="false">NA()</definedName>
    <definedName function="false" hidden="false" name="SHARED_FORMULA_88_43_88_43_1" vbProcedure="false">NA()</definedName>
    <definedName function="false" hidden="false" name="SHARED_FORMULA_88_54_88_54_1" vbProcedure="false">NA()</definedName>
    <definedName function="false" hidden="false" name="SHARED_FORMULA_88_5_88_5_1" vbProcedure="false">NA()</definedName>
    <definedName function="false" hidden="false" name="SHARED_FORMULA_88_78_88_78_1" vbProcedure="false">NA()</definedName>
    <definedName function="false" hidden="false" name="SHARED_FORMULA_89_102_89_102_1" vbProcedure="false">NA()</definedName>
    <definedName function="false" hidden="false" name="SHARED_FORMULA_89_115_89_115_1" vbProcedure="false">NA()</definedName>
    <definedName function="false" hidden="false" name="SHARED_FORMULA_89_126_89_126_1" vbProcedure="false">NA()</definedName>
    <definedName function="false" hidden="false" name="SHARED_FORMULA_89_150_89_150_1" vbProcedure="false">NA()</definedName>
    <definedName function="false" hidden="false" name="SHARED_FORMULA_89_30_89_30_1" vbProcedure="false">NA()</definedName>
    <definedName function="false" hidden="false" name="SHARED_FORMULA_89_43_89_43_1" vbProcedure="false">NA()</definedName>
    <definedName function="false" hidden="false" name="SHARED_FORMULA_89_54_89_54_1" vbProcedure="false">NA()</definedName>
    <definedName function="false" hidden="false" name="SHARED_FORMULA_89_5_89_5_1" vbProcedure="false">NA()</definedName>
    <definedName function="false" hidden="false" name="SHARED_FORMULA_89_78_89_78_1" vbProcedure="false">NA()</definedName>
    <definedName function="false" hidden="false" name="SHARED_FORMULA_8_26_8_26_5" vbProcedure="false">NA()</definedName>
    <definedName function="false" hidden="false" name="SHARED_FORMULA_8_49_8_49_5" vbProcedure="false">NA()</definedName>
    <definedName function="false" hidden="false" name="SHARED_FORMULA_8_86_8_86_4" vbProcedure="false">NA()</definedName>
    <definedName function="false" hidden="false" name="SHARED_FORMULA_8_88_8_88_4" vbProcedure="false">NA()</definedName>
    <definedName function="false" hidden="false" name="SHARED_FORMULA_90_102_90_102_1" vbProcedure="false">NA()</definedName>
    <definedName function="false" hidden="false" name="SHARED_FORMULA_90_115_90_115_1" vbProcedure="false">NA()</definedName>
    <definedName function="false" hidden="false" name="SHARED_FORMULA_90_126_90_126_1" vbProcedure="false">NA()</definedName>
    <definedName function="false" hidden="false" name="SHARED_FORMULA_90_150_90_150_1" vbProcedure="false">NA()</definedName>
    <definedName function="false" hidden="false" name="SHARED_FORMULA_90_30_90_30_1" vbProcedure="false">NA()</definedName>
    <definedName function="false" hidden="false" name="SHARED_FORMULA_90_43_90_43_1" vbProcedure="false">NA()</definedName>
    <definedName function="false" hidden="false" name="SHARED_FORMULA_90_54_90_54_1" vbProcedure="false">NA()</definedName>
    <definedName function="false" hidden="false" name="SHARED_FORMULA_90_5_90_5_1" vbProcedure="false">NA()</definedName>
    <definedName function="false" hidden="false" name="SHARED_FORMULA_90_78_90_78_1" vbProcedure="false">NA()</definedName>
    <definedName function="false" hidden="false" name="SHARED_FORMULA_91_102_91_102_1" vbProcedure="false">NA()</definedName>
    <definedName function="false" hidden="false" name="SHARED_FORMULA_91_115_91_115_1" vbProcedure="false">NA()</definedName>
    <definedName function="false" hidden="false" name="SHARED_FORMULA_91_126_91_126_1" vbProcedure="false">NA()</definedName>
    <definedName function="false" hidden="false" name="SHARED_FORMULA_91_150_91_150_1" vbProcedure="false">NA()</definedName>
    <definedName function="false" hidden="false" name="SHARED_FORMULA_91_30_91_30_1" vbProcedure="false">NA()</definedName>
    <definedName function="false" hidden="false" name="SHARED_FORMULA_91_43_91_43_1" vbProcedure="false">NA()</definedName>
    <definedName function="false" hidden="false" name="SHARED_FORMULA_91_54_91_54_1" vbProcedure="false">NA()</definedName>
    <definedName function="false" hidden="false" name="SHARED_FORMULA_91_5_91_5_1" vbProcedure="false">NA()</definedName>
    <definedName function="false" hidden="false" name="SHARED_FORMULA_91_78_91_78_1" vbProcedure="false">NA()</definedName>
    <definedName function="false" hidden="false" name="SHARED_FORMULA_92_108_92_108_4" vbProcedure="false">NA()</definedName>
    <definedName function="false" hidden="false" name="SHARED_FORMULA_92_112_92_112_4" vbProcedure="false">NA()</definedName>
    <definedName function="false" hidden="false" name="SHARED_FORMULA_92_116_92_116_4" vbProcedure="false">NA()</definedName>
    <definedName function="false" hidden="false" name="SHARED_FORMULA_92_120_92_120_4" vbProcedure="false">NA()</definedName>
    <definedName function="false" hidden="false" name="SHARED_FORMULA_92_124_92_124_4" vbProcedure="false">NA()</definedName>
    <definedName function="false" hidden="false" name="SHARED_FORMULA_92_128_92_128_4" vbProcedure="false">NA()</definedName>
    <definedName function="false" hidden="false" name="SHARED_FORMULA_92_132_92_132_4" vbProcedure="false">NA()</definedName>
    <definedName function="false" hidden="false" name="SHARED_FORMULA_92_23_92_23_4" vbProcedure="false">NA()</definedName>
    <definedName function="false" hidden="false" name="SHARED_FORMULA_92_25_92_25_4" vbProcedure="false">NA()</definedName>
    <definedName function="false" hidden="false" name="SHARED_FORMULA_92_27_92_27_4" vbProcedure="false">NA()</definedName>
    <definedName function="false" hidden="false" name="SHARED_FORMULA_92_29_92_29_4" vbProcedure="false">NA()</definedName>
    <definedName function="false" hidden="false" name="SHARED_FORMULA_92_31_92_31_4" vbProcedure="false">NA()</definedName>
    <definedName function="false" hidden="false" name="SHARED_FORMULA_92_33_92_33_4" vbProcedure="false">NA()</definedName>
    <definedName function="false" hidden="false" name="SHARED_FORMULA_92_35_92_35_4" vbProcedure="false">NA()</definedName>
    <definedName function="false" hidden="false" name="SHARED_FORMULA_92_37_92_37_4" vbProcedure="false">NA()</definedName>
    <definedName function="false" hidden="false" name="SHARED_FORMULA_92_39_92_39_4" vbProcedure="false">NA()</definedName>
    <definedName function="false" hidden="false" name="SHARED_FORMULA_92_41_92_41_4" vbProcedure="false">NA()</definedName>
    <definedName function="false" hidden="false" name="SHARED_FORMULA_92_43_92_43_4" vbProcedure="false">NA()</definedName>
    <definedName function="false" hidden="false" name="SHARED_FORMULA_92_45_92_45_4" vbProcedure="false">NA()</definedName>
    <definedName function="false" hidden="false" name="SHARED_FORMULA_92_47_92_47_4" vbProcedure="false">NA()</definedName>
    <definedName function="false" hidden="false" name="SHARED_FORMULA_92_49_92_49_4" vbProcedure="false">NA()</definedName>
    <definedName function="false" hidden="false" name="SHARED_FORMULA_92_51_92_51_4" vbProcedure="false">NA()</definedName>
    <definedName function="false" hidden="false" name="SHARED_FORMULA_92_53_92_53_4" vbProcedure="false">NA()</definedName>
    <definedName function="false" hidden="false" name="SHARED_FORMULA_92_55_92_55_4" vbProcedure="false">NA()</definedName>
    <definedName function="false" hidden="false" name="SHARED_FORMULA_92_57_92_57_4" vbProcedure="false">NA()</definedName>
    <definedName function="false" hidden="false" name="SHARED_FORMULA_92_59_92_59_4" vbProcedure="false">NA()</definedName>
    <definedName function="false" hidden="false" name="SHARED_FORMULA_92_61_92_61_4" vbProcedure="false">NA()</definedName>
    <definedName function="false" hidden="false" name="SHARED_FORMULA_92_63_92_63_4" vbProcedure="false">NA()</definedName>
    <definedName function="false" hidden="false" name="SHARED_FORMULA_92_91_92_91_4" vbProcedure="false">NA()</definedName>
    <definedName function="false" hidden="false" name="SHARED_FORMULA_94_154_94_154_1" vbProcedure="false">NA()</definedName>
    <definedName function="false" hidden="false" name="SHARED_FORMULA_95_94_95_94_4" vbProcedure="false">NA()</definedName>
    <definedName function="false" hidden="false" name="SHARED_FORMULA_97_27_97_27_4" vbProcedure="false">NA()</definedName>
    <definedName function="false" hidden="false" name="SHARED_FORMULA_99_26_99_26_4" vbProcedure="false">NA()</definedName>
    <definedName function="false" hidden="false" name="SHARED_FORMULA_99_38_99_38_4" vbProcedure="false">NA()</definedName>
    <definedName function="false" hidden="false" name="SHARED_FORMULA_9_13_9_13_7" vbProcedure="false">NA()</definedName>
    <definedName function="false" hidden="false" name="SHARED_FORMULA_9_26_9_26_5" vbProcedure="false">NA()</definedName>
    <definedName function="false" hidden="false" name="SHARED_FORMULA_9_49_9_49_5" vbProcedure="false">NA()</definedName>
    <definedName function="false" hidden="false" name="SHARED_FORMULA_9_86_9_86_4" vbProcedure="false">NA()</definedName>
    <definedName function="false" hidden="false" name="SHARED_FORMULA_9_88_9_88_4" vbProcedure="false">NA()</definedName>
    <definedName function="false" hidden="false" name="SHARED_FORMULA_9_9_9_9_7" vbProcedure="false">NA()</definedName>
    <definedName function="false" hidden="false" localSheetId="4" name="_Toc499037931" vbProcedure="false">'Cuenta Ahorro-Inversión-Financi'!$BL$36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LC</author>
  </authors>
  <commentList>
    <comment ref="AB26" authorId="0">
      <text>
        <r>
          <rPr>
            <sz val="10"/>
            <rFont val="Arial"/>
            <family val="2"/>
            <charset val="1"/>
          </rPr>
          <t xml:space="preserve">Leonardo Calcagno:
À un moment on passe du 90% du 11% de l'IVA destiné au SUSS à 93,73%. La date de ce passage n'a pas pu être retrouvée. Nous allons arbitrairement sposesr que ça a toujours été 93,73%. </t>
        </r>
      </text>
    </comment>
    <comment ref="AB27" authorId="0">
      <text>
        <r>
          <rPr>
            <sz val="10"/>
            <rFont val="Arial"/>
            <family val="2"/>
            <charset val="1"/>
          </rPr>
          <t xml:space="preserve">Leonardo Calcagno:
À un moment on passe du 90% du 11% de l'IVA destiné au SUSS à 93,73%. La date de ce passage n'a pas pu être retrouvée. Nous allons arbitrairement sposesr que ça a toujours été 93,73%. </t>
        </r>
      </text>
    </comment>
    <comment ref="AB60" authorId="0">
      <text>
        <r>
          <rPr>
            <sz val="10"/>
            <rFont val="Arial"/>
            <family val="2"/>
            <charset val="1"/>
          </rPr>
          <t xml:space="preserve">Leonardo Calcagno:
D'une valeur de 580 millions de pesos annuels, déterminée par l'article 5 de la loi 24699 promulguée en septembre 1996, donc appliquable à l'ensemble de la période étudiée. </t>
        </r>
      </text>
    </comment>
    <comment ref="AB61" authorId="0">
      <text>
        <r>
          <rPr>
            <sz val="10"/>
            <rFont val="Arial"/>
            <family val="2"/>
            <charset val="1"/>
          </rPr>
          <t xml:space="preserve">Leonardo Calcagno:
D'une valeur de 580 millions de pesos annuels, déterminée par l'article 5 de la loi 24699 promulguée en septembre 1996, donc appliquable à l'ensemble de la période étudiée. </t>
        </r>
      </text>
    </comment>
    <comment ref="AB78" authorId="0">
      <text>
        <r>
          <rPr>
            <sz val="10"/>
            <rFont val="Arial"/>
            <family val="2"/>
            <charset val="1"/>
          </rPr>
          <t xml:space="preserve">Leonardo Calcagno:
C'est 20% de l'impôt net sur les revenus + 120 millions de pesos déduits de l'impôt brut sur les revenus.</t>
        </r>
      </text>
    </comment>
    <comment ref="AB95" authorId="0">
      <text>
        <r>
          <rPr>
            <sz val="10"/>
            <rFont val="Arial"/>
            <family val="2"/>
            <charset val="1"/>
          </rPr>
          <t xml:space="preserve">Leonardo Calcagno:
Destinée intégralement au SUSS</t>
        </r>
      </text>
    </comment>
    <comment ref="AB112" authorId="0">
      <text>
        <r>
          <rPr>
            <sz val="10"/>
            <rFont val="Arial"/>
            <family val="2"/>
            <charset val="1"/>
          </rPr>
          <t xml:space="preserve">Leonardo Calcagno:
Dédié entièrement au financement du SUSS. 
</t>
        </r>
      </text>
    </comment>
    <comment ref="AB146" authorId="0">
      <text>
        <r>
          <rPr>
            <sz val="10"/>
            <rFont val="Arial"/>
            <family val="2"/>
            <charset val="1"/>
          </rPr>
          <t xml:space="preserve">Leonardo Calcagno:
21% de cette taxe va au SIPA. </t>
        </r>
      </text>
    </comment>
    <comment ref="AB163" authorId="0">
      <text>
        <r>
          <rPr>
            <sz val="10"/>
            <rFont val="Arial"/>
            <family val="2"/>
            <charset val="1"/>
          </rPr>
          <t xml:space="preserve">Leonardo Calcagno:
Destinée entièrement au SUSS. N'existe que depuis octobre 1998.</t>
        </r>
      </text>
    </comment>
    <comment ref="AB180" authorId="0">
      <text>
        <r>
          <rPr>
            <sz val="10"/>
            <rFont val="Arial"/>
            <family val="2"/>
            <charset val="1"/>
          </rPr>
          <t xml:space="preserve">Leonardo Calcagno:
Jusqu'en 2009, ne finance pas la sécurité sociale. À partir de 2010, la finance à hauteur de 70%. </t>
        </r>
      </text>
    </comment>
    <comment ref="AB200" authorId="0">
      <text>
        <r>
          <rPr>
            <sz val="10"/>
            <rFont val="Arial"/>
            <family val="2"/>
            <charset val="1"/>
          </rPr>
          <t xml:space="preserve">Leonardo Calcagno:
Destiné entièrement au SIPA</t>
        </r>
      </text>
    </comment>
    <comment ref="BA1" authorId="0">
      <text>
        <r>
          <rPr>
            <sz val="10"/>
            <rFont val="Arial"/>
            <family val="2"/>
            <charset val="1"/>
          </rPr>
          <t xml:space="preserve">Leonardo Calcagno:
Il manque l'impôt sur le capital des coopératives lois nº  23.427, 23.658 23.760, 25.239 y 25.791, coparticipable à 50%. Néanmoins, il n'apparaît pas dans les données de recettes fiscales utilisées ici. Cela ne pose vraisemblablement pas problème étant donné la prévisiblement faible part de cet impôt sur la masse d'impôts coparticipables.  </t>
        </r>
      </text>
    </comment>
    <comment ref="BB9" authorId="0">
      <text>
        <r>
          <rPr>
            <sz val="10"/>
            <rFont val="Arial"/>
            <family val="2"/>
            <charset val="1"/>
          </rPr>
          <t xml:space="preserve">Leonardo Calcagno:
C'est la TVA nette des remboursements de TVA et du 11% qui va au système de sécurité sociale. 
Soit 89% de la TVA nette de remboursements. </t>
        </r>
      </text>
    </comment>
    <comment ref="BB10" authorId="0">
      <text>
        <r>
          <rPr>
            <sz val="10"/>
            <rFont val="Arial"/>
            <family val="2"/>
            <charset val="1"/>
          </rPr>
          <t xml:space="preserve">Leonardo Calcagno:
C'est la TVA nette des remboursements de TVA et du 11% qui va au système de sécurité sociale. 
Soit 89% de la TVA nette de remboursements. </t>
        </r>
      </text>
    </comment>
    <comment ref="BB27" authorId="0">
      <text>
        <r>
          <rPr>
            <sz val="10"/>
            <rFont val="Arial"/>
            <family val="2"/>
            <charset val="1"/>
          </rPr>
          <t xml:space="preserve">Leonardo Calcagno:
Au 31 décembre 2012, c'est 64% de l'impôt net des soustractions annuelles pour la sécurité sociale et autres. A priori ce pourcentage est valable pour la période 1997-2012.</t>
        </r>
      </text>
    </comment>
    <comment ref="BB43" authorId="0">
      <text>
        <r>
          <rPr>
            <sz val="10"/>
            <rFont val="Arial"/>
            <family val="2"/>
            <charset val="1"/>
          </rPr>
          <t xml:space="preserve">Leonardo Calcagno:
Coparticipable à 100%. </t>
        </r>
      </text>
    </comment>
    <comment ref="BB44" authorId="0">
      <text>
        <r>
          <rPr>
            <sz val="10"/>
            <rFont val="Arial"/>
            <family val="2"/>
            <charset val="1"/>
          </rPr>
          <t xml:space="preserve">Leonardo Calcagno:
Coparticipable à 100%. </t>
        </r>
      </text>
    </comment>
    <comment ref="BB79" authorId="0">
      <text>
        <r>
          <rPr>
            <sz val="10"/>
            <rFont val="Arial"/>
            <family val="2"/>
            <charset val="1"/>
          </rPr>
          <t xml:space="preserve">Leonardo Calcagno:
Par loi, tous les impôts internes sont coparticipables à 100% sauf les impôts sur les assurances et sur les automobiles et moteurs à gasoil. Or, ces deux derniers impôts ne sont plus distingués du reste des impôts internes à partir de 2005. Donc après 2005 nous prenons la valeur des impôts internes hors tabac auxquels nous soustrayons le poids relatif des impôts sur les assurances (ceux sur les automobiles et moteurs à gasoil en 2004 sont négligeables), soit 1,67%. Donc à partir de 2005 ne sont pris en compte que 98,33% du montant des impôts internes hors tabac.</t>
        </r>
      </text>
    </comment>
    <comment ref="BB96" authorId="0">
      <text>
        <r>
          <rPr>
            <sz val="10"/>
            <rFont val="Arial"/>
            <family val="2"/>
            <charset val="1"/>
          </rPr>
          <t xml:space="preserve">Leonardo Calcagno:
Depuis février 1999, 100% coparticipé. 
</t>
        </r>
      </text>
    </comment>
    <comment ref="BB130" authorId="0">
      <text>
        <r>
          <rPr>
            <sz val="10"/>
            <rFont val="Arial"/>
            <family val="2"/>
            <charset val="1"/>
          </rPr>
          <t xml:space="preserve">Leonardo Calcagno:
Impôt présent sur toute la période mais distingué de la catégorie "autres" uniquement depuis 2005. Pour les périodes antérieures, on prend le montant de l'entrée "autres" et on le multiplie par le pourcentage de cet impôt sur la catégorie "autres" en 2005, soit 0,2280. Coparticipable à 100%.
</t>
        </r>
      </text>
    </comment>
    <comment ref="BB147" authorId="0">
      <text>
        <r>
          <rPr>
            <sz val="10"/>
            <rFont val="Arial"/>
            <family val="2"/>
            <charset val="1"/>
          </rPr>
          <t xml:space="preserve">Leonardo Calcagno:
Même problème que pour l'impôts sur le transfert d'immeubles: il n'est distingué de la catégorie autres que depuis 2005. Nous mettons donc pour les années antérieures le pourcentage de l'entrée "autres" qui, en 2005, correspondait à cet impôt. Nous multiplions donc ces valeurs par  0,081329874. Coparticipable à hauteur de 80,645%. </t>
        </r>
      </text>
    </comment>
    <comment ref="BW2" authorId="0">
      <text>
        <r>
          <rPr>
            <sz val="10"/>
            <rFont val="Arial"/>
            <family val="2"/>
            <charset val="1"/>
          </rPr>
          <t xml:space="preserve">Leonardo Calcagno:
Pour les valeurs trimestrielles en % du PIB on divise les recettes totales du trimestre par le PIB nominal du trimestre considéré (et on multiplie par 100). Pour les valeurs annuelles, on prend les recettes totales de l'impôt considéré en une année et on divise par le PIB nominal de l'année considéré. Les pourcentages trimestriels ne sont donc pas annualises. </t>
        </r>
      </text>
    </comment>
  </commentList>
</comments>
</file>

<file path=xl/comments5.xml><?xml version="1.0" encoding="utf-8"?>
<comments xmlns="http://schemas.openxmlformats.org/spreadsheetml/2006/main" xmlns:xdr="http://schemas.openxmlformats.org/drawingml/2006/spreadsheetDrawing">
  <authors>
    <author>LC</author>
  </authors>
  <commentList>
    <comment ref="S65" authorId="0">
      <text>
        <r>
          <rPr>
            <b val="true"/>
            <sz val="9"/>
            <color rgb="FF000000"/>
            <rFont val="Tahoma"/>
            <family val="2"/>
            <charset val="1"/>
          </rPr>
          <t xml:space="preserve">Windows User:
</t>
        </r>
        <r>
          <rPr>
            <sz val="9"/>
            <color rgb="FF000000"/>
            <rFont val="Tahoma"/>
            <family val="2"/>
            <charset val="1"/>
          </rPr>
          <t xml:space="preserve">Fuente: p 38 del informe del auditor independiente cuenta inversión 2016 relevamiento y análisis de las normas presupuestarias modificatorias de la ley 27.198 Oficina Nacional de Presupuesto</t>
        </r>
      </text>
    </comment>
    <comment ref="X34" authorId="0">
      <text>
        <r>
          <rPr>
            <b val="true"/>
            <sz val="9"/>
            <color rgb="FF000000"/>
            <rFont val="Tahoma"/>
            <family val="2"/>
            <charset val="1"/>
          </rPr>
          <t xml:space="preserve">Windows User:
</t>
        </r>
        <r>
          <rPr>
            <sz val="9"/>
            <color rgb="FF000000"/>
            <rFont val="Tahoma"/>
            <family val="2"/>
            <charset val="1"/>
          </rPr>
          <t xml:space="preserve">No olvidar que cuando se use el AIF base caja sector público nacional, se deberá incluir todos los ítems excluidos por el resumen AIF base caja del inciso rentas de la propiedad de inst. de seg. Soc.</t>
        </r>
      </text>
    </comment>
    <comment ref="BN37" authorId="0">
      <text>
        <r>
          <rPr>
            <sz val="11"/>
            <color rgb="FF000000"/>
            <rFont val="Calibri"/>
            <family val="2"/>
            <charset val="1"/>
          </rPr>
          <t xml:space="preserve">Transferencias corrientes al sector privado: asignaciones familiares + subsidios + progresar+fondo nacional de empleo 
</t>
        </r>
      </text>
    </comment>
    <comment ref="BO32" authorId="0">
      <text>
        <r>
          <rPr>
            <b val="true"/>
            <sz val="9"/>
            <color rgb="FF000000"/>
            <rFont val="Tahoma"/>
            <family val="2"/>
            <charset val="1"/>
          </rPr>
          <t xml:space="preserve">Windows User:
</t>
        </r>
        <r>
          <rPr>
            <sz val="9"/>
            <color rgb="FF000000"/>
            <rFont val="Tahoma"/>
            <family val="2"/>
            <charset val="1"/>
          </rPr>
          <t xml:space="preserve">Se resta el total de los gasots por transferencias del RENATRE, disponible en le Anexo 3.10. Se puede ver que así la suma es igual a las transferencias corrientes de ANSES</t>
        </r>
      </text>
    </comment>
    <comment ref="BP33" authorId="0">
      <text>
        <r>
          <rPr>
            <b val="true"/>
            <sz val="9"/>
            <color rgb="FF000000"/>
            <rFont val="Tahoma"/>
            <family val="2"/>
            <charset val="1"/>
          </rPr>
          <t xml:space="preserve">Windows User:
</t>
        </r>
        <r>
          <rPr>
            <sz val="9"/>
            <color rgb="FF000000"/>
            <rFont val="Tahoma"/>
            <family val="2"/>
            <charset val="1"/>
          </rPr>
          <t xml:space="preserve">Contablemente, decidieron considerar las transferencias a PAMI como transferencias la sector público a partir del 2017. Hay además 10.845 millones de pesos de transferencias a gobiernos provinciales en 2017 (está en ISS financiero datos abiertos ANSES: ). También incluye el ítem comisiones por recaudación, que quizás corresponda a actividades centrales (muy probablemente) a partir del 2017, aunque se desconoce por qué éste aumentó tanto.</t>
        </r>
      </text>
    </comment>
    <comment ref="BR32" authorId="0">
      <text>
        <r>
          <rPr>
            <b val="true"/>
            <sz val="9"/>
            <color rgb="FF000000"/>
            <rFont val="Tahoma"/>
            <family val="2"/>
            <charset val="1"/>
          </rPr>
          <t xml:space="preserve">Windows User:
</t>
        </r>
        <r>
          <rPr>
            <sz val="9"/>
            <color rgb="FF000000"/>
            <rFont val="Tahoma"/>
            <family val="2"/>
            <charset val="1"/>
          </rPr>
          <t xml:space="preserve">Se resta el total de los gasots por transferencias del RENATRE, disponible en le Anexo 3.10. Se puede ver que así la suma es igual a las transferencias corrientes de ANSES</t>
        </r>
      </text>
    </comment>
    <comment ref="BR37" authorId="0">
      <text>
        <r>
          <rPr>
            <b val="true"/>
            <sz val="9"/>
            <color rgb="FF000000"/>
            <rFont val="Tahoma"/>
            <family val="2"/>
            <charset val="1"/>
          </rPr>
          <t xml:space="preserve">Windows User:
</t>
        </r>
        <r>
          <rPr>
            <sz val="9"/>
            <color rgb="FF000000"/>
            <rFont val="Tahoma"/>
            <family val="2"/>
            <charset val="1"/>
          </rPr>
          <t xml:space="preserve">Para la próxima estimación en base caja: Es el item contribuciones figurativas a PAMI fondos fiduciarios y otros de parte de instituciones de seguridad social, ligeramente superior a la verdadera cifra que se desprende de la cuenta de inversión. Esta cifra debe tomarse a modo informativo.</t>
        </r>
      </text>
    </comment>
    <comment ref="BS7" authorId="0">
      <text>
        <r>
          <rPr>
            <sz val="10"/>
            <rFont val="Arial"/>
            <family val="2"/>
            <charset val="1"/>
          </rPr>
          <t xml:space="preserve">Esto parece ser la contribución de los jubilados al PAMI obligatoria, igual a 3 % de la mínima + 6 % de la diferencia entre la jubilación cobrada y la mínima. Ver ley 19032 art. 8 para los detalles. Las transferencias de salud divididas por la suma de las  prestaciones s.s. y de estas transferencias de salud da un poco más de 3 % hasta el 2004</t>
        </r>
      </text>
    </comment>
    <comment ref="BV30" authorId="0">
      <text>
        <r>
          <rPr>
            <sz val="10"/>
            <rFont val="Arial"/>
            <family val="2"/>
            <charset val="1"/>
          </rPr>
          <t xml:space="preserve">Cifra proveniente del seguimiento físico financiero, mezclada en transferencias de seguridad social. En el 2016, cifra que aparece separada en la cuenta de inversión</t>
        </r>
      </text>
    </comment>
    <comment ref="BY7" authorId="0">
      <text>
        <r>
          <rPr>
            <sz val="10"/>
            <rFont val="Arial"/>
            <family val="2"/>
            <charset val="1"/>
          </rPr>
          <t xml:space="preserve">Esto es casi igual a la suma de las tranferencias de salud, promoción social y al sector público o externo , exactamente igual en el 1998</t>
        </r>
      </text>
    </comment>
    <comment ref="CJ35" authorId="0">
      <text>
        <r>
          <rPr>
            <b val="true"/>
            <sz val="9"/>
            <color rgb="FF000000"/>
            <rFont val="Tahoma"/>
            <family val="2"/>
            <charset val="1"/>
          </rPr>
          <t xml:space="preserve">AG6:
</t>
        </r>
        <r>
          <rPr>
            <sz val="9"/>
            <color rgb="FF000000"/>
            <rFont val="Tahoma"/>
            <family val="2"/>
            <charset val="1"/>
          </rPr>
          <t xml:space="preserve">Son las contribuciones figurativas a ISS, de ISS: es ANSES que hace transferencias a cajas de fuerzas de seguridad y militares (IAF)</t>
        </r>
      </text>
    </comment>
    <comment ref="CK7" authorId="0">
      <text>
        <r>
          <rPr>
            <b val="true"/>
            <sz val="9"/>
            <color rgb="FF000000"/>
            <rFont val="Tahoma"/>
            <family val="2"/>
            <charset val="1"/>
          </rPr>
          <t xml:space="preserve">AG6:
</t>
        </r>
        <r>
          <rPr>
            <sz val="9"/>
            <color rgb="FF000000"/>
            <rFont val="Tahoma"/>
            <family val="2"/>
            <charset val="1"/>
          </rPr>
          <t xml:space="preserve">A partir de 1996, ANSES deja de pagar PNC, que pasan a la secretaría de desarrollo social, luego ministerio. ANSES las sigue financiando por gastos figurativos. A partir de octubre de 2017, ANSES vuelve a pagar la mayoría de las PNC salvo las de invalidez, que a partir de 2018 pasan a depender de presidencia de la nación (agencia nacional de discapacidad)</t>
        </r>
      </text>
    </comment>
    <comment ref="CM35" authorId="0">
      <text>
        <r>
          <rPr>
            <b val="true"/>
            <sz val="15"/>
            <color rgb="FF000000"/>
            <rFont val="Tahoma"/>
            <family val="2"/>
            <charset val="1"/>
          </rPr>
          <t xml:space="preserve">AG6:
</t>
        </r>
        <r>
          <rPr>
            <sz val="15"/>
            <color rgb="FF000000"/>
            <rFont val="Tahoma"/>
            <family val="2"/>
            <charset val="1"/>
          </rPr>
          <t xml:space="preserve">Aplicaciones financieras, disminución de deudas y otros pasivos de ISS. Puede corresponder al pago de sentencias o ser algo superior (en 2017 correspondió, en 2018 fue superior)</t>
        </r>
      </text>
    </comment>
    <comment ref="DG32" authorId="0">
      <text>
        <r>
          <rPr>
            <b val="true"/>
            <sz val="9"/>
            <color rgb="FF000000"/>
            <rFont val="Tahoma"/>
            <family val="2"/>
            <charset val="1"/>
          </rPr>
          <t xml:space="preserve">Windows User:
</t>
        </r>
        <r>
          <rPr>
            <sz val="9"/>
            <color rgb="FF000000"/>
            <rFont val="Tahoma"/>
            <family val="2"/>
            <charset val="1"/>
          </rPr>
          <t xml:space="preserve">Datos provisorios</t>
        </r>
      </text>
    </comment>
    <comment ref="DG33" authorId="0">
      <text>
        <r>
          <rPr>
            <b val="true"/>
            <sz val="9"/>
            <color rgb="FF000000"/>
            <rFont val="Tahoma"/>
            <family val="2"/>
            <charset val="1"/>
          </rPr>
          <t xml:space="preserve">Windows User:
</t>
        </r>
        <r>
          <rPr>
            <sz val="9"/>
            <color rgb="FF000000"/>
            <rFont val="Tahoma"/>
            <family val="2"/>
            <charset val="1"/>
          </rPr>
          <t xml:space="preserve">Datos prelliminares</t>
        </r>
      </text>
    </comment>
  </commentList>
</comments>
</file>

<file path=xl/comments6.xml><?xml version="1.0" encoding="utf-8"?>
<comments xmlns="http://schemas.openxmlformats.org/spreadsheetml/2006/main" xmlns:xdr="http://schemas.openxmlformats.org/drawingml/2006/spreadsheetDrawing">
  <authors>
    <author>LC</author>
  </authors>
  <commentList>
    <comment ref="T30" authorId="0">
      <text>
        <r>
          <rPr>
            <sz val="11"/>
            <color rgb="FF000000"/>
            <rFont val="Calibri"/>
            <family val="2"/>
            <charset val="1"/>
          </rPr>
          <t xml:space="preserve">Source: AFIP (recaudación serie anual)</t>
        </r>
      </text>
    </comment>
    <comment ref="V30" authorId="0">
      <text>
        <r>
          <rPr>
            <sz val="11"/>
            <color rgb="FF000000"/>
            <rFont val="Calibri"/>
            <family val="2"/>
            <charset val="1"/>
          </rPr>
          <t xml:space="preserve">Source: AFIP recaudación anual. Esquema AIF ANSES de datos abiertos para 2018</t>
        </r>
      </text>
    </comment>
  </commentList>
</comments>
</file>

<file path=xl/comments7.xml><?xml version="1.0" encoding="utf-8"?>
<comments xmlns="http://schemas.openxmlformats.org/spreadsheetml/2006/main" xmlns:xdr="http://schemas.openxmlformats.org/drawingml/2006/spreadsheetDrawing">
  <authors>
    <author>LC</author>
  </authors>
  <commentList>
    <comment ref="J56" authorId="0">
      <text>
        <r>
          <rPr>
            <b val="true"/>
            <sz val="9"/>
            <color rgb="FF000000"/>
            <rFont val="Tahoma"/>
            <family val="2"/>
            <charset val="1"/>
          </rPr>
          <t xml:space="preserve">Windows User:
</t>
        </r>
        <r>
          <rPr>
            <sz val="9"/>
            <color rgb="FF000000"/>
            <rFont val="Tahoma"/>
            <family val="2"/>
            <charset val="1"/>
          </rPr>
          <t xml:space="preserve">Promedio de enero a junio 2018</t>
        </r>
      </text>
    </comment>
  </commentList>
</comments>
</file>

<file path=xl/comments8.xml><?xml version="1.0" encoding="utf-8"?>
<comments xmlns="http://schemas.openxmlformats.org/spreadsheetml/2006/main" xmlns:xdr="http://schemas.openxmlformats.org/drawingml/2006/spreadsheetDrawing">
  <authors>
    <author>LC</author>
  </authors>
  <commentList>
    <comment ref="B3" authorId="0">
      <text>
        <r>
          <rPr>
            <b val="true"/>
            <sz val="9"/>
            <color rgb="FF000000"/>
            <rFont val="Tahoma"/>
            <family val="2"/>
            <charset val="1"/>
          </rPr>
          <t xml:space="preserve">Windows User:
</t>
        </r>
        <r>
          <rPr>
            <sz val="9"/>
            <color rgb="FF000000"/>
            <rFont val="Tahoma"/>
            <family val="2"/>
            <charset val="1"/>
          </rPr>
          <t xml:space="preserve">Excluye las del PAMI, que entre 1993 y 2002 (capaz parcialmente 2003) figuraban en otras contribuciones</t>
        </r>
      </text>
    </comment>
    <comment ref="B68" authorId="0">
      <text>
        <r>
          <rPr>
            <b val="true"/>
            <sz val="9"/>
            <color rgb="FF000000"/>
            <rFont val="Tahoma"/>
            <family val="2"/>
            <charset val="1"/>
          </rPr>
          <t xml:space="preserve">Windows User:
</t>
        </r>
        <r>
          <rPr>
            <sz val="9"/>
            <color rgb="FF000000"/>
            <rFont val="Tahoma"/>
            <family val="2"/>
            <charset val="1"/>
          </rPr>
          <t xml:space="preserve">Excluye las del PAMI, que entre 1993 y 2002 (capaz parcialmente 2003) figuraban en otras contribuciones</t>
        </r>
      </text>
    </comment>
    <comment ref="Q31" authorId="0">
      <text>
        <r>
          <rPr>
            <b val="true"/>
            <sz val="10"/>
            <color rgb="FF000000"/>
            <rFont val="Calibri"/>
            <family val="0"/>
            <charset val="1"/>
          </rPr>
          <t xml:space="preserve">Usuario de Microsoft Office:
</t>
        </r>
        <r>
          <rPr>
            <sz val="10"/>
            <color rgb="FF000000"/>
            <rFont val="Calibri"/>
            <family val="0"/>
            <charset val="1"/>
          </rPr>
          <t xml:space="preserve">En la cuenta AIF base caja para el 2019, los aportes y contribuciones, así como las prestaciones de la seguridad social, son de todas las Instituciones de Seguridad Social: se incluye entonces el déficit de las cajas de las fuerzas de defensa y seguridad. Es por eso que sacamos de gastos figurativos las contribuciones figurativas de ISS a ISS (es decir, de ANSES a esas cajas) porque el déficit que están cubriendo ya figura en el déficit estimado para ANSES. Si no lo sacamos del cálculo, estaríamos contando el déficit de las cajas de fuerzas de seguridad dos veces. Sacamos por lo tanto también esas contribuciones figurativas de ISS a ISS del cálculo de recursos </t>
        </r>
      </text>
    </comment>
    <comment ref="T31" authorId="0">
      <text>
        <r>
          <rPr>
            <sz val="11"/>
            <color rgb="FF000000"/>
            <rFont val="Calibri"/>
            <family val="2"/>
            <charset val="1"/>
          </rPr>
          <t xml:space="preserve">Fuente: informe 124 de jefatura de gabinete a diputados, datos proyectados para 2019 en octubre de ese año.</t>
        </r>
      </text>
    </comment>
  </commentList>
</comments>
</file>

<file path=xl/comments9.xml><?xml version="1.0" encoding="utf-8"?>
<comments xmlns="http://schemas.openxmlformats.org/spreadsheetml/2006/main" xmlns:xdr="http://schemas.openxmlformats.org/drawingml/2006/spreadsheetDrawing">
  <authors>
    <author>LC</author>
  </authors>
  <commentList>
    <comment ref="D64" authorId="0">
      <text>
        <r>
          <rPr>
            <b val="true"/>
            <sz val="9"/>
            <color rgb="FF000000"/>
            <rFont val="Tahoma"/>
            <family val="2"/>
            <charset val="1"/>
          </rPr>
          <t xml:space="preserve">Windows User:
</t>
        </r>
        <r>
          <rPr>
            <sz val="9"/>
            <color rgb="FF000000"/>
            <rFont val="Tahoma"/>
            <family val="2"/>
            <charset val="1"/>
          </rPr>
          <t xml:space="preserve">Excluye las del PAMI, que entre 1993 y 2002 (capaz parcialmente 2003) figuraban en otras contribuciones</t>
        </r>
      </text>
    </comment>
    <comment ref="J36" authorId="0">
      <text>
        <r>
          <rPr>
            <b val="true"/>
            <sz val="9"/>
            <color rgb="FF000000"/>
            <rFont val="Tahoma"/>
            <family val="2"/>
            <charset val="1"/>
          </rPr>
          <t xml:space="preserve">AG6: 
Para 1993, no hay seguimiento físico financiero, no sabemos cuánto se gastó en PNC</t>
        </r>
      </text>
    </comment>
    <comment ref="J37" authorId="0">
      <text>
        <r>
          <rPr>
            <b val="true"/>
            <sz val="9"/>
            <color rgb="FF000000"/>
            <rFont val="Tahoma"/>
            <family val="2"/>
            <charset val="1"/>
          </rPr>
          <t xml:space="preserve">AG6:
</t>
        </r>
        <r>
          <rPr>
            <sz val="9"/>
            <color rgb="FF000000"/>
            <rFont val="Tahoma"/>
            <family val="2"/>
            <charset val="1"/>
          </rPr>
          <t xml:space="preserve">Suponemos que los PNC eran computados en transferencias corrientes, y no en prestaciones a la seguridad social. Puede ser un error, pero no importa para el análisis de gastos contributivos / no contributivos</t>
        </r>
      </text>
    </comment>
    <comment ref="K6" authorId="0">
      <text>
        <r>
          <rPr>
            <b val="true"/>
            <sz val="9"/>
            <color rgb="FF000000"/>
            <rFont val="Tahoma"/>
            <family val="2"/>
            <charset val="1"/>
          </rPr>
          <t xml:space="preserve">AG6: 
Para 1993, no hay seguimiento físico financiero, no sabemos cuánto se gastó en PNC</t>
        </r>
      </text>
    </comment>
    <comment ref="K7" authorId="0">
      <text>
        <r>
          <rPr>
            <b val="true"/>
            <sz val="9"/>
            <color rgb="FF000000"/>
            <rFont val="Tahoma"/>
            <family val="2"/>
            <charset val="1"/>
          </rPr>
          <t xml:space="preserve">AG6:
</t>
        </r>
        <r>
          <rPr>
            <sz val="9"/>
            <color rgb="FF000000"/>
            <rFont val="Tahoma"/>
            <family val="2"/>
            <charset val="1"/>
          </rPr>
          <t xml:space="preserve">Suponemos que los PNC eran computados en transferencias corrientes, y no en prestaciones a la seguridad social. Puede ser un error, pero no importa para el análisis de gastos contributivos / no contributivos</t>
        </r>
      </text>
    </comment>
    <comment ref="K34" authorId="0">
      <text>
        <r>
          <rPr>
            <b val="true"/>
            <sz val="9"/>
            <color rgb="FF000000"/>
            <rFont val="Tahoma"/>
            <family val="2"/>
            <charset val="1"/>
          </rPr>
          <t xml:space="preserve">AG6:
</t>
        </r>
        <r>
          <rPr>
            <sz val="9"/>
            <color rgb="FF000000"/>
            <rFont val="Tahoma"/>
            <family val="2"/>
            <charset val="1"/>
          </rPr>
          <t xml:space="preserve">Suponemos que las jubilaciones por moratoria no son contributivas. Es una aproximación, ya que algo contribuyeron (al menos 20% de la mínima durante 5 años para las de moratoria 2014), pero el haber recibido no es comparable con las contribuciones hechas para obtenerlo.</t>
        </r>
      </text>
    </comment>
    <comment ref="P4" authorId="0">
      <text>
        <r>
          <rPr>
            <b val="true"/>
            <sz val="9"/>
            <color rgb="FF000000"/>
            <rFont val="Tahoma"/>
            <family val="2"/>
            <charset val="1"/>
          </rPr>
          <t xml:space="preserve">AG6:
</t>
        </r>
        <r>
          <rPr>
            <sz val="9"/>
            <color rgb="FF000000"/>
            <rFont val="Tahoma"/>
            <family val="2"/>
            <charset val="1"/>
          </rPr>
          <t xml:space="preserve">Suponemos que las jubilaciones por moratoria no son contributivas. Es una aproximación, ya que algo contribuyeron (al menos 20% de la mínima durante 5 años para las de moratoria 2014), pero el haber recibido no es comparable con las contribuciones hechas para obtenerlo.</t>
        </r>
      </text>
    </comment>
    <comment ref="R4" authorId="0">
      <text>
        <r>
          <rPr>
            <b val="true"/>
            <sz val="9"/>
            <color rgb="FF000000"/>
            <rFont val="Tahoma"/>
            <family val="2"/>
            <charset val="1"/>
          </rPr>
          <t xml:space="preserve">AG6:
</t>
        </r>
        <r>
          <rPr>
            <sz val="9"/>
            <color rgb="FF000000"/>
            <rFont val="Tahoma"/>
            <family val="2"/>
            <charset val="1"/>
          </rPr>
          <t xml:space="preserve">Todas las jubilaciones y PUAM hacen aportes al PAMI, y no se distingue en la cuenta de inversión cuáles de esos aportes son hechos por jubilaciones contributivas y cuáles por no contributivas. Presentamos por ello el dato aparte.</t>
        </r>
      </text>
    </comment>
    <comment ref="R17" authorId="0">
      <text>
        <r>
          <rPr>
            <b val="true"/>
            <sz val="9"/>
            <color rgb="FF000000"/>
            <rFont val="Tahoma"/>
            <family val="2"/>
            <charset val="1"/>
          </rPr>
          <t xml:space="preserve">AG6:
</t>
        </r>
        <r>
          <rPr>
            <sz val="9"/>
            <color rgb="FF000000"/>
            <rFont val="Tahoma"/>
            <family val="2"/>
            <charset val="1"/>
          </rPr>
          <t xml:space="preserve">Es sólo esde 2004 que podemos distinguir a ciencia cierta las transferencias corrientes con destino PAMI, por contribuciones de jubilados, de las demás. Hasta el 2004, este datos está mezclado dentro de transferencias corrientes contributivas
</t>
        </r>
      </text>
    </comment>
  </commentList>
</comments>
</file>

<file path=xl/sharedStrings.xml><?xml version="1.0" encoding="utf-8"?>
<sst xmlns="http://schemas.openxmlformats.org/spreadsheetml/2006/main" count="1990" uniqueCount="1145">
  <si>
    <t xml:space="preserve">Recaudación mensual por impuestos, recursos de la seguridad social y aduaneros</t>
  </si>
  <si>
    <t xml:space="preserve">Masse d'impôts coparticipables. </t>
  </si>
  <si>
    <t xml:space="preserve">SECTOR PUBLICO BASE CAJA-AÑOS (1993-2012)</t>
  </si>
  <si>
    <t xml:space="preserve">Reference date (as of 1 July)</t>
  </si>
  <si>
    <t xml:space="preserve">Retirees: '60+ for women, 65+ for men.</t>
  </si>
  <si>
    <t xml:space="preserve">65+.</t>
  </si>
  <si>
    <t xml:space="preserve">Recettes trimestrielles et annuelles en pourcentage du PIB. </t>
  </si>
  <si>
    <t xml:space="preserve">PIB à prix de marché, en milliers de pesos courants. </t>
  </si>
  <si>
    <t xml:space="preserve">ESQUEMA AHORRO - INVERSION - FINANCIAMIENTO</t>
  </si>
  <si>
    <t xml:space="preserve">                                                         ADMINISTRACION NACIONAL</t>
  </si>
  <si>
    <t xml:space="preserve">I. </t>
  </si>
  <si>
    <t xml:space="preserve">II. </t>
  </si>
  <si>
    <t xml:space="preserve">III. </t>
  </si>
  <si>
    <t xml:space="preserve">IV. </t>
  </si>
  <si>
    <t xml:space="preserve">Year</t>
  </si>
  <si>
    <t xml:space="preserve">En miles de pesos</t>
  </si>
  <si>
    <t xml:space="preserve">(miles de pesos corrientes)</t>
  </si>
  <si>
    <t xml:space="preserve">1.1.3.</t>
  </si>
  <si>
    <t xml:space="preserve">(milliers de pesos courants)</t>
  </si>
  <si>
    <t xml:space="preserve">DÉPENSES. </t>
  </si>
  <si>
    <t xml:space="preserve">Ça inclut d'autres dépenses sociales qui ne sont pas faites par ANSES, voir sheet 3. </t>
  </si>
  <si>
    <t xml:space="preserve">EJERCICIOS 1993-2011</t>
  </si>
  <si>
    <t xml:space="preserve">On compare les valeurs de "prestations prévisionnelles + attention excaisses provinciales" et l'item "prestations sécurité sociale" pour les années 2011-2012, pour lesquelles on a des détails des dépenses ANSES, à l'item prestations prévisionelles dans le budget exécuté 1994-2010. Nous avons vérifié que cet item pour el budget 2011 était égal à la somme des dépenses en prestations prévisionelles et attention ex-caisses provinciales à peu de chose près. </t>
  </si>
  <si>
    <t xml:space="preserve">ADMINISTRACION NACIONAL</t>
  </si>
  <si>
    <t xml:space="preserve">EX CAJAS </t>
  </si>
  <si>
    <t xml:space="preserve">EMPRESAS</t>
  </si>
  <si>
    <t xml:space="preserve">PORCENTAJE PRESTACIONES</t>
  </si>
  <si>
    <t xml:space="preserve">Capítulo I</t>
  </si>
  <si>
    <t xml:space="preserve">SISTEMA INTEGRADO PREVISIONAL ARGENTINo (SIPA)</t>
  </si>
  <si>
    <t xml:space="preserve">Tout est en milliers de pesos courants. </t>
  </si>
  <si>
    <t xml:space="preserve">Prestaciones Previsionales presupuestadas</t>
  </si>
  <si>
    <t xml:space="preserve">CONCEPTO</t>
  </si>
  <si>
    <t xml:space="preserve">AÑO</t>
  </si>
  <si>
    <t xml:space="preserve">TESORO</t>
  </si>
  <si>
    <t xml:space="preserve">REC.</t>
  </si>
  <si>
    <t xml:space="preserve">ORG.</t>
  </si>
  <si>
    <t xml:space="preserve"> INSTIT. DE</t>
  </si>
  <si>
    <t xml:space="preserve">TOTAL</t>
  </si>
  <si>
    <t xml:space="preserve">PROVINCIALES.</t>
  </si>
  <si>
    <t xml:space="preserve">PUBLICAS Y OTROS</t>
  </si>
  <si>
    <t xml:space="preserve">DE SEGURIDAD SOCIAL ANSES</t>
  </si>
  <si>
    <t xml:space="preserve">                                           ESTADO DE EJECUCION PRESUPUESTARIA</t>
  </si>
  <si>
    <t xml:space="preserve">1.3 Beneficios del SIPA</t>
  </si>
  <si>
    <t xml:space="preserve">ENERO</t>
  </si>
  <si>
    <t xml:space="preserve">FEBRERO</t>
  </si>
  <si>
    <t xml:space="preserve">MARZO</t>
  </si>
  <si>
    <t xml:space="preserve">ABRIL</t>
  </si>
  <si>
    <t xml:space="preserve">MAYO</t>
  </si>
  <si>
    <t xml:space="preserve">JUNIO</t>
  </si>
  <si>
    <t xml:space="preserve">JULIO</t>
  </si>
  <si>
    <t xml:space="preserve">AGOSTO</t>
  </si>
  <si>
    <t xml:space="preserve">SETIEMBRE</t>
  </si>
  <si>
    <t xml:space="preserve">OCTUBRE</t>
  </si>
  <si>
    <t xml:space="preserve">NOVIEMBRE</t>
  </si>
  <si>
    <t xml:space="preserve">DICIEMBRE</t>
  </si>
  <si>
    <t xml:space="preserve">ii.</t>
  </si>
  <si>
    <t xml:space="preserve">III.</t>
  </si>
  <si>
    <t xml:space="preserve">IV.</t>
  </si>
  <si>
    <t xml:space="preserve">I., % PIB.</t>
  </si>
  <si>
    <t xml:space="preserve">II., % PIB</t>
  </si>
  <si>
    <t xml:space="preserve">III., % PIB.</t>
  </si>
  <si>
    <t xml:space="preserve">IV., % PIB. </t>
  </si>
  <si>
    <t xml:space="preserve">Annuel, % PIB. </t>
  </si>
  <si>
    <t xml:space="preserve">Année.</t>
  </si>
  <si>
    <t xml:space="preserve">Prestaciones Previsionales presupuestadas (tercer trimestre).</t>
  </si>
  <si>
    <t xml:space="preserve">NACIONAL</t>
  </si>
  <si>
    <t xml:space="preserve">AFECT.</t>
  </si>
  <si>
    <t xml:space="preserve">DESCENT.</t>
  </si>
  <si>
    <t xml:space="preserve"> SEG.SOCIAL</t>
  </si>
  <si>
    <t xml:space="preserve">/TOTAL</t>
  </si>
  <si>
    <t xml:space="preserve">1.2 Beneficiarios del SIPA</t>
  </si>
  <si>
    <t xml:space="preserve">cuadro 1.3.1 HABERES MiNIMO Y MEDIO DEL REGIMEN PREVISIONAL PuBLICO(1). DICIEMBRE 1995-diciembre 2011 y junio 2012</t>
  </si>
  <si>
    <t xml:space="preserve">NATURE DES DÉPENSES. </t>
  </si>
  <si>
    <t xml:space="preserve">Prestaciones Previsionales ejecutadas (tercer trimestre). </t>
  </si>
  <si>
    <t xml:space="preserve">       - PRESTACIONES DE LA SEGURIDAD SOCIAL</t>
  </si>
  <si>
    <t xml:space="preserve">                   COMPOSICION DEL GASTO POR INSTITUCION Y NIVEL INSTITUCIONAL</t>
  </si>
  <si>
    <t xml:space="preserve">cuadro 1.2.1 BENEFICIARIOS DEL REGIMEN PREVISIONAL PuBLICO(1) SEGuN SEXO. DICIEMBRE 1995 - diciembre 2011 y junio 2012</t>
  </si>
  <si>
    <t xml:space="preserve">Haber (En pesos)</t>
  </si>
  <si>
    <t xml:space="preserve">Dépenses prestations </t>
  </si>
  <si>
    <t xml:space="preserve">TVA nette de dévolutions</t>
  </si>
  <si>
    <t xml:space="preserve">TVA coparticipable.</t>
  </si>
  <si>
    <t xml:space="preserve">DÉPENSES COURANTES. </t>
  </si>
  <si>
    <t xml:space="preserve">DÉPENSES DE CAPITAL. </t>
  </si>
  <si>
    <t xml:space="preserve">DÉPENSES TOTALES. </t>
  </si>
  <si>
    <t xml:space="preserve">Prestaciones Previsionales presupuestadas (crédito final).  </t>
  </si>
  <si>
    <t xml:space="preserve">En Miles de Pesos</t>
  </si>
  <si>
    <t xml:space="preserve">Período</t>
  </si>
  <si>
    <t xml:space="preserve">Total</t>
  </si>
  <si>
    <t xml:space="preserve">Varones</t>
  </si>
  <si>
    <t xml:space="preserve">Mujeres</t>
  </si>
  <si>
    <t xml:space="preserve">No informado</t>
  </si>
  <si>
    <t xml:space="preserve">Mínimo (2)</t>
  </si>
  <si>
    <t xml:space="preserve">Medio</t>
  </si>
  <si>
    <t xml:space="preserve">prévisionelles SIPA</t>
  </si>
  <si>
    <t xml:space="preserve">DÉPENSES DE CONSOMMATION. </t>
  </si>
  <si>
    <t xml:space="preserve">Rentes</t>
  </si>
  <si>
    <t xml:space="preserve">Prestations</t>
  </si>
  <si>
    <t xml:space="preserve">Impôts</t>
  </si>
  <si>
    <t xml:space="preserve">Transferts</t>
  </si>
  <si>
    <t xml:space="preserve">Investissements</t>
  </si>
  <si>
    <t xml:space="preserve">Transferts de</t>
  </si>
  <si>
    <t xml:space="preserve">TOTAL. </t>
  </si>
  <si>
    <t xml:space="preserve">Prestaciones Previsionales ejecutadas</t>
  </si>
  <si>
    <t xml:space="preserve">Dic-95</t>
  </si>
  <si>
    <t xml:space="preserve">2.239.894</t>
  </si>
  <si>
    <t xml:space="preserve">1.280.140</t>
  </si>
  <si>
    <t xml:space="preserve">Jubilaciones</t>
  </si>
  <si>
    <t xml:space="preserve">Pensiones</t>
  </si>
  <si>
    <t xml:space="preserve">milliers pesos courants. </t>
  </si>
  <si>
    <t xml:space="preserve">% PIB courant. </t>
  </si>
  <si>
    <t xml:space="preserve">Propriété. </t>
  </si>
  <si>
    <t xml:space="preserve">Sécurité</t>
  </si>
  <si>
    <t xml:space="preserve">Directs. </t>
  </si>
  <si>
    <t xml:space="preserve">Courants. </t>
  </si>
  <si>
    <t xml:space="preserve">Réels</t>
  </si>
  <si>
    <t xml:space="preserve">Capitaux. </t>
  </si>
  <si>
    <t xml:space="preserve">Financiers. </t>
  </si>
  <si>
    <t xml:space="preserve">  INSTITUCION -</t>
  </si>
  <si>
    <t xml:space="preserve">CREDITO</t>
  </si>
  <si>
    <t xml:space="preserve">MODIFICACIONES</t>
  </si>
  <si>
    <t xml:space="preserve">COMPROMISO</t>
  </si>
  <si>
    <t xml:space="preserve">DEVENGADO</t>
  </si>
  <si>
    <t xml:space="preserve">PAGADO</t>
  </si>
  <si>
    <t xml:space="preserve">Dic-96</t>
  </si>
  <si>
    <t xml:space="preserve">2.460.379</t>
  </si>
  <si>
    <t xml:space="preserve">1.031.344</t>
  </si>
  <si>
    <t xml:space="preserve">1.406.721</t>
  </si>
  <si>
    <t xml:space="preserve">326,04</t>
  </si>
  <si>
    <t xml:space="preserve">242,28</t>
  </si>
  <si>
    <t xml:space="preserve">294,61</t>
  </si>
  <si>
    <t xml:space="preserve">Rémunérations. </t>
  </si>
  <si>
    <t xml:space="preserve">Autres. </t>
  </si>
  <si>
    <t xml:space="preserve">Total. </t>
  </si>
  <si>
    <t xml:space="preserve">Sociale. </t>
  </si>
  <si>
    <t xml:space="preserve">NIVEL</t>
  </si>
  <si>
    <t xml:space="preserve">ORIGINAL</t>
  </si>
  <si>
    <t xml:space="preserve">VIGENTE</t>
  </si>
  <si>
    <t xml:space="preserve">NO EJECUTADO</t>
  </si>
  <si>
    <t xml:space="preserve">Dic-97</t>
  </si>
  <si>
    <t xml:space="preserve">3.213.069</t>
  </si>
  <si>
    <t xml:space="preserve">1.258.785</t>
  </si>
  <si>
    <t xml:space="preserve">1.836.826</t>
  </si>
  <si>
    <t xml:space="preserve">337,41</t>
  </si>
  <si>
    <t xml:space="preserve">246,40</t>
  </si>
  <si>
    <t xml:space="preserve">302,82</t>
  </si>
  <si>
    <t xml:space="preserve">INSTITUCIONAL</t>
  </si>
  <si>
    <t xml:space="preserve">Dic-98</t>
  </si>
  <si>
    <t xml:space="preserve">3.151.345</t>
  </si>
  <si>
    <t xml:space="preserve">1.238.695</t>
  </si>
  <si>
    <t xml:space="preserve">1.850.241</t>
  </si>
  <si>
    <t xml:space="preserve">369,07</t>
  </si>
  <si>
    <t xml:space="preserve">257,93</t>
  </si>
  <si>
    <t xml:space="preserve">326,88</t>
  </si>
  <si>
    <t xml:space="preserve">ANNÉE.  </t>
  </si>
  <si>
    <t xml:space="preserve">JURISDICCIÓN. </t>
  </si>
  <si>
    <t xml:space="preserve">Dic-99</t>
  </si>
  <si>
    <t xml:space="preserve">3.092.666</t>
  </si>
  <si>
    <t xml:space="preserve">1.201.657</t>
  </si>
  <si>
    <t xml:space="preserve">1.833.032</t>
  </si>
  <si>
    <t xml:space="preserve">375,86</t>
  </si>
  <si>
    <t xml:space="preserve">260,44</t>
  </si>
  <si>
    <t xml:space="preserve">331,23</t>
  </si>
  <si>
    <t xml:space="preserve">Administración Nacional de la Seguridad Social</t>
  </si>
  <si>
    <t xml:space="preserve">MINISTERIO DE TRABAJO Y SEGURIDAD SOCIAL</t>
  </si>
  <si>
    <t xml:space="preserve">Dic-00</t>
  </si>
  <si>
    <t xml:space="preserve">3.048.367</t>
  </si>
  <si>
    <t xml:space="preserve">1.175.017</t>
  </si>
  <si>
    <t xml:space="preserve">1.818.267</t>
  </si>
  <si>
    <t xml:space="preserve">398,32</t>
  </si>
  <si>
    <t xml:space="preserve">276,38</t>
  </si>
  <si>
    <t xml:space="preserve">350,38</t>
  </si>
  <si>
    <t xml:space="preserve">Actividades Centrales</t>
  </si>
  <si>
    <t xml:space="preserve">1 - ADMINISTRACION CENTRAL</t>
  </si>
  <si>
    <t xml:space="preserve">Dic-01</t>
  </si>
  <si>
    <t xml:space="preserve">3.019.990</t>
  </si>
  <si>
    <t xml:space="preserve">1.165.354</t>
  </si>
  <si>
    <t xml:space="preserve">1.803.164</t>
  </si>
  <si>
    <t xml:space="preserve">405,88</t>
  </si>
  <si>
    <t xml:space="preserve">278,95</t>
  </si>
  <si>
    <t xml:space="preserve">355,23</t>
  </si>
  <si>
    <t xml:space="preserve">Prestaciones Previsionales</t>
  </si>
  <si>
    <t xml:space="preserve">2 - ORGANISMOS DESCENTRALIZADOS</t>
  </si>
  <si>
    <t xml:space="preserve">Dic-02</t>
  </si>
  <si>
    <t xml:space="preserve">2.976.605</t>
  </si>
  <si>
    <t xml:space="preserve">1.146.385</t>
  </si>
  <si>
    <t xml:space="preserve">1.781.914</t>
  </si>
  <si>
    <t xml:space="preserve">411,66</t>
  </si>
  <si>
    <t xml:space="preserve">280,82</t>
  </si>
  <si>
    <t xml:space="preserve">358,97</t>
  </si>
  <si>
    <t xml:space="preserve">PIB pesos de 1993</t>
  </si>
  <si>
    <t xml:space="preserve">Complementos a las Prestaciones Previsionales</t>
  </si>
  <si>
    <t xml:space="preserve">3 - INSTITUCIONES DE SEGURIDAD SOCIAL</t>
  </si>
  <si>
    <t xml:space="preserve">Dic-03</t>
  </si>
  <si>
    <t xml:space="preserve">2.933.262</t>
  </si>
  <si>
    <t xml:space="preserve">1.128.680</t>
  </si>
  <si>
    <t xml:space="preserve">1.759.431</t>
  </si>
  <si>
    <t xml:space="preserve">Dic-02 (3)</t>
  </si>
  <si>
    <t xml:space="preserve">421,26</t>
  </si>
  <si>
    <t xml:space="preserve">292,85</t>
  </si>
  <si>
    <t xml:space="preserve">369,08</t>
  </si>
  <si>
    <t xml:space="preserve">Seguro de Desempleo</t>
  </si>
  <si>
    <t xml:space="preserve">17,049,199,133.00 </t>
  </si>
  <si>
    <t xml:space="preserve">1,124,187,504.33 </t>
  </si>
  <si>
    <t xml:space="preserve">18,173,386,637.33 </t>
  </si>
  <si>
    <t xml:space="preserve">18,124,082,047.52 </t>
  </si>
  <si>
    <t xml:space="preserve">18,122,746,597.74 </t>
  </si>
  <si>
    <t xml:space="preserve">16,410,593,372.78 </t>
  </si>
  <si>
    <t xml:space="preserve">50,640,039.59 </t>
  </si>
  <si>
    <t xml:space="preserve">Dic-04</t>
  </si>
  <si>
    <t xml:space="preserve">2.881.458</t>
  </si>
  <si>
    <t xml:space="preserve">1.101.381</t>
  </si>
  <si>
    <t xml:space="preserve">1.737.483</t>
  </si>
  <si>
    <t xml:space="preserve">438,52</t>
  </si>
  <si>
    <t xml:space="preserve">312,95</t>
  </si>
  <si>
    <t xml:space="preserve">387,01</t>
  </si>
  <si>
    <t xml:space="preserve">Asignaciones Familiares</t>
  </si>
  <si>
    <t xml:space="preserve">2 - ADMINISTRACION CENTRAL</t>
  </si>
  <si>
    <t xml:space="preserve">80,502,270.00 </t>
  </si>
  <si>
    <t xml:space="preserve">3,011,021.53 </t>
  </si>
  <si>
    <t xml:space="preserve">83,513,291.53 </t>
  </si>
  <si>
    <t xml:space="preserve">83,273,055.34 </t>
  </si>
  <si>
    <t xml:space="preserve">81,937,605.56 </t>
  </si>
  <si>
    <t xml:space="preserve">70,117,640.60 </t>
  </si>
  <si>
    <t xml:space="preserve">1,575,685.97 </t>
  </si>
  <si>
    <t xml:space="preserve">Dic-05</t>
  </si>
  <si>
    <t xml:space="preserve">2.880.177</t>
  </si>
  <si>
    <t xml:space="preserve">1.098.717</t>
  </si>
  <si>
    <t xml:space="preserve">1.741.403</t>
  </si>
  <si>
    <t xml:space="preserve">511,68</t>
  </si>
  <si>
    <t xml:space="preserve">395,45</t>
  </si>
  <si>
    <t xml:space="preserve">463,59</t>
  </si>
  <si>
    <t xml:space="preserve">(En attente données PIB quatrième trimestre 2012)</t>
  </si>
  <si>
    <t xml:space="preserve">Atención Ex-Cajas Provinciales</t>
  </si>
  <si>
    <t xml:space="preserve">3 - ORGANISMOS DESCENTRALIZADOS</t>
  </si>
  <si>
    <t xml:space="preserve">1,777,986.00 </t>
  </si>
  <si>
    <t xml:space="preserve">(206,154.20)</t>
  </si>
  <si>
    <t xml:space="preserve">1,571,831.80 </t>
  </si>
  <si>
    <t xml:space="preserve">1,385,856.95 </t>
  </si>
  <si>
    <t xml:space="preserve">1,303,895.96 </t>
  </si>
  <si>
    <t xml:space="preserve">185,974.85 </t>
  </si>
  <si>
    <t xml:space="preserve">Dic-06</t>
  </si>
  <si>
    <t xml:space="preserve">3.312.942</t>
  </si>
  <si>
    <t xml:space="preserve">1.141.224</t>
  </si>
  <si>
    <t xml:space="preserve">2.134.336</t>
  </si>
  <si>
    <t xml:space="preserve">562,30</t>
  </si>
  <si>
    <t xml:space="preserve">465,16</t>
  </si>
  <si>
    <t xml:space="preserve">522,38</t>
  </si>
  <si>
    <t xml:space="preserve">Atención Pensiones Ex-Combatientes</t>
  </si>
  <si>
    <t xml:space="preserve">4 - INSTITUCIONES DE SEGURIDAD SOCIAL</t>
  </si>
  <si>
    <t xml:space="preserve">16,966,918,877.00 </t>
  </si>
  <si>
    <t xml:space="preserve">1,121,382,637.00 </t>
  </si>
  <si>
    <t xml:space="preserve">18,088,301,514.00 </t>
  </si>
  <si>
    <t xml:space="preserve">18,039,423,135.23 </t>
  </si>
  <si>
    <t xml:space="preserve">16,339,171,836.22 </t>
  </si>
  <si>
    <t xml:space="preserve">48,878,378.77 </t>
  </si>
  <si>
    <t xml:space="preserve">Dic-07</t>
  </si>
  <si>
    <t xml:space="preserve">4.106.924</t>
  </si>
  <si>
    <t xml:space="preserve">1.314.912</t>
  </si>
  <si>
    <t xml:space="preserve">2.757.579</t>
  </si>
  <si>
    <t xml:space="preserve">613,34</t>
  </si>
  <si>
    <t xml:space="preserve">560,63</t>
  </si>
  <si>
    <t xml:space="preserve">595,31</t>
  </si>
  <si>
    <t xml:space="preserve">Asistencia Financiera al Programa "Conectar Igualdad.com.ar"</t>
  </si>
  <si>
    <t xml:space="preserve">15,445,319,545.00 </t>
  </si>
  <si>
    <t xml:space="preserve">345,666,412.00 </t>
  </si>
  <si>
    <t xml:space="preserve">15,790,985,957.00 </t>
  </si>
  <si>
    <t xml:space="preserve">15,599,856,374.31 </t>
  </si>
  <si>
    <t xml:space="preserve">15,598,221,190.91 </t>
  </si>
  <si>
    <t xml:space="preserve">14,153,184,713.16 </t>
  </si>
  <si>
    <t xml:space="preserve">192,764,766.09 </t>
  </si>
  <si>
    <t xml:space="preserve">Dic-08</t>
  </si>
  <si>
    <t xml:space="preserve">4.280.073</t>
  </si>
  <si>
    <t xml:space="preserve">1.395.808</t>
  </si>
  <si>
    <t xml:space="preserve">2.851.891</t>
  </si>
  <si>
    <t xml:space="preserve">596,20</t>
  </si>
  <si>
    <t xml:space="preserve">741,32</t>
  </si>
  <si>
    <t xml:space="preserve">713,26</t>
  </si>
  <si>
    <t xml:space="preserve">733,71</t>
  </si>
  <si>
    <t xml:space="preserve">Transferencias y Contribuciones a la Seguridad Social y Organismos Descentralizados</t>
  </si>
  <si>
    <t xml:space="preserve">3 - ADMINISTRACION CENTRAL</t>
  </si>
  <si>
    <t xml:space="preserve">71,697,387.00 </t>
  </si>
  <si>
    <t xml:space="preserve">(7,944,882.00)</t>
  </si>
  <si>
    <t xml:space="preserve">63,752,505.00 </t>
  </si>
  <si>
    <t xml:space="preserve">62,643,937.93 </t>
  </si>
  <si>
    <t xml:space="preserve">61,008,921.63 </t>
  </si>
  <si>
    <t xml:space="preserve">55,905,082.07 </t>
  </si>
  <si>
    <t xml:space="preserve">2,743,583.37 </t>
  </si>
  <si>
    <t xml:space="preserve">Dic-09</t>
  </si>
  <si>
    <t xml:space="preserve">4.497.027</t>
  </si>
  <si>
    <t xml:space="preserve">1.487.118</t>
  </si>
  <si>
    <t xml:space="preserve">2.979.571</t>
  </si>
  <si>
    <t xml:space="preserve">690,00</t>
  </si>
  <si>
    <t xml:space="preserve">867,64</t>
  </si>
  <si>
    <t xml:space="preserve">840,02</t>
  </si>
  <si>
    <t xml:space="preserve">860,37</t>
  </si>
  <si>
    <t xml:space="preserve">Ressources affectées à ANSES venant d'apports, contributions et impôts d'assignation spécifique, % du PIB. </t>
  </si>
  <si>
    <t xml:space="preserve">4 - ORGANISMOS DESCENTRALIZADOS</t>
  </si>
  <si>
    <t xml:space="preserve">2,590,349.00 </t>
  </si>
  <si>
    <t xml:space="preserve">257,989.00 </t>
  </si>
  <si>
    <t xml:space="preserve">2,848,338.00 </t>
  </si>
  <si>
    <t xml:space="preserve">2,351,654.73 </t>
  </si>
  <si>
    <t xml:space="preserve">2,351,487.63 </t>
  </si>
  <si>
    <t xml:space="preserve">2,047,213.71 </t>
  </si>
  <si>
    <t xml:space="preserve">496,850.37 </t>
  </si>
  <si>
    <t xml:space="preserve">Dic-10</t>
  </si>
  <si>
    <t xml:space="preserve">4.599.985</t>
  </si>
  <si>
    <t xml:space="preserve">1.552.560</t>
  </si>
  <si>
    <t xml:space="preserve">3.020.023</t>
  </si>
  <si>
    <t xml:space="preserve">827,23</t>
  </si>
  <si>
    <t xml:space="preserve">1.077,84</t>
  </si>
  <si>
    <t xml:space="preserve">1.025,77</t>
  </si>
  <si>
    <t xml:space="preserve">1.064,38</t>
  </si>
  <si>
    <t xml:space="preserve">TVA destinée au SUSS</t>
  </si>
  <si>
    <t xml:space="preserve">"Ganancias" coparticipable.</t>
  </si>
  <si>
    <t xml:space="preserve">5 - INSTITUCIONES DE SEGURIDAD SOCIAL</t>
  </si>
  <si>
    <t xml:space="preserve">15,371,031,809.00 </t>
  </si>
  <si>
    <t xml:space="preserve">353,353,305.00 </t>
  </si>
  <si>
    <t xml:space="preserve">15,724,385,114.00 </t>
  </si>
  <si>
    <t xml:space="preserve">15,534,860,781.65 </t>
  </si>
  <si>
    <t xml:space="preserve">14,095,232,417.38 </t>
  </si>
  <si>
    <t xml:space="preserve">189,524,332.35 </t>
  </si>
  <si>
    <t xml:space="preserve">Dic-11</t>
  </si>
  <si>
    <t xml:space="preserve">4.621.184</t>
  </si>
  <si>
    <t xml:space="preserve">1.594.226</t>
  </si>
  <si>
    <t xml:space="preserve">3.001.617</t>
  </si>
  <si>
    <t xml:space="preserve">1.046,43</t>
  </si>
  <si>
    <t xml:space="preserve">1.378,71</t>
  </si>
  <si>
    <t xml:space="preserve">1.302,95</t>
  </si>
  <si>
    <t xml:space="preserve">1.359,27</t>
  </si>
  <si>
    <t xml:space="preserve">15,057,742,484.00</t>
  </si>
  <si>
    <t xml:space="preserve">1,945,418,082.00 </t>
  </si>
  <si>
    <t xml:space="preserve">17,003,160,566.00</t>
  </si>
  <si>
    <t xml:space="preserve">16,752,309,419.50</t>
  </si>
  <si>
    <t xml:space="preserve">16,747,499,648.75</t>
  </si>
  <si>
    <t xml:space="preserve">15,139,525,624.28</t>
  </si>
  <si>
    <t xml:space="preserve">255,660,917.25 </t>
  </si>
  <si>
    <t xml:space="preserve">Jun-12</t>
  </si>
  <si>
    <t xml:space="preserve">4.628.786</t>
  </si>
  <si>
    <t xml:space="preserve">1.611.985</t>
  </si>
  <si>
    <t xml:space="preserve">2.992.352</t>
  </si>
  <si>
    <t xml:space="preserve">1.434,29</t>
  </si>
  <si>
    <t xml:space="preserve">1.915,81</t>
  </si>
  <si>
    <t xml:space="preserve">1.789,96</t>
  </si>
  <si>
    <t xml:space="preserve">1.883,52</t>
  </si>
  <si>
    <t xml:space="preserve">4 - ADMINISTRACION CENTRAL</t>
  </si>
  <si>
    <t xml:space="preserve">115,209,709.00</t>
  </si>
  <si>
    <t xml:space="preserve">67,767,659.00 </t>
  </si>
  <si>
    <t xml:space="preserve">182,977,368.00</t>
  </si>
  <si>
    <t xml:space="preserve">172,411,165.83</t>
  </si>
  <si>
    <t xml:space="preserve">167,601,395.08</t>
  </si>
  <si>
    <t xml:space="preserve">159,835,307.56</t>
  </si>
  <si>
    <t xml:space="preserve">15,375,972.92 </t>
  </si>
  <si>
    <t xml:space="preserve">1.687,01</t>
  </si>
  <si>
    <t xml:space="preserve">2.269,60</t>
  </si>
  <si>
    <t xml:space="preserve">2.111,74</t>
  </si>
  <si>
    <t xml:space="preserve">2.229,09</t>
  </si>
  <si>
    <t xml:space="preserve">5 - ORGANISMOS DESCENTRALIZADOS</t>
  </si>
  <si>
    <t xml:space="preserve">2,053,760.00</t>
  </si>
  <si>
    <t xml:space="preserve">9,487,681.00</t>
  </si>
  <si>
    <t xml:space="preserve">11,541,441.00</t>
  </si>
  <si>
    <t xml:space="preserve">5,312,934.79</t>
  </si>
  <si>
    <t xml:space="preserve">4,723,430.21</t>
  </si>
  <si>
    <t xml:space="preserve">6,228,506.21</t>
  </si>
  <si>
    <t xml:space="preserve">BENEFICIARIOS DEL REGIMEN PREVISIONAL PuBLICO(1) SEGuN SEXO. DICIEMBRE 1995 - diciembre 2011 y junio 2012</t>
  </si>
  <si>
    <t xml:space="preserve">6 - INSTITUCIONES DE SEGURIDAD SOCIAL</t>
  </si>
  <si>
    <t xml:space="preserve">14,940,479,015.00</t>
  </si>
  <si>
    <t xml:space="preserve">1,868,162,742.00 </t>
  </si>
  <si>
    <t xml:space="preserve">16,808,641,757.00</t>
  </si>
  <si>
    <t xml:space="preserve">16,574,585,318.88</t>
  </si>
  <si>
    <t xml:space="preserve">14,974,966,886.51</t>
  </si>
  <si>
    <t xml:space="preserve">234,056,438.12</t>
  </si>
  <si>
    <t xml:space="preserve">Couverture, sur population en âge de retraite. </t>
  </si>
  <si>
    <t xml:space="preserve">Couverture, sur population 65+</t>
  </si>
  <si>
    <t xml:space="preserve">5 - ADMINISTRACION CENTRAL</t>
  </si>
  <si>
    <t xml:space="preserve">cuadro 1.4.2 GASTO DEVENGADO ESTIMADO ANUAL POR PAGO DE PRESTACIONES EN PORCENTAJE DEL PIB, SEGUN SISTEMA. 1995 - 2011</t>
  </si>
  <si>
    <t xml:space="preserve">6 - ORGANISMOS DESCENTRALIZADOS</t>
  </si>
  <si>
    <t xml:space="preserve">Prestaciones</t>
  </si>
  <si>
    <t xml:space="preserve">7 - INSTITUCIONES DE SEGURIDAD SOCIAL</t>
  </si>
  <si>
    <t xml:space="preserve">Asignaciones</t>
  </si>
  <si>
    <t xml:space="preserve">Desempleo</t>
  </si>
  <si>
    <t xml:space="preserve">y pensiones</t>
  </si>
  <si>
    <t xml:space="preserve">familiares (1) (2)</t>
  </si>
  <si>
    <t xml:space="preserve">6 - ADMINISTRACION CENTRAL</t>
  </si>
  <si>
    <t xml:space="preserve">5,11</t>
  </si>
  <si>
    <t xml:space="preserve">0,75</t>
  </si>
  <si>
    <t xml:space="preserve">s/i</t>
  </si>
  <si>
    <t xml:space="preserve">5,86</t>
  </si>
  <si>
    <t xml:space="preserve">7 - ORGANISMOS DESCENTRALIZADOS</t>
  </si>
  <si>
    <t xml:space="preserve">5,04</t>
  </si>
  <si>
    <t xml:space="preserve">0,72</t>
  </si>
  <si>
    <t xml:space="preserve">5,76</t>
  </si>
  <si>
    <t xml:space="preserve">8 - INSTITUCIONES DE SEGURIDAD SOCIAL</t>
  </si>
  <si>
    <t xml:space="preserve">5,19</t>
  </si>
  <si>
    <t xml:space="preserve">0,67</t>
  </si>
  <si>
    <t xml:space="preserve">5,07</t>
  </si>
  <si>
    <t xml:space="preserve">0,69</t>
  </si>
  <si>
    <t xml:space="preserve">0,08</t>
  </si>
  <si>
    <t xml:space="preserve">5,84</t>
  </si>
  <si>
    <t xml:space="preserve">7 - ADMINISTRACION CENTRAL</t>
  </si>
  <si>
    <t xml:space="preserve">5,49</t>
  </si>
  <si>
    <t xml:space="preserve">0,71</t>
  </si>
  <si>
    <t xml:space="preserve">0,10</t>
  </si>
  <si>
    <t xml:space="preserve">6,30</t>
  </si>
  <si>
    <t xml:space="preserve">8 - ORGANISMOS DESCENTRALIZADOS</t>
  </si>
  <si>
    <t xml:space="preserve">0,82</t>
  </si>
  <si>
    <t xml:space="preserve">0,11</t>
  </si>
  <si>
    <t xml:space="preserve">6,42</t>
  </si>
  <si>
    <t xml:space="preserve">9 - INSTITUCIONES DE SEGURIDAD SOCIAL</t>
  </si>
  <si>
    <t xml:space="preserve">5,75</t>
  </si>
  <si>
    <t xml:space="preserve">0,81</t>
  </si>
  <si>
    <t xml:space="preserve">0,13</t>
  </si>
  <si>
    <t xml:space="preserve">6,69</t>
  </si>
  <si>
    <t xml:space="preserve">"Ganancias" brutes. </t>
  </si>
  <si>
    <t xml:space="preserve">Impôts internes coparticipables: Tabac. </t>
  </si>
  <si>
    <t xml:space="preserve">5,01</t>
  </si>
  <si>
    <t xml:space="preserve">0,60</t>
  </si>
  <si>
    <t xml:space="preserve">0,15</t>
  </si>
  <si>
    <t xml:space="preserve">8 - ADMINISTRACION CENTRAL</t>
  </si>
  <si>
    <t xml:space="preserve">4,35</t>
  </si>
  <si>
    <t xml:space="preserve">0,57</t>
  </si>
  <si>
    <t xml:space="preserve">0,06</t>
  </si>
  <si>
    <t xml:space="preserve">4,98</t>
  </si>
  <si>
    <t xml:space="preserve">9 - ORGANISMOS DESCENTRALIZADOS</t>
  </si>
  <si>
    <t xml:space="preserve">4,09</t>
  </si>
  <si>
    <t xml:space="preserve">0,54</t>
  </si>
  <si>
    <t xml:space="preserve">0,04</t>
  </si>
  <si>
    <t xml:space="preserve">4,67</t>
  </si>
  <si>
    <t xml:space="preserve">Actividades Centrales ANSES.</t>
  </si>
  <si>
    <t xml:space="preserve">10 - INSTITUCIONES DE SEGURIDAD SOCIAL</t>
  </si>
  <si>
    <t xml:space="preserve">3,91</t>
  </si>
  <si>
    <t xml:space="preserve">0,64</t>
  </si>
  <si>
    <t xml:space="preserve">0,03</t>
  </si>
  <si>
    <t xml:space="preserve">4,58</t>
  </si>
  <si>
    <t xml:space="preserve">MINISTERIO DE TRABAJO, EMPLEO Y FORMACION DE RECURSOS HUMANOS</t>
  </si>
  <si>
    <t xml:space="preserve">4,00</t>
  </si>
  <si>
    <t xml:space="preserve">0,05</t>
  </si>
  <si>
    <t xml:space="preserve">4,62</t>
  </si>
  <si>
    <t xml:space="preserve">9 - ADMINISTRACION CENTRAL</t>
  </si>
  <si>
    <t xml:space="preserve">5,13</t>
  </si>
  <si>
    <t xml:space="preserve">0,68</t>
  </si>
  <si>
    <t xml:space="preserve">Ressources affectées au SIPA venant de la masse d'impôts coparticipables, % du PIB. </t>
  </si>
  <si>
    <t xml:space="preserve">10 - ORGANISMOS DESCENTRALIZADOS</t>
  </si>
  <si>
    <t xml:space="preserve">5,48</t>
  </si>
  <si>
    <t xml:space="preserve">0,65</t>
  </si>
  <si>
    <t xml:space="preserve">6,17</t>
  </si>
  <si>
    <t xml:space="preserve">11 - INSTITUCIONES DE SEGURIDAD SOCIAL</t>
  </si>
  <si>
    <t xml:space="preserve">6,79</t>
  </si>
  <si>
    <t xml:space="preserve">0,95</t>
  </si>
  <si>
    <t xml:space="preserve">7,79</t>
  </si>
  <si>
    <t xml:space="preserve">6,35</t>
  </si>
  <si>
    <t xml:space="preserve">1,20</t>
  </si>
  <si>
    <t xml:space="preserve">7,59</t>
  </si>
  <si>
    <t xml:space="preserve">10 - ADMINISTRACION CENTRAL</t>
  </si>
  <si>
    <t xml:space="preserve">7,54</t>
  </si>
  <si>
    <t xml:space="preserve">1,23</t>
  </si>
  <si>
    <t xml:space="preserve">0,02</t>
  </si>
  <si>
    <t xml:space="preserve">8,80</t>
  </si>
  <si>
    <t xml:space="preserve">Pensiones no contributivas.</t>
  </si>
  <si>
    <t xml:space="preserve">11 - ORGANISMOS DESCENTRALIZADOS</t>
  </si>
  <si>
    <t xml:space="preserve">Transferencias de impuestos a las provincias</t>
  </si>
  <si>
    <t xml:space="preserve">12 - INSTITUCIONES DE SEGURIDAD SOCIAL</t>
  </si>
  <si>
    <t xml:space="preserve">cuadro 1.3.7 BENEFICIOS DEL SISTEMA INTEGRADO PREVISIONAL ARGENTINO. DICIEMBRE 2001 - DICIEMBRE 2011 Y junio 2012</t>
  </si>
  <si>
    <t xml:space="preserve">Tipo de beneficio</t>
  </si>
  <si>
    <t xml:space="preserve">Ex régimen de capitalización (1)</t>
  </si>
  <si>
    <t xml:space="preserve">11 - ADMINISTRACION CENTRAL</t>
  </si>
  <si>
    <t xml:space="preserve">12 - ORGANISMOS DESCENTRALIZADOS</t>
  </si>
  <si>
    <t xml:space="preserve">Retiros por</t>
  </si>
  <si>
    <t xml:space="preserve">13 - INSTITUCIONES DE SEGURIDAD SOCIAL</t>
  </si>
  <si>
    <t xml:space="preserve">Jubilaciones   Pensiones</t>
  </si>
  <si>
    <t xml:space="preserve">ordinarias</t>
  </si>
  <si>
    <t xml:space="preserve">invalidez</t>
  </si>
  <si>
    <t xml:space="preserve">por fallecimiento</t>
  </si>
  <si>
    <t xml:space="preserve">3.348.379</t>
  </si>
  <si>
    <t xml:space="preserve">3.301.442</t>
  </si>
  <si>
    <t xml:space="preserve">1.972.090</t>
  </si>
  <si>
    <t xml:space="preserve">1.329.352</t>
  </si>
  <si>
    <t xml:space="preserve">"Ganancias" net des soustractions annuelles. </t>
  </si>
  <si>
    <t xml:space="preserve">Impôts internes coparticipables: Assurances</t>
  </si>
  <si>
    <t xml:space="preserve">12 - ADMINISTRACION CENTRAL</t>
  </si>
  <si>
    <t xml:space="preserve">3.337.200</t>
  </si>
  <si>
    <t xml:space="preserve">3.268.102</t>
  </si>
  <si>
    <t xml:space="preserve">1.940.126</t>
  </si>
  <si>
    <t xml:space="preserve">1.327.976</t>
  </si>
  <si>
    <t xml:space="preserve">13 - ORGANISMOS DESCENTRALIZADOS</t>
  </si>
  <si>
    <t xml:space="preserve">3.337.927</t>
  </si>
  <si>
    <t xml:space="preserve">3.231.051</t>
  </si>
  <si>
    <t xml:space="preserve">1.905.613</t>
  </si>
  <si>
    <t xml:space="preserve">1.325.438</t>
  </si>
  <si>
    <t xml:space="preserve">14 - INSTITUCIONES DE SEGURIDAD SOCIAL</t>
  </si>
  <si>
    <t xml:space="preserve">3.317.528</t>
  </si>
  <si>
    <t xml:space="preserve">3.176.546</t>
  </si>
  <si>
    <t xml:space="preserve">1.862.297</t>
  </si>
  <si>
    <t xml:space="preserve">1.314.249</t>
  </si>
  <si>
    <t xml:space="preserve">3.356.358</t>
  </si>
  <si>
    <t xml:space="preserve">3.179.212</t>
  </si>
  <si>
    <t xml:space="preserve">1.872.824</t>
  </si>
  <si>
    <t xml:space="preserve">1.306.388</t>
  </si>
  <si>
    <t xml:space="preserve">13 - ADMINISTRACION CENTRAL</t>
  </si>
  <si>
    <t xml:space="preserve">4.016.125</t>
  </si>
  <si>
    <t xml:space="preserve">3.789.042</t>
  </si>
  <si>
    <t xml:space="preserve">2.492.848</t>
  </si>
  <si>
    <t xml:space="preserve">1.296.194</t>
  </si>
  <si>
    <t xml:space="preserve">14 - ORGANISMOS DESCENTRALIZADOS</t>
  </si>
  <si>
    <t xml:space="preserve">5.127.424</t>
  </si>
  <si>
    <t xml:space="preserve">4.784.022</t>
  </si>
  <si>
    <t xml:space="preserve">3.485.871</t>
  </si>
  <si>
    <t xml:space="preserve">1.298.151</t>
  </si>
  <si>
    <t xml:space="preserve">15 - INSTITUCIONES DE SEGURIDAD SOCIAL</t>
  </si>
  <si>
    <t xml:space="preserve">Dic-08 (2)</t>
  </si>
  <si>
    <t xml:space="preserve">5.301.692</t>
  </si>
  <si>
    <t xml:space="preserve">4.974.505</t>
  </si>
  <si>
    <t xml:space="preserve">3.664.916</t>
  </si>
  <si>
    <t xml:space="preserve">1.309.589</t>
  </si>
  <si>
    <t xml:space="preserve">MINISTERIO DE TRABAJO, EMPLEO Y SEGURIDAD SOCIAL</t>
  </si>
  <si>
    <t xml:space="preserve">5.587.767</t>
  </si>
  <si>
    <t xml:space="preserve">5.231.576</t>
  </si>
  <si>
    <t xml:space="preserve">3.878.956</t>
  </si>
  <si>
    <t xml:space="preserve">1.352.620</t>
  </si>
  <si>
    <t xml:space="preserve">14 - ADMINISTRACION CENTRAL</t>
  </si>
  <si>
    <t xml:space="preserve">5.732.284</t>
  </si>
  <si>
    <t xml:space="preserve">5.386.445</t>
  </si>
  <si>
    <t xml:space="preserve">4.004.256</t>
  </si>
  <si>
    <t xml:space="preserve">1.382.189</t>
  </si>
  <si>
    <t xml:space="preserve">impôts internes coparticipables : Automobiles et moteurs au gasoil</t>
  </si>
  <si>
    <t xml:space="preserve">15 - ORGANISMOS DESCENTRALIZADOS</t>
  </si>
  <si>
    <t xml:space="preserve">5.770.665</t>
  </si>
  <si>
    <t xml:space="preserve">5.432.130</t>
  </si>
  <si>
    <t xml:space="preserve">4.038.388</t>
  </si>
  <si>
    <t xml:space="preserve">1.393.742</t>
  </si>
  <si>
    <t xml:space="preserve">16 - INSTITUCIONES DE SEGURIDAD SOCIAL</t>
  </si>
  <si>
    <t xml:space="preserve">5.787.210</t>
  </si>
  <si>
    <t xml:space="preserve">5.450.994</t>
  </si>
  <si>
    <t xml:space="preserve">4.052.269</t>
  </si>
  <si>
    <t xml:space="preserve">1.398.725</t>
  </si>
  <si>
    <t xml:space="preserve">15 - ADMINISTRACION CENTRAL</t>
  </si>
  <si>
    <t xml:space="preserve">Ressources affectées au SIPA hors transferts du Trésor, % du PIB. </t>
  </si>
  <si>
    <t xml:space="preserve">16 - ORGANISMOS DESCENTRALIZADOS</t>
  </si>
  <si>
    <t xml:space="preserve">17 - INSTITUCIONES DE SEGURIDAD SOCIAL</t>
  </si>
  <si>
    <t xml:space="preserve">16 - ADMINISTRACION CENTRAL</t>
  </si>
  <si>
    <t xml:space="preserve">"Ganancias" destiné au SUSS</t>
  </si>
  <si>
    <t xml:space="preserve">17 - ORGANISMOS DESCENTRALIZADOS</t>
  </si>
  <si>
    <t xml:space="preserve">Impôts internes coparticipables: autres. </t>
  </si>
  <si>
    <t xml:space="preserve">18 - INSTITUCIONES DE SEGURIDAD SOCIAL</t>
  </si>
  <si>
    <t xml:space="preserve">17 - ADMINISTRACION CENTRAL</t>
  </si>
  <si>
    <t xml:space="preserve">18 - ORGANISMOS DESCENTRALIZADOS</t>
  </si>
  <si>
    <t xml:space="preserve">19 - INSTITUCIONES DE SEGURIDAD SOCIAL</t>
  </si>
  <si>
    <t xml:space="preserve">18 - ADMINISTRACION CENTRAL</t>
  </si>
  <si>
    <t xml:space="preserve">19 - ORGANISMOS DESCENTRALIZADOS</t>
  </si>
  <si>
    <t xml:space="preserve">20 - INSTITUCIONES DE SEGURIDAD SOCIAL</t>
  </si>
  <si>
    <t xml:space="preserve">19 - ADMINISTRACION CENTRAL</t>
  </si>
  <si>
    <t xml:space="preserve">20 - ORGANISMOS DESCENTRALIZADOS</t>
  </si>
  <si>
    <t xml:space="preserve">21 - INSTITUCIONES DE SEGURIDAD SOCIAL</t>
  </si>
  <si>
    <t xml:space="preserve">20 - ADMINISTRACION CENTRAL</t>
  </si>
  <si>
    <t xml:space="preserve">21 - ORGANISMOS DESCENTRALIZADOS</t>
  </si>
  <si>
    <t xml:space="preserve">Adicional de emergencia sobre cigarrillos </t>
  </si>
  <si>
    <t xml:space="preserve">22 - INSTITUCIONES DE SEGURIDAD SOCIAL</t>
  </si>
  <si>
    <t xml:space="preserve">Impôt sur le revenu minimum présumé. </t>
  </si>
  <si>
    <t xml:space="preserve">Ressources affectées à ANSES venant d'apports, contributions et impôts d'assignation spécifique, milliers de pesos courants. </t>
  </si>
  <si>
    <t xml:space="preserve">I., milliers de pesos courants. </t>
  </si>
  <si>
    <t xml:space="preserve">II., Milliers de pesos courants. </t>
  </si>
  <si>
    <t xml:space="preserve">III., Milliers de pesos courants. </t>
  </si>
  <si>
    <t xml:space="preserve">IV., Milliers de pesos courants. </t>
  </si>
  <si>
    <t xml:space="preserve">Annuel, Milliers de pesos courants. </t>
  </si>
  <si>
    <t xml:space="preserve">Annuel, ressources propres au budget. </t>
  </si>
  <si>
    <t xml:space="preserve">GNC, gasoil, dieseloil y kerosene.</t>
  </si>
  <si>
    <t xml:space="preserve">Impôt sur les crédits et débits de comptes courants bancaire, loi 25413. Fraction coparticipable (30%). </t>
  </si>
  <si>
    <t xml:space="preserve">Ressources affectées à ANSES venant du 15% d'impôts coparticipables, milliers de pesos courants. </t>
  </si>
  <si>
    <t xml:space="preserve">Autres combustibles liquides.</t>
  </si>
  <si>
    <t xml:space="preserve">Impôt sur le transfert d'immeubles loi 23.905. titre VII.</t>
  </si>
  <si>
    <t xml:space="preserve">Autres combustibles liquides, pour SUSS. </t>
  </si>
  <si>
    <t xml:space="preserve">Ressources affectées à ANSES hors transferts du Trésor, total, milliers de pesos courants. </t>
  </si>
  <si>
    <t xml:space="preserve">Impôt sur les gains des jeux de hasard loi 20630, masse coparticipable. </t>
  </si>
  <si>
    <t xml:space="preserve">Annuel, dépenses inscrites au budget. </t>
  </si>
  <si>
    <t xml:space="preserve">Annuel, dépenses ANSES. </t>
  </si>
  <si>
    <t xml:space="preserve">Annuel, excédent ANSES. </t>
  </si>
  <si>
    <t xml:space="preserve">"Monotributo", composante prévisionelle. </t>
  </si>
  <si>
    <t xml:space="preserve">Masse totale des impôts coparticipables. </t>
  </si>
  <si>
    <t xml:space="preserve">"Monotributo", composante impositive. </t>
  </si>
  <si>
    <t xml:space="preserve">15% de la masse des impôts coparticipables, alloué au paiement des obligations prévisionnelles.  </t>
  </si>
  <si>
    <t xml:space="preserve">"Monotributo", composante impositive destinée au SUSS </t>
  </si>
  <si>
    <t xml:space="preserve">Contributions.</t>
  </si>
  <si>
    <t xml:space="preserve">– El sistema de coparticipación federal de impuestos en Argentina: Antecedentes históricos. El período comprendido entre 1935 y 1972: Leyes 12.139, 12.143, 12.147, 12.956, 14.060, 14.390, 14.788 y 17.687. El período comprendido entre 1973 y 1988: leyes 20.221, 220.006 y 23.548. La reforma constitucional de 1994: el inc. 3° del art. 75 de la CN (acuerdos previos; adhesión; masa coparticipable; distribuciones primaria y secundaria; la Ciudad Autónoma de Buenos Aires; el organismo fiscal federal; regímenes especiales; asignaciones específicas). La disposición transitoria sexta. El período comprendido entre 1992 y 2002: la época de los “pactos fiscales” y los “acuerdos federales”.</t>
  </si>
  <si>
    <t xml:space="preserve">4 – Las pautas uniformadoras de los sistemas tributarios locales. Los objetivos perseguidos mediante el dictado de pautas uniformes para que las provincias y sus municipios legislen en materia tributaria sustantiva. Las herramientas utilizadas: pautas uniformes, tasas o alícuotas máximas, materia imponible vedada, mecanismos de reparto de la base imponible, prohibición de analogía, etc. Los principales tributos provinciales y municipales: impuesto sobre los ingresos brutos, impuesto de sellos, impuesto sobre radicación de automotores, impuesto inmobiliario, impuesto sobre la transmisión gratuita de bienes. Principales tasas retributivas de servicio y por ocupación de bienes del dominio público. Jurisprudencia de la Corte Suprema de Justicia de la Nación sobre la interpretación, vigencia y operatividad de estas pautas uniformadoras. Las herramientas propuestas: a) pautas procedimentales uniformes y la posibilidad de dictar “códigos modelo” para las provincias y para sus municipios; b) revisión de las pautas dictadas para los impuestos sobre los ingresos brutos y de sellos; c) estudio del impuesto a la transmisión gratuita de bienes y pautas para uniformar su legislación; d) revisión del Convenio Multilateral de 1978 para el impuesto sobre los ingresos brutos.</t>
  </si>
  <si>
    <t xml:space="preserve">Facilités de paiement.</t>
  </si>
  <si>
    <t xml:space="preserve">225.110</t>
  </si>
  <si>
    <t xml:space="preserve">Agents de rétention. </t>
  </si>
  <si>
    <t xml:space="preserve">Contributions + facilités de paiement + agents de rétention. </t>
  </si>
  <si>
    <t xml:space="preserve">Contributions + apports, totaux. </t>
  </si>
  <si>
    <t xml:space="preserve">Apports</t>
  </si>
  <si>
    <t xml:space="preserve">PIB à prix de marché, millions de Pesos.</t>
  </si>
  <si>
    <t xml:space="preserve">CUADRO 1.6.1</t>
  </si>
  <si>
    <t xml:space="preserve">Producto Interno Bruto a precios de mercado </t>
  </si>
  <si>
    <t xml:space="preserve">Millones de pesos</t>
  </si>
  <si>
    <t xml:space="preserve">Series </t>
  </si>
  <si>
    <t xml:space="preserve">Anual</t>
  </si>
  <si>
    <t xml:space="preserve">Trimestral</t>
  </si>
  <si>
    <t xml:space="preserve">A.  Agricultura, ganadería, caza y silvicultura</t>
  </si>
  <si>
    <t xml:space="preserve">B.  Pesca</t>
  </si>
  <si>
    <t xml:space="preserve">C.  Explotación de minas y canteras</t>
  </si>
  <si>
    <t xml:space="preserve"> D.  Industria manufacturera</t>
  </si>
  <si>
    <t xml:space="preserve">E.  Suministro de electricidad, gas y agua</t>
  </si>
  <si>
    <t xml:space="preserve">F.  Construcción</t>
  </si>
  <si>
    <t xml:space="preserve">SECTORES PRODUCTORES DE BIENES</t>
  </si>
  <si>
    <t xml:space="preserve">G.  Comercio mayorista y minorista y reparaciones</t>
  </si>
  <si>
    <t xml:space="preserve">H.  Hoteles y restaurantes</t>
  </si>
  <si>
    <t xml:space="preserve">I.  Transporte, almacenamiento y comunicaciones</t>
  </si>
  <si>
    <t xml:space="preserve">J.  Intermediación financiera</t>
  </si>
  <si>
    <t xml:space="preserve">K.  Actividades inmobiliarias, empresariales y de alquiler</t>
  </si>
  <si>
    <t xml:space="preserve">L. Administración Pública y Defensa; Planes de Seguridad Social de Afiliación Obligatoria</t>
  </si>
  <si>
    <t xml:space="preserve">M.  Enseñanza</t>
  </si>
  <si>
    <t xml:space="preserve">N.                       Servicios Sociales y de Salud</t>
  </si>
  <si>
    <t xml:space="preserve">O.  Otras actividades de servicios comunitarias sociales, personales </t>
  </si>
  <si>
    <t xml:space="preserve">P.          Hogares Privados con Servicios Domésticos</t>
  </si>
  <si>
    <t xml:space="preserve">SECTORES PRODUCTORES DE SERVICIOS</t>
  </si>
  <si>
    <t xml:space="preserve">VALOR AGREGADO BRUTO a precios básicos</t>
  </si>
  <si>
    <t xml:space="preserve">Impuesto al Valor Agregado</t>
  </si>
  <si>
    <t xml:space="preserve">Derechos de Importación</t>
  </si>
  <si>
    <t xml:space="preserve">Impuestos a los productos netos de subsidios</t>
  </si>
  <si>
    <t xml:space="preserve">PRODUCTO INTERNO BRUTO a precios de mercado</t>
  </si>
  <si>
    <t xml:space="preserve">I 04</t>
  </si>
  <si>
    <t xml:space="preserve">II 04</t>
  </si>
  <si>
    <t xml:space="preserve">III 04</t>
  </si>
  <si>
    <t xml:space="preserve">IV 04</t>
  </si>
  <si>
    <t xml:space="preserve">I 05</t>
  </si>
  <si>
    <t xml:space="preserve">II 05</t>
  </si>
  <si>
    <t xml:space="preserve">III 05</t>
  </si>
  <si>
    <t xml:space="preserve">IV 05</t>
  </si>
  <si>
    <t xml:space="preserve">I 06</t>
  </si>
  <si>
    <t xml:space="preserve">II 06</t>
  </si>
  <si>
    <t xml:space="preserve">III 06</t>
  </si>
  <si>
    <t xml:space="preserve">IV 06</t>
  </si>
  <si>
    <t xml:space="preserve">I 07</t>
  </si>
  <si>
    <t xml:space="preserve">II 07</t>
  </si>
  <si>
    <t xml:space="preserve">III 07</t>
  </si>
  <si>
    <t xml:space="preserve">IV 07</t>
  </si>
  <si>
    <t xml:space="preserve">I 08</t>
  </si>
  <si>
    <t xml:space="preserve">II 08</t>
  </si>
  <si>
    <t xml:space="preserve">III 08</t>
  </si>
  <si>
    <t xml:space="preserve">IV 08</t>
  </si>
  <si>
    <t xml:space="preserve">I 09</t>
  </si>
  <si>
    <t xml:space="preserve">II 09</t>
  </si>
  <si>
    <t xml:space="preserve">III 09</t>
  </si>
  <si>
    <t xml:space="preserve">IV 09</t>
  </si>
  <si>
    <t xml:space="preserve">I 10</t>
  </si>
  <si>
    <t xml:space="preserve">II 10</t>
  </si>
  <si>
    <t xml:space="preserve">III 10</t>
  </si>
  <si>
    <t xml:space="preserve">IV 10</t>
  </si>
  <si>
    <t xml:space="preserve">I 11</t>
  </si>
  <si>
    <t xml:space="preserve">II 11</t>
  </si>
  <si>
    <t xml:space="preserve">III 11</t>
  </si>
  <si>
    <t xml:space="preserve">IV 11</t>
  </si>
  <si>
    <t xml:space="preserve">I 12</t>
  </si>
  <si>
    <t xml:space="preserve">II 12</t>
  </si>
  <si>
    <t xml:space="preserve">III 12</t>
  </si>
  <si>
    <t xml:space="preserve">IV 12</t>
  </si>
  <si>
    <t xml:space="preserve">I 13</t>
  </si>
  <si>
    <t xml:space="preserve">II 13</t>
  </si>
  <si>
    <t xml:space="preserve">III 13</t>
  </si>
  <si>
    <t xml:space="preserve">IV 13</t>
  </si>
  <si>
    <t xml:space="preserve">I 14</t>
  </si>
  <si>
    <t xml:space="preserve">II 14</t>
  </si>
  <si>
    <t xml:space="preserve">III 14</t>
  </si>
  <si>
    <t xml:space="preserve">IV 14</t>
  </si>
  <si>
    <t xml:space="preserve">I 15</t>
  </si>
  <si>
    <t xml:space="preserve">II 15</t>
  </si>
  <si>
    <t xml:space="preserve">III 15</t>
  </si>
  <si>
    <t xml:space="preserve">IV 15</t>
  </si>
  <si>
    <t xml:space="preserve">I 16</t>
  </si>
  <si>
    <t xml:space="preserve">II 16</t>
  </si>
  <si>
    <t xml:space="preserve">III 16</t>
  </si>
  <si>
    <t xml:space="preserve">IV 16</t>
  </si>
  <si>
    <t xml:space="preserve">I 17</t>
  </si>
  <si>
    <t xml:space="preserve">II 17</t>
  </si>
  <si>
    <t xml:space="preserve">III 17</t>
  </si>
  <si>
    <t xml:space="preserve">CUADRO 1.6</t>
  </si>
  <si>
    <t xml:space="preserve">Índice</t>
  </si>
  <si>
    <t xml:space="preserve">Producto Interno Bruto a precios de mercado - Valor Agregado Bruto a precios de productor</t>
  </si>
  <si>
    <t xml:space="preserve">Millones de pesos corrientes</t>
  </si>
  <si>
    <t xml:space="preserve">L y Q.  Administración pública y defensa</t>
  </si>
  <si>
    <t xml:space="preserve">M y N.  Enseñanza, servicios sociales y de salud</t>
  </si>
  <si>
    <t xml:space="preserve">O y P.  Otras actividades de servicios comunitarias sociales, personales y servicio domestico</t>
  </si>
  <si>
    <t xml:space="preserve"> Servicios de Intermediación Financiera Medidos Indirectamente</t>
  </si>
  <si>
    <t xml:space="preserve">VALOR AGREGADO BRUTO a precios de productor (1)</t>
  </si>
  <si>
    <t xml:space="preserve"> Impuesto a las importaciones</t>
  </si>
  <si>
    <t xml:space="preserve">I 93</t>
  </si>
  <si>
    <t xml:space="preserve">II 93</t>
  </si>
  <si>
    <t xml:space="preserve">III 93</t>
  </si>
  <si>
    <t xml:space="preserve">IV 93</t>
  </si>
  <si>
    <t xml:space="preserve">I 94</t>
  </si>
  <si>
    <t xml:space="preserve">II 94</t>
  </si>
  <si>
    <t xml:space="preserve">III 94</t>
  </si>
  <si>
    <t xml:space="preserve">IV 94</t>
  </si>
  <si>
    <t xml:space="preserve">I 95</t>
  </si>
  <si>
    <t xml:space="preserve">II 95</t>
  </si>
  <si>
    <t xml:space="preserve">III 95</t>
  </si>
  <si>
    <t xml:space="preserve">IV 95</t>
  </si>
  <si>
    <t xml:space="preserve">I 96</t>
  </si>
  <si>
    <t xml:space="preserve">II 96</t>
  </si>
  <si>
    <t xml:space="preserve">III 96</t>
  </si>
  <si>
    <t xml:space="preserve">IV 96</t>
  </si>
  <si>
    <t xml:space="preserve">I 97</t>
  </si>
  <si>
    <t xml:space="preserve">II 97</t>
  </si>
  <si>
    <t xml:space="preserve">III 97</t>
  </si>
  <si>
    <t xml:space="preserve">IV 97</t>
  </si>
  <si>
    <t xml:space="preserve">I 98</t>
  </si>
  <si>
    <t xml:space="preserve">II 98</t>
  </si>
  <si>
    <t xml:space="preserve">III 98</t>
  </si>
  <si>
    <t xml:space="preserve">IV 98</t>
  </si>
  <si>
    <t xml:space="preserve">I 99</t>
  </si>
  <si>
    <t xml:space="preserve">II 99</t>
  </si>
  <si>
    <t xml:space="preserve">III 99</t>
  </si>
  <si>
    <t xml:space="preserve">IV 99</t>
  </si>
  <si>
    <t xml:space="preserve">I 00</t>
  </si>
  <si>
    <t xml:space="preserve">II 00</t>
  </si>
  <si>
    <t xml:space="preserve">III 00</t>
  </si>
  <si>
    <t xml:space="preserve">IV 00</t>
  </si>
  <si>
    <t xml:space="preserve">I 01</t>
  </si>
  <si>
    <t xml:space="preserve">II 01</t>
  </si>
  <si>
    <t xml:space="preserve">III 01</t>
  </si>
  <si>
    <t xml:space="preserve">IV 01</t>
  </si>
  <si>
    <t xml:space="preserve">I 02</t>
  </si>
  <si>
    <t xml:space="preserve">II 02</t>
  </si>
  <si>
    <t xml:space="preserve">III 02</t>
  </si>
  <si>
    <t xml:space="preserve">IV 02</t>
  </si>
  <si>
    <t xml:space="preserve">I 03</t>
  </si>
  <si>
    <t xml:space="preserve">II 03</t>
  </si>
  <si>
    <t xml:space="preserve">III 03</t>
  </si>
  <si>
    <t xml:space="preserve">IV 03</t>
  </si>
  <si>
    <t xml:space="preserve">(*) Estimaciones provisorias</t>
  </si>
  <si>
    <t xml:space="preserve">(1).- Excluye IVA e impuestos a la importación</t>
  </si>
  <si>
    <r>
      <rPr>
        <b val="true"/>
        <i val="true"/>
        <sz val="8"/>
        <rFont val="Arial"/>
        <family val="2"/>
        <charset val="204"/>
      </rPr>
      <t xml:space="preserve">Fuente</t>
    </r>
    <r>
      <rPr>
        <i val="true"/>
        <sz val="8"/>
        <rFont val="Arial"/>
        <family val="2"/>
        <charset val="204"/>
      </rPr>
      <t xml:space="preserve">: Dirección Nacional de Cuentas Nacionales - INDEC</t>
    </r>
  </si>
  <si>
    <t xml:space="preserve">millones de pesos</t>
  </si>
  <si>
    <t xml:space="preserve">Coparticipación ley 23548 a Provincias</t>
  </si>
  <si>
    <t xml:space="preserve">Financiamiento educativo</t>
  </si>
  <si>
    <t xml:space="preserve">Masa coparticipable que se deduce</t>
  </si>
  <si>
    <t xml:space="preserve">15 % que va a ANSES (miles de pesos)</t>
  </si>
  <si>
    <t xml:space="preserve">Coparticipación federal y modificatorias a Provincias</t>
  </si>
  <si>
    <t xml:space="preserve">Coparticipación federal neta</t>
  </si>
  <si>
    <t xml:space="preserve">Cláusula de garantía</t>
  </si>
  <si>
    <t xml:space="preserve">Financiamiento educativo Ley 26075</t>
  </si>
  <si>
    <t xml:space="preserve">Transferencia de servicios</t>
  </si>
  <si>
    <t xml:space="preserve">Fondo Compensador de Desequilibrios Provinciales</t>
  </si>
  <si>
    <t xml:space="preserve">Suma Fija Ley 24621</t>
  </si>
  <si>
    <t xml:space="preserve">Masa coparticipable total, calculada</t>
  </si>
  <si>
    <t xml:space="preserve">Masa coparticipable total, medida</t>
  </si>
  <si>
    <t xml:space="preserve">Transferencias a ANSES, calculadas</t>
  </si>
  <si>
    <t xml:space="preserve">Transferencias a ANSES, medidas</t>
  </si>
  <si>
    <t xml:space="preserve">Compensación Estado por devolución coparticipación a provincias</t>
  </si>
  <si>
    <t xml:space="preserve">Total contribuciones figurativas por coparticipación</t>
  </si>
  <si>
    <t xml:space="preserve">Contribuciones figurativas totales</t>
  </si>
  <si>
    <t xml:space="preserve">Para 2012 mezclamos coparticipación y ley de financiamiento educativo</t>
  </si>
  <si>
    <t xml:space="preserve">CONTRIBUCIONES FIGURATIVAS : </t>
  </si>
  <si>
    <t xml:space="preserve">A partir de 1998, “Por su parte, el Instituto Nacional de Servicios Sociales para Jubilados y Pensionados dejó de pertenecer al ámbito del Sector Público Nacional, la Secretaría de Seguridad Social pasó a ser un programa dentro del Ministerio de Trabajo y la atención a las Ex-Cajas Provinciales se constituyó en un programa dentro de la Administración Nacional de la Seguridad Social.” Es por eso que no están disponibles datos separados de contribuciones a ex-cajas provinciales o de gastos de cajas provinciales en la cuenta ahorro inversión financiamiento de ANSES. Hay que ver el resumen fisico financiero para ver cuántas jubilaciones de ex-cajas provinciales se pagan</t>
  </si>
  <si>
    <t xml:space="preserve">Para gastos corrientes</t>
  </si>
  <si>
    <t xml:space="preserve">(*) Incluye los recursos destinados al Organismo de acuerdo a la cláusula primera del "Acuerdo entre el Gobierno nacional y los gobiernos provinciales", ratificado por la Ley 24.130; y las transferencias para financiar PROGRESAR, la prestación a Ex Presos Políticos (Ley 26913), asignaciones familiares a trabajadores del Sector Público Nacional, los gastos corrientes correspondientes al Programa Conectar Igualdad y aquellas destinadas a cubrir las necesidades financieras del Organismo.</t>
  </si>
  <si>
    <t xml:space="preserve">Fuente: 
Secretaría de Política Económica y Planificación del Desarrollo   &gt;   Programación Macroeconómica
INFORMACIÓN ECONÓMICA AL DÍA
</t>
  </si>
  <si>
    <t xml:space="preserve">PIB precios corrientes, miles de pesos</t>
  </si>
  <si>
    <t xml:space="preserve">URL: http://www.economia.gob.ar/secretarias/politica-economica/programacion-macroeconomica/</t>
  </si>
  <si>
    <t xml:space="preserve">RECURSOS ANSES. Cuenta Ahorro Inversión Financiamiento para los niveles agregados, composición de los recursos por institución, entidad y rubro</t>
  </si>
  <si>
    <t xml:space="preserve"> </t>
  </si>
  <si>
    <t xml:space="preserve">Para gastos de capital</t>
  </si>
  <si>
    <t xml:space="preserve">(**) Corresponde a las transferencias para financiar los gastos de capital relacionados con el Programa Conectar Igualdad.</t>
  </si>
  <si>
    <t xml:space="preserve">Los datos vienen (casi) todos de las cuentas de inversión entre 1993 y 2015, cuyo link es http://www.mecon.gov.ar/hacienda/cgn/cuenta/</t>
  </si>
  <si>
    <t xml:space="preserve">A partir del 2003, discrepancia entre gastos de consumo anexo 14 y anexo 3.10</t>
  </si>
  <si>
    <t xml:space="preserve">Precios de mercado productor</t>
  </si>
  <si>
    <t xml:space="preserve">2007, la discrepancia es de unos 50 mil pesos nomás, 2008, 8 mil pesos, 2009 40 millones de pesos</t>
  </si>
  <si>
    <t xml:space="preserve">Base 1993</t>
  </si>
  <si>
    <t xml:space="preserve">Base 2004</t>
  </si>
  <si>
    <t xml:space="preserve"> Parece que el rubro « otras contribuciones » son las del PAMI, corroborado por el hecho que en las cuentas AIF del PAMI 1995 1996 1997 casi no figuran recursos</t>
  </si>
  <si>
    <t xml:space="preserve">ESTÁ incluida la PUAM . Desde octubre 2017 también están las Pensiones No Contributivas Decreto 746/2017</t>
  </si>
  <si>
    <t xml:space="preserve">CUADRO 22 CUENTA DE INVERSIÓN</t>
  </si>
  <si>
    <t xml:space="preserve">Esto se obtiene en gastos figurativos, cuadro 22 gastos figurativos de ANSES</t>
  </si>
  <si>
    <t xml:space="preserve">Esto se obtiene en contribuciones figurativas, cuadro 23 contribuciones figurativas del ministerio de desarrollo social</t>
  </si>
  <si>
    <t xml:space="preserve">Ésta es la diferencia </t>
  </si>
  <si>
    <t xml:space="preserve">FGS, activos y rentabilidad</t>
  </si>
  <si>
    <t xml:space="preserve">Miles de pesos corrientes</t>
  </si>
  <si>
    <t xml:space="preserve">Ingresos corrientes</t>
  </si>
  <si>
    <t xml:space="preserve">Ingresos tributarios</t>
  </si>
  <si>
    <t xml:space="preserve">Imp. sobre los ingresos (ganancias)</t>
  </si>
  <si>
    <t xml:space="preserve">Imp. sobre el patrimonio</t>
  </si>
  <si>
    <t xml:space="preserve">Imp. indirectos</t>
  </si>
  <si>
    <t xml:space="preserve">IVA(0,11*0,9373 %)</t>
  </si>
  <si>
    <t xml:space="preserve">Impuestos internos unificados</t>
  </si>
  <si>
    <t xml:space="preserve">GNC, gasoil, dieseloil y kerosene (100%)</t>
  </si>
  <si>
    <t xml:space="preserve">Otros combustibles líquidos (21%)</t>
  </si>
  <si>
    <t xml:space="preserve">Impuesto al Cheque destinado a ANSES</t>
  </si>
  <si>
    <t xml:space="preserve">Otros tributarios</t>
  </si>
  <si>
    <t xml:space="preserve">Adicional cigarrillos (100%?) (parece que 0 % antes de 1998)</t>
  </si>
  <si>
    <t xml:space="preserve">Monotributo ( 70 % impositivo) </t>
  </si>
  <si>
    <t xml:space="preserve">Ingresos no tributarios</t>
  </si>
  <si>
    <t xml:space="preserve">Contribuciones a la seguridad social</t>
  </si>
  <si>
    <t xml:space="preserve">Contrib. s. s. </t>
  </si>
  <si>
    <t xml:space="preserve">Otras contribuciones</t>
  </si>
  <si>
    <t xml:space="preserve">Contrib. Ex-cajas provinciales</t>
  </si>
  <si>
    <t xml:space="preserve">Rentas de la propiedad</t>
  </si>
  <si>
    <t xml:space="preserve">Intereses por depósitos</t>
  </si>
  <si>
    <t xml:space="preserve">Intereses por préstamos, títulos y valores</t>
  </si>
  <si>
    <t xml:space="preserve">Transferencias corrientes </t>
  </si>
  <si>
    <t xml:space="preserve">Del sector privado</t>
  </si>
  <si>
    <t xml:space="preserve">Del sector externo</t>
  </si>
  <si>
    <t xml:space="preserve">Recursos de capital</t>
  </si>
  <si>
    <t xml:space="preserve">Disminución de la inversión financiera / Venta de acciones</t>
  </si>
  <si>
    <t xml:space="preserve">Recursos propios de capital / venta de tierras y terrenos</t>
  </si>
  <si>
    <t xml:space="preserve">Total recursos</t>
  </si>
  <si>
    <t xml:space="preserve">Contribuciones figurativas</t>
  </si>
  <si>
    <t xml:space="preserve">Por detracción de masa de impuestos coparticipables </t>
  </si>
  <si>
    <t xml:space="preserve">Por Prestación Universal al Adulto Mayor</t>
  </si>
  <si>
    <t xml:space="preserve">Por gastos plan conectar igualdad (capital)</t>
  </si>
  <si>
    <t xml:space="preserve">Por asignaciones familiares sector público nacional</t>
  </si>
  <si>
    <t xml:space="preserve">Por PROGRESAR</t>
  </si>
  <si>
    <t xml:space="preserve">Cont. Fig-(Coparticipables + Conectar + Familiares SPN + PROGRESAR)</t>
  </si>
  <si>
    <t xml:space="preserve">Coparticipación menos gastos figurativos + gastos figurativos financiados por Tesoro</t>
  </si>
  <si>
    <t xml:space="preserve">Impacto de coparticipación en cuentas de jubilaciones </t>
  </si>
  <si>
    <t xml:space="preserve">FUENTES</t>
  </si>
  <si>
    <t xml:space="preserve">Gastos corrientes</t>
  </si>
  <si>
    <t xml:space="preserve">Gastos de Consumo</t>
  </si>
  <si>
    <t xml:space="preserve">Remuneraciones</t>
  </si>
  <si>
    <t xml:space="preserve">Bienes y servicios</t>
  </si>
  <si>
    <t xml:space="preserve">Gastos de consumo de ex-cajas provinciales</t>
  </si>
  <si>
    <t xml:space="preserve">Intereses</t>
  </si>
  <si>
    <t xml:space="preserve">Otras rentas</t>
  </si>
  <si>
    <t xml:space="preserve">Prestaciones de la seguridad social</t>
  </si>
  <si>
    <t xml:space="preserve">PUAM</t>
  </si>
  <si>
    <t xml:space="preserve">PNC</t>
  </si>
  <si>
    <t xml:space="preserve">Jubilaciones normales ley 24241</t>
  </si>
  <si>
    <t xml:space="preserve">Jubilaciones por moratoria</t>
  </si>
  <si>
    <t xml:space="preserve">Ex-cajas provinciales</t>
  </si>
  <si>
    <t xml:space="preserve">Ex-combatientes Malvinas (financiados por rentas generales)</t>
  </si>
  <si>
    <t xml:space="preserve">Otros gastos corrientes</t>
  </si>
  <si>
    <t xml:space="preserve">Transferencias corrientes</t>
  </si>
  <si>
    <t xml:space="preserve">Al sector privado</t>
  </si>
  <si>
    <t xml:space="preserve">Al sector público</t>
  </si>
  <si>
    <t xml:space="preserve">Al sector externo</t>
  </si>
  <si>
    <t xml:space="preserve">Transferencias de seguridad social</t>
  </si>
  <si>
    <t xml:space="preserve">Transferencias de salud (PAMI)</t>
  </si>
  <si>
    <t xml:space="preserve">Transferencias de trabajo</t>
  </si>
  <si>
    <t xml:space="preserve">Transferencias de promoción social (Min. Des. Soc.)</t>
  </si>
  <si>
    <t xml:space="preserve">Transferencias de educación y cultura</t>
  </si>
  <si>
    <t xml:space="preserve">Asignaciones familiares sector público nacional (cubiertas por Estado Nacional)</t>
  </si>
  <si>
    <t xml:space="preserve">Transferencias corrientes pagadas por ANSES</t>
  </si>
  <si>
    <t xml:space="preserve">Para Info. Contr. Cajas Militares, INSSJYP, a DGI, Transf. Empleo y Des. Soc.</t>
  </si>
  <si>
    <t xml:space="preserve">Gastos de capital</t>
  </si>
  <si>
    <t xml:space="preserve">Inversión real directa</t>
  </si>
  <si>
    <t xml:space="preserve">Transferencias de capital</t>
  </si>
  <si>
    <t xml:space="preserve">Inversión financiera</t>
  </si>
  <si>
    <t xml:space="preserve">Total gastos</t>
  </si>
  <si>
    <t xml:space="preserve">Gastos figurativos</t>
  </si>
  <si>
    <t xml:space="preserve">Gastos figurativos de todas las ISS</t>
  </si>
  <si>
    <t xml:space="preserve">A instituciones de seguridad social</t>
  </si>
  <si>
    <t xml:space="preserve">Al ministerio de desarrollo social/ PNC (gastos corrientes)</t>
  </si>
  <si>
    <t xml:space="preserve">Gastos de capital y otras dependencias</t>
  </si>
  <si>
    <t xml:space="preserve">Cancelación deuda previsional sin RH</t>
  </si>
  <si>
    <t xml:space="preserve">Retroactivos RH</t>
  </si>
  <si>
    <t xml:space="preserve">Result. Econ.: Ahorro-Desahorro (Ingresos- Gastos corrientes)</t>
  </si>
  <si>
    <t xml:space="preserve">Result. Financiero antes de contribuciones</t>
  </si>
  <si>
    <t xml:space="preserve">Resultado bismarckiano : contribuciones a la seguridad social menos prestaciones de seguridad social y transferencias corrientes</t>
  </si>
  <si>
    <t xml:space="preserve">Resultado financiero excluyendo rentas de propiedad y transferencias corrientes de PAMI</t>
  </si>
  <si>
    <t xml:space="preserve">Devolución Coparticipación Provincias</t>
  </si>
  <si>
    <t xml:space="preserve">I</t>
  </si>
  <si>
    <t xml:space="preserve">II</t>
  </si>
  <si>
    <t xml:space="preserve">III</t>
  </si>
  <si>
    <t xml:space="preserve">IV</t>
  </si>
  <si>
    <t xml:space="preserve">ANUAL</t>
  </si>
  <si>
    <t xml:space="preserve">Impuesto al cheque</t>
  </si>
  <si>
    <t xml:space="preserve">Porcentaje del PIB</t>
  </si>
  <si>
    <t xml:space="preserve">Activos</t>
  </si>
  <si>
    <t xml:space="preserve">Rentabilidad</t>
  </si>
  <si>
    <t xml:space="preserve">Rentabilidad, porcentaje del valor del fondo del año pasado</t>
  </si>
  <si>
    <t xml:space="preserve">Cuadro 71 composición de los recursos por rubro </t>
  </si>
  <si>
    <t xml:space="preserve">Para las contribuciones figurativas: esquema ahorra inversión financiamiento base caja sector público http://www.mecon.gov.ar/onp/html/resultado/caja/c1993/1993.htm</t>
  </si>
  <si>
    <t xml:space="preserve">Cuadro 21 gastos figurativos, cuadro 63 detalle gastos en capital, transferencias de capital, transferencias corrientes, cuadro 67 detales gastos de consumo, cuadro 66 gastos corrientes ANSES el cuadro 63 también muestra que sólo ANSES hace transferencias corrientes y gastos de capital entre instituciones de seguridad social. Cuadro 62 muestra que las transferencias corrientes van todas a seguridad social</t>
  </si>
  <si>
    <t xml:space="preserve">Cuadro 72 composición de los recursos por institución, entidad y rubro Anexo 11 contribuciones figurativas</t>
  </si>
  <si>
    <t xml:space="preserve">Cuadro 68 detalles gastos de consumo, cuadro 64 detalles gastos de capital, anexo 11 gastos corrientes y figurativos, cuadro 63 muestra que transferencias corrientes van a seguridad social</t>
  </si>
  <si>
    <t xml:space="preserve">En verdad, basta con Anexo 11</t>
  </si>
  <si>
    <t xml:space="preserve">Cuadro 72 composición de los recursos por institución, entidad y rubro Anexo 15 contribuciones figurativas</t>
  </si>
  <si>
    <t xml:space="preserve">Anexo 15 para todo salvo detalle gastos de consumo (cuadro 68). Cuadro 63 muestra que las transferencias corrientes van a seguridad social. El detalle público privado no se puede obtener porque los datos en el cuadro 64 mezclan a ANSES con el PAMI (véase cuadro 67)  Cuadro 23 para las contribuciones figurativas de ANSES  a PAMI (que se quitan de los gastos figurativos para no mezclar gasto en salud y gasto figurativo en jubilaciones)</t>
  </si>
  <si>
    <t xml:space="preserve">Anexo 15 para todo</t>
  </si>
  <si>
    <t xml:space="preserve">Anexo 17 para todo. No hay datos para los detalles de las transferencias corrientes</t>
  </si>
  <si>
    <t xml:space="preserve">Cuadro 72 para todos los recursos, anexo 17 para las contribuciones figurativas</t>
  </si>
  <si>
    <t xml:space="preserve">Cuadro 68 detalles gastos de consumo, anexo 17 para gastos figurativos y la mayoría de los gastos, anexo 1 para gastos ex-cajas provinciales cuadro 63 para finalidad función transferencias corrientes. Detalle por destino de transferencias por sectores no se puede obtener, mezclado con PAMI (cuadro 67)</t>
  </si>
  <si>
    <t xml:space="preserve">Anexo 5.2.1. para los recursos, anexo 6.2.3. para las contribuciones figurativas,</t>
  </si>
  <si>
    <t xml:space="preserve">Anexo 5.1.6. para el detalle de los gastos de consumo, anexo 6.2.3. para el resto de los gastos y gastos figurativos, Anexo 2.12 para las transferencias a PAMI AFIP Cajas militares etc. Anexo 5.11 para finalidad de transferencias corrientes y anexo 5.12 para ver si van al sector público o privado</t>
  </si>
  <si>
    <t xml:space="preserve">Anexo 3.14 para los recursos anexo 13 para las contribuciones figurativas</t>
  </si>
  <si>
    <t xml:space="preserve">Anexo 13 para los gastos, salvo anexo 3.10 para detalle gastos consumo. Anexo 3.5. transferencias corrientes por objeto, 3.6. por naturaleza económica cuadro 7 para comprobar el monto de transferencias a PAMI y otros</t>
  </si>
  <si>
    <t xml:space="preserve">Anexo 3.14. para los recursos anexo 15 para las contribuciones figurativas</t>
  </si>
  <si>
    <t xml:space="preserve">Anexo 15 para los gastos, salvo anexo 3.10 para detalle gastos consumo  Anexo 3.5. transferencias corrientes por objeto, 3.6. por naturaleza económica cuadro 7 para comprobar el monto de transferencias a PAMI y otros</t>
  </si>
  <si>
    <t xml:space="preserve">Anexo 3.14 para los recursos anexo 14 para las contribuciones figurativas</t>
  </si>
  <si>
    <t xml:space="preserve">Anexo 14 para los gastos, salvo anexo 3.10. para el detalle de gastos de consumo Anexo 3.5. transferencias corrientes por objeto, 3.6. por naturaleza económica cuadro 7 para comprobar el monto de transferencias a PAMI y otros</t>
  </si>
  <si>
    <t xml:space="preserve">Anexo 14 para los gastos, salvo anexo 3.10. para el detalle de gastos de consumo  Anexo 3.5. transferencias corrientes por objeto, 3.6. por naturaleza económica cuadro 7 para comprobar el monto de transferencias a PAMI y otros</t>
  </si>
  <si>
    <t xml:space="preserve">Anexo 14 para los gastos, salvo anexo 3.10. para el detalle de gastos de consumo   Anexo 3.5. transferencias corrientes por objeto, 3.6. por naturaleza económica cuadro 7 para comprobar el monto de transferencias a PAMI y otros</t>
  </si>
  <si>
    <t xml:space="preserve">Anexo 3.14 para los recursos anexo 16 para las contribuciones figurativas</t>
  </si>
  <si>
    <t xml:space="preserve">Anexo 16 para los gastos, salvo anexo 3.10. para el detalle de gastos de consumo Anexo 3.5. transferencias corrientes por objeto, 3.6. por naturaleza económica cuadro 7 para comprobar el monto de transferencias a PAMI y otros</t>
  </si>
  <si>
    <t xml:space="preserve">Anexo 3.14 para los recursos anexo 18 para las contribuciones figurativas</t>
  </si>
  <si>
    <t xml:space="preserve">Anexo 18 para los gastos, salvo anexo 3.10. para el detalle de gastos de consumo Anexo 3.5. transferencias corrientes por objeto, 3.6. por naturaleza económica cuadro 7 para comprobar el monto de transferencias a PAMI y otros</t>
  </si>
  <si>
    <t xml:space="preserve">Anexo 3.14 para los recursos anexo 19 para las contribuciones figurativas</t>
  </si>
  <si>
    <t xml:space="preserve">Anexo 19 para los gastos, salvo anexo 3.10. para el detalle de gastos de consumo Anexo 3.5. transferencias corrientes por objeto, 3.6. por naturaleza económica cuadro 7 para comprobar el monto de transferencias a PAMI y otros</t>
  </si>
  <si>
    <t xml:space="preserve">Anexo 3.14 para los recursos anexo 20 para las contribuciones figurativas</t>
  </si>
  <si>
    <t xml:space="preserve">Anexo 20 para los gastos, salvo anexo 3.10. para el detalle de gastos de consumo Anexo 3.5. transferencias corrientes por objeto, 3.6. por naturaleza económica cuadro 7 para comprobar el monto de transferencias a PAMI y otros</t>
  </si>
  <si>
    <t xml:space="preserve">Anexo 20 para los gastos, salvo anexo 3.10. para el detalle de gastos de consumo</t>
  </si>
  <si>
    <t xml:space="preserve">2013</t>
  </si>
  <si>
    <t xml:space="preserve">Anexo 19 para los gastos, salvo anexo 3.10. para el detalle de gastos de consumo</t>
  </si>
  <si>
    <t xml:space="preserve">2014</t>
  </si>
  <si>
    <t xml:space="preserve">2015</t>
  </si>
  <si>
    <t xml:space="preserve">2016</t>
  </si>
  <si>
    <t xml:space="preserve">Anexo 3.14 para los recursos anexo 23 para las contribuciones figurativas</t>
  </si>
  <si>
    <t xml:space="preserve">Anexo 23 para los gastos, salvo anexo 3.10. para el detalle de gastos de consumo</t>
  </si>
  <si>
    <t xml:space="preserve">https://tn.com.ar/economia/vivo-el-blanqueo-de-capitales-alcanzo-los-116800-millones-de-dolares_783926</t>
  </si>
  <si>
    <t xml:space="preserve">2017</t>
  </si>
  <si>
    <t xml:space="preserve">Anexo 23 para los gastos, salvo anexo 3.10. para el detalle de gastos de consumo. El detalle de sentencias está en el Tomo I de la cuenta de Inversión, Capítulo V Art. 26 "de la cancelación de deudas de orígen previsional". Ahí está el desagregado sentencias / retroactivos reparación histórica. </t>
  </si>
  <si>
    <t xml:space="preserve">2018</t>
  </si>
  <si>
    <t xml:space="preserve">Anexo 3.14 para los recursos anexo 24 para las contribuciones figurativas</t>
  </si>
  <si>
    <t xml:space="preserve">2019</t>
  </si>
  <si>
    <t xml:space="preserve">Anexo 3.14 para los recursos, Anexo 3.12 para detalle recursos tributarios, anexo 24 para las contribuciones figurativas</t>
  </si>
  <si>
    <t xml:space="preserve">Oct</t>
  </si>
  <si>
    <t xml:space="preserve">Jun</t>
  </si>
  <si>
    <t xml:space="preserve">Cuenta AIF base caja sector público nacional salvo contribuciones (boletín mensual de seguridad social AFIP)</t>
  </si>
  <si>
    <r>
      <rPr>
        <sz val="12"/>
        <rFont val="Times New Roman"/>
        <family val="1"/>
        <charset val="1"/>
      </rPr>
      <t xml:space="preserve">El </t>
    </r>
    <r>
      <rPr>
        <b val="true"/>
        <sz val="12"/>
        <rFont val="Times New Roman"/>
        <family val="1"/>
        <charset val="1"/>
      </rPr>
      <t xml:space="preserve">Ministerio de Trabajo, Empleo y Seguridad Social</t>
    </r>
    <r>
      <rPr>
        <sz val="12"/>
        <rFont val="Times New Roman"/>
        <family val="1"/>
        <charset val="1"/>
      </rPr>
      <t xml:space="preserve"> ejecutó en 2016 transferencias a Provincias y Municipios por $19.250,4 millones, ejecutados principalmente a través del SAF Administración Nacional de la Seguridad Social, y su programa 99 Transferencias y Contribuciones a la Seguridad Social y Organismos Descentralizados  ($ 19.171,4 millones). Este monto se dividió, en un 63,1%, para Transferencias a Cajas Previsionales Provinciales, y el resto, 36,9%, para Devolución del 15% de Impuestos Coparticipables. Cabe destacar que el Crédito Inicial para esta Jurisdicción fue de $1.235,8 millones, y se introdujeron modificaciones presupuestarias que lo elevaron en 1.457,6% para hacer frente a los gastos descriptos.</t>
    </r>
  </si>
  <si>
    <t xml:space="preserve">Dev. Copart. Y armonizacion</t>
  </si>
  <si>
    <t xml:space="preserve">Cuenta AIF para gastos de consumo y transferencias, más gastos de capital y otros gastos, seguimiento físico financiero para prestaciones  de seguridad social y transferencias que no paga ANSES</t>
  </si>
  <si>
    <t xml:space="preserve">Trim 1</t>
  </si>
  <si>
    <t xml:space="preserve">abr</t>
  </si>
  <si>
    <t xml:space="preserve">EL Cuadro 22 tiene el detalle de gastos figurativos, con sus destinos</t>
  </si>
  <si>
    <t xml:space="preserve">Trim 3</t>
  </si>
  <si>
    <t xml:space="preserve">May</t>
  </si>
  <si>
    <t xml:space="preserve">Ingresos corrientes, sin el PAMI % PIB</t>
  </si>
  <si>
    <t xml:space="preserve">Ingresos corrientes sin el PAMI, simulados (% PIB)</t>
  </si>
  <si>
    <t xml:space="preserve">Ingresos extraordinarios de blanqueo de capitales,  (% PIB)</t>
  </si>
  <si>
    <t xml:space="preserve">Contribuciones figurativas por coparticipación, PROGRESAR, conectar igualdad y AAFF trabajadores SPN</t>
  </si>
  <si>
    <t xml:space="preserve">Gastos corrientes a cargo de ANSES, % PIB (sin reparación histórica)</t>
  </si>
  <si>
    <t xml:space="preserve">Gastos corrientes a cargo de ANSES, simulados % PIB</t>
  </si>
  <si>
    <t xml:space="preserve">Gastos corrientes pagados por ANSES, sin el PAMI ni reparación histórica, % PIB</t>
  </si>
  <si>
    <t xml:space="preserve">Gastos figurativos (incluyendo gastos de capital por conectar igualdad) + sentencias, % PIB</t>
  </si>
  <si>
    <t xml:space="preserve">Déficit simulado: contribuciones - prestaciones de seguridad social - transferencias corrientes (sin reparación histórica)</t>
  </si>
  <si>
    <t xml:space="preserve">Déficit ANSES sin contribuciones ni gastos figurativos ni reparación histórica</t>
  </si>
  <si>
    <t xml:space="preserve">Déficit ANSES con coparticipación y gastos figurativos no financiados por rentas generales, sin reparación histórica</t>
  </si>
  <si>
    <t xml:space="preserve">Déficit ANSES con coparticipación y gastos figurativos sin rentas de capital (FGS)</t>
  </si>
  <si>
    <t xml:space="preserve">Contribuciones figurativas de ISS a PAMI y otros. En general este dato es levemente superior al dato de transferencias definitivo que figura en cuenta de inversión. </t>
  </si>
  <si>
    <t xml:space="preserve">Cuenta AIF 2017 baje caja sector público nacional</t>
  </si>
  <si>
    <t xml:space="preserve">(suma cuadro 8 del boletín mensual de seguridad social, AFIP)</t>
  </si>
  <si>
    <t xml:space="preserve">Nov</t>
  </si>
  <si>
    <t xml:space="preserve">Dic</t>
  </si>
  <si>
    <t xml:space="preserve">INCLUYE EL 15 % DE COPARTICIPACIÓN !</t>
  </si>
  <si>
    <t xml:space="preserve">cancelación deuda previsional, fuentes : ISS 2017 ANSES (2010-2016), aplicaciones financiers de disminución de otros pasivos (2017)</t>
  </si>
  <si>
    <t xml:space="preserve">Contribuciones a la seguridad social excluyendo al PAMI, % PIB</t>
  </si>
  <si>
    <t xml:space="preserve">Ingresos tributarios y no tributarios, % PIB</t>
  </si>
  <si>
    <t xml:space="preserve">Rentas de la propiedad, % PIB</t>
  </si>
  <si>
    <t xml:space="preserve">Ingresos corrientes sin el PAMI, % PIB</t>
  </si>
  <si>
    <t xml:space="preserve">Ingresos corrientes, % PIB</t>
  </si>
  <si>
    <t xml:space="preserve">Contribuciones a la seguridad social, % PIB</t>
  </si>
  <si>
    <t xml:space="preserve">Contribuciones figurativas por coparticipación y programas financiados por rentas generales, % PIB</t>
  </si>
  <si>
    <t xml:space="preserve">Resto de coparticipación después de gastos figurativos, % PIB</t>
  </si>
  <si>
    <t xml:space="preserve">Ingresos totales, % PIB</t>
  </si>
  <si>
    <t xml:space="preserve">Ingresos totales incluyendo coparticipación, % PIB</t>
  </si>
  <si>
    <t xml:space="preserve">Prestaciones de la seguridad social, % PIB</t>
  </si>
  <si>
    <t xml:space="preserve">Prestaciones de la seguridad social, excluyendo reparación histórica % PIB</t>
  </si>
  <si>
    <t xml:space="preserve">Transferencias corrientes sin las del PAMI, % PIB</t>
  </si>
  <si>
    <t xml:space="preserve">Gastos corrientes sin el PAMI, % PIB</t>
  </si>
  <si>
    <t xml:space="preserve">Transferencias corrientes, % PIB</t>
  </si>
  <si>
    <t xml:space="preserve">Gastos corrientes, % PIB</t>
  </si>
  <si>
    <t xml:space="preserve">Gastos corrientes sin reparación histórica, % PIB</t>
  </si>
  <si>
    <t xml:space="preserve">Sentencias ANSES, % PIB</t>
  </si>
  <si>
    <t xml:space="preserve">Gastos totales, % PIB</t>
  </si>
  <si>
    <t xml:space="preserve">Gastos totales (excluyendo consumo), % PIB</t>
  </si>
  <si>
    <t xml:space="preserve">Resultado económico ahorro-desahorro, % PIB sin coparticipación</t>
  </si>
  <si>
    <t xml:space="preserve">Contribuciones – prestaciones, seguridad social, % PIB</t>
  </si>
  <si>
    <t xml:space="preserve">Ingresos extra FGS – gastos excluyendo PAMI, % PIB, sin coparticipación</t>
  </si>
  <si>
    <t xml:space="preserve">Resultado económico ahorro-desahorro corregido PAMI, % PIB sin coparticipación</t>
  </si>
  <si>
    <t xml:space="preserve">Resultado económico ahorro-desahorro corregido PAMI, % PIB con coparticipación</t>
  </si>
  <si>
    <t xml:space="preserve">Déficit simulado: contribuciones – prestaciones de seguridad social – transferencias corrientes</t>
  </si>
  <si>
    <t xml:space="preserve">Resultado económico ahorro-desahorro corregido PAMI, sin rentas FGS, % PIB con coparticipación</t>
  </si>
  <si>
    <t xml:space="preserve">Ingresos extra FGS – gastos excluyendo PAMI, % PIB</t>
  </si>
  <si>
    <t xml:space="preserve">Resultado económico ahorro-desahorro corregido PAMI, % PIB</t>
  </si>
  <si>
    <t xml:space="preserve">! DATOS 2015 INCLUYEN LAS PRESTACIONES DADAS PARA POLICÍA Y MILICOS, EN FUERTE DÉFICIT.  (te empeora el resultado de unos 0,5 puntos del producto)</t>
  </si>
  <si>
    <t xml:space="preserve">El problema también es que las contribuciones de la seguridad social seguramente incluyen también las contribuciones a milicos y policías. Los datos del 2015 son empero ilustrativos, mientras se espera la cuenta de inversión 2015</t>
  </si>
  <si>
    <t xml:space="preserve">Este problema está sólo cuando se toma la Cuenta AIF base caja como fuente</t>
  </si>
  <si>
    <t xml:space="preserve">La suma de transferencias corrientes de seguridad social es igual a la de asignaciones familiares según el IMIG 2017</t>
  </si>
  <si>
    <t xml:space="preserve">No parecen incluir los complementos a las prestaciones previsionales ni la prestación por desempleo</t>
  </si>
  <si>
    <t xml:space="preserve">educación y cultura = PROGRESAR</t>
  </si>
  <si>
    <t xml:space="preserve">En el presupuesto del Sistema de Seguridad Social se contemplan, hasta el año 2000, las transferencias al I.N.S.S.J.y P. (PAMI) originadas en sus recursos propios, tanto los provenientes de activos como los de pasivos. Desde el año 2001 los ingresos y gastos del PAMI se incluyen dentro de la columna Otros Entes, registrándose como una contribución figurativa de la Seguridad Social los ingresos provenientes de los pasivos. </t>
  </si>
  <si>
    <t xml:space="preserve">Prestaciones de la seguridad social ANSES: pensiones ex-combatientes Malvinas + jubilaciones ley 24241 + jubilaciones leyes 24476 y 25994 + jubilaciones ex-cajas provinciales</t>
  </si>
  <si>
    <t xml:space="preserve">TRANSFERENCIAS CORRIENTES = asignaciones familiares + complementos a jubilaciones + desempleo + transferencias corrientes a salud (anexo 3.05) + transferencias corrientes a sector público y externo (anexo 3.06)</t>
  </si>
  <si>
    <t xml:space="preserve">Las transferencias corrientes a la seguridad social del anexo 3.05 son iguales a las transferencias corrientes – las con finalidad económica de salud</t>
  </si>
  <si>
    <t xml:space="preserve">1993-2003 : PIB base 1993. 2004-2015 : PIB base 2004</t>
  </si>
  <si>
    <t xml:space="preserve">Se puede verificar en las cuentas AIF que ni el instituto de seguridad social del ministerio del interior ni el de defensa tienen como gastos transferencias corrientes , por lo cual todas las transferencias corrientes en los anexos 3.05 y 3.06 le corresponden a ANSES</t>
  </si>
  <si>
    <t xml:space="preserve">Se confirma asimismo en el seguimiento físico financiero que las transferencias corrientes de seguridad social excluyen a los gastos por Conecta Igualdad y Progresar. Por ende, éstos están incluídos en los figurativos</t>
  </si>
  <si>
    <t xml:space="preserve">Por ello, en el estudio de las cuentas de seguridad social estimo que se pueden sacar las transferencias corrientes con destino salud</t>
  </si>
  <si>
    <t xml:space="preserve">Fuente : ofinica nacional del presupuesto, http://www.mecon.gov.ar/onp/html/series/Serie1961-2004.pdf</t>
  </si>
  <si>
    <t xml:space="preserve">Sin embargo, el RENATEA a partir de 2016 también tiene pagos de transferencias corrientes (iguales a 215,229,504.63  pesos según el anexo 23). </t>
  </si>
  <si>
    <t xml:space="preserve">Consecuencia : hasta el 2000 seguro, y capaz también 2001 y 2002, las transferencias corrientes a salud incluyen las contribuciones de la ley 19032 art. 8 pero también las transferencias hechas por PAMI. Esto infla las transferencias corrientes otorgadas por ANSES. Habría que mencionarlo o tomarlo en cuenta cuando se hable del déficit de ANSES en ese periodo</t>
  </si>
  <si>
    <t xml:space="preserve">Por ello, la suma de transferencias al sector privado, público y externo (por ejemplo) no es más igual a las transferencias corrientes</t>
  </si>
  <si>
    <t xml:space="preserve">Egresos</t>
  </si>
  <si>
    <t xml:space="preserve">REPA Pagado 2016</t>
  </si>
  <si>
    <t xml:space="preserve">REPA Pagado 2017</t>
  </si>
  <si>
    <t xml:space="preserve">Se le agrega la suma de jubilaciones del cuarto trimestre según IMIG 2017 (que incluye las de militares y policías)</t>
  </si>
  <si>
    <t xml:space="preserve">REPA Pagado 2018 (estimado en base a cuenta inversión ANSES 2018)</t>
  </si>
  <si>
    <t xml:space="preserve">REPA Pagado 2019 (informado por jefatura de gabinete, Informe 124 a Diputados)</t>
  </si>
  <si>
    <t xml:space="preserve">REPA de haberes</t>
  </si>
  <si>
    <t xml:space="preserve">Pago sentencias con RH</t>
  </si>
  <si>
    <t xml:space="preserve">REPA total</t>
  </si>
  <si>
    <t xml:space="preserve">Balance de Cuenta Corriente</t>
  </si>
  <si>
    <t xml:space="preserve">Resultado económico de ANSES</t>
  </si>
  <si>
    <t xml:space="preserve">Resultado económico excluyendo rentabilidad del FGS</t>
  </si>
  <si>
    <t xml:space="preserve">Resultado económico excluyendo rentabilidad FGS y asistencia financiera Ley 27.260</t>
  </si>
  <si>
    <t xml:space="preserve">% PIB</t>
  </si>
  <si>
    <t xml:space="preserve">Rentabilité du FGS exclue</t>
  </si>
  <si>
    <t xml:space="preserve">Rentabilité du FGS inclue</t>
  </si>
  <si>
    <t xml:space="preserve">ARTÍCULO 124.- Sustitúyese en el primer párrafo del artículo 1° de la ley 24.625 y sus modificaciones, la alícuota del veintiuno por ciento (21%) por la alícuota del siete por ciento (7%).</t>
  </si>
  <si>
    <t xml:space="preserve">Since May 2018 legislation: we assume the following non-simulated sources of income: </t>
  </si>
  <si>
    <t xml:space="preserve">Ingresos fiscales y coparticipación</t>
  </si>
  <si>
    <t xml:space="preserve">Gastos figurativos + sentencias</t>
  </si>
  <si>
    <t xml:space="preserve">FGS</t>
  </si>
  <si>
    <t xml:space="preserve">Ganancias ANSES</t>
  </si>
  <si>
    <t xml:space="preserve">Componente impositivo del monotributo a ANSES</t>
  </si>
  <si>
    <t xml:space="preserve">IVA ANSES</t>
  </si>
  <si>
    <t xml:space="preserve">Líquidos totales</t>
  </si>
  <si>
    <t xml:space="preserve">Adicional cigarrillos</t>
  </si>
  <si>
    <t xml:space="preserve">Cheque</t>
  </si>
  <si>
    <t xml:space="preserve">15 % coparticipación</t>
  </si>
  <si>
    <t xml:space="preserve">Líquidos que van a ANSES</t>
  </si>
  <si>
    <t xml:space="preserve">Gastos operativos</t>
  </si>
  <si>
    <t xml:space="preserve">Comisiones por recaudación (fuente: ANSES transparencia ISSFinanciero)</t>
  </si>
  <si>
    <t xml:space="preserve">ISS</t>
  </si>
  <si>
    <t xml:space="preserve">Otras dependencias (Min. Desarrollo social) no financiados por rentas generales + gastos capital</t>
  </si>
  <si>
    <t xml:space="preserve">Sentencias ANSES</t>
  </si>
  <si>
    <t xml:space="preserve">Transferencias a gobiernos provinciales</t>
  </si>
  <si>
    <t xml:space="preserve">Devolución coparticipación a provincias</t>
  </si>
  <si>
    <t xml:space="preserve">Renta FGS</t>
  </si>
  <si>
    <t xml:space="preserve">Tamaño FGS</t>
  </si>
  <si>
    <t xml:space="preserve">Ganancias</t>
  </si>
  <si>
    <t xml:space="preserve">IVA neto</t>
  </si>
  <si>
    <t xml:space="preserve">Adicional cigarrillos </t>
  </si>
  <si>
    <t xml:space="preserve">Monotributo, componente fiscal</t>
  </si>
  <si>
    <t xml:space="preserve">Otras dependencias (Min. Desarrollo social) no financiados por rentas generales</t>
  </si>
  <si>
    <t xml:space="preserve">Non-simulated income</t>
  </si>
  <si>
    <t xml:space="preserve">Non-simulated expenses</t>
  </si>
  <si>
    <t xml:space="preserve">Noviembre</t>
  </si>
  <si>
    <t xml:space="preserve">Diciembre</t>
  </si>
  <si>
    <t xml:space="preserve">Hay que agregar otros tributarios menos adicional cigarrillos como fuente no calculada de ingresos de ANSES</t>
  </si>
  <si>
    <t xml:space="preserve">Son tipo 0,1% del PBI</t>
  </si>
  <si>
    <t xml:space="preserve">Y parece haber demasiados gastos exógenos tomados en cuenta</t>
  </si>
  <si>
    <t xml:space="preserve">Resultado proyectado debería ser levemente superior</t>
  </si>
  <si>
    <t xml:space="preserve">No hay razón que diferencia sea mayor que con el bismarckiano</t>
  </si>
  <si>
    <t xml:space="preserve">New fuel tax ANSES share</t>
  </si>
  <si>
    <t xml:space="preserve">Resultado económico menos resultado Bismarckiano </t>
  </si>
  <si>
    <t xml:space="preserve">Ingresos menos gastos exógenos tomados en cuenta en este cuadro</t>
  </si>
  <si>
    <t xml:space="preserve">Diferencia</t>
  </si>
  <si>
    <t xml:space="preserve">We will assume fuel tax that goes to ANSES will reach 0.2% of yearly GDP </t>
  </si>
  <si>
    <t xml:space="preserve">Although 33% of the Check tax can be used to pay ganancias (pago a cuenta de ganacias), it was already possible to use part of the Check tax to pay for other taxes before the 2017 reform. The IMF driven decision to stop increasing the proportion of the check tax that can be used to pay Ganancias meant the Check tax remained in previous levels as a percentage of the GDP. For 2018, it represented 1.61% of GDP; for the first semester of 2019, it represented 1.55% of GDP (we took the Check tax collected during the first semester and  divided it by half the nominal average GDP of the first semester). We will thus assume the Check tax will have it saverage share over the 2008-2018 period, 1.65% of GDP. </t>
  </si>
  <si>
    <t xml:space="preserve">Bismarckian: historic</t>
  </si>
  <si>
    <t xml:space="preserve">Economic result: historic</t>
  </si>
  <si>
    <t xml:space="preserve">Bismarckiano</t>
  </si>
  <si>
    <t xml:space="preserve">Resultado financiero</t>
  </si>
  <si>
    <t xml:space="preserve">Decreto 409/2018</t>
  </si>
  <si>
    <t xml:space="preserve">a partir de mayo, 33 % va a ganancias</t>
  </si>
  <si>
    <t xml:space="preserve">Bajo</t>
  </si>
  <si>
    <t xml:space="preserve">Bajo con PUAM</t>
  </si>
  <si>
    <t xml:space="preserve">Central</t>
  </si>
  <si>
    <t xml:space="preserve">central con PUAM</t>
  </si>
  <si>
    <t xml:space="preserve">Alto</t>
  </si>
  <si>
    <t xml:space="preserve">Alto con PUAM</t>
  </si>
  <si>
    <t xml:space="preserve">Bajo con pUAM</t>
  </si>
  <si>
    <t xml:space="preserve">Central con PUAM</t>
  </si>
  <si>
    <t xml:space="preserve">Legislación 10/12/2019</t>
  </si>
  <si>
    <t xml:space="preserve">Assume on left is new fuel tax</t>
  </si>
  <si>
    <t xml:space="preserve">Legislación 2018</t>
  </si>
  <si>
    <t xml:space="preserve">Legislación 2017</t>
  </si>
  <si>
    <t xml:space="preserve">Acceso a una jubilación (población en edad jubilatoria)</t>
  </si>
  <si>
    <t xml:space="preserve">Proporción de población en edad de trabajar que contribuye</t>
  </si>
  <si>
    <t xml:space="preserve">Contribuyentes por jubilado, pilar de reparto (eje derecho)</t>
  </si>
  <si>
    <t xml:space="preserve">Contribuyentes por jubilado, SIJP/SIPA (eje derecho)</t>
  </si>
  <si>
    <t xml:space="preserve">Contribuyentes autónomos y asalariados excl. casas particulares por jubilado, SIJP/SIPA (eje derecho)</t>
  </si>
  <si>
    <t xml:space="preserve">Menores con acceso a una asignación contributiva de ANSES</t>
  </si>
  <si>
    <t xml:space="preserve">Menores con acceso a la AUH</t>
  </si>
  <si>
    <t xml:space="preserve">Menores con acceso a una asignación  de ANSES, total</t>
  </si>
  <si>
    <t xml:space="preserve">2008-Sept</t>
  </si>
  <si>
    <t xml:space="preserve">2008- Dic</t>
  </si>
  <si>
    <t xml:space="preserve">Fuente: población, Naciones Unidas 2017. Asignaciones, seguimiento físico financiero y ANSES transparencia</t>
  </si>
  <si>
    <t xml:space="preserve">Fuente:</t>
  </si>
  <si>
    <t xml:space="preserve">Beneficios, seguimiento físico financiero. Población, proyecciones Naciones Unidas 2017</t>
  </si>
  <si>
    <t xml:space="preserve">Contribuyentes:  Boletín Estadístico de la Seguridad social, segundo trimestre 2018. Población: proyecciones Naciones Unidas 2017</t>
  </si>
  <si>
    <t xml:space="preserve">Contribuyentes pilar público, Arza (2009). Jubilados, seguimiento físico financiero</t>
  </si>
  <si>
    <t xml:space="preserve">Contribuyentes pilar privado, Arza (2009). Jubilados, seguimiento físico financiero</t>
  </si>
  <si>
    <t xml:space="preserve">Contribuyentes, BESS segundo trimestre, 2018. Jubilados, seguimiento físico financiero</t>
  </si>
  <si>
    <t xml:space="preserve">Pilar privado</t>
  </si>
  <si>
    <t xml:space="preserve">Fuente: Boletín Estadistico de la Seguridad Social, segundo trimestre de 2018. Para aportantes al pilar privado, Arza (2009)</t>
  </si>
  <si>
    <t xml:space="preserve">(1): hay aportantes que aportan a más de un régimen al mismo tiempo, por lo que el total de aportantes es menor a la suma de las columnas L a O</t>
  </si>
  <si>
    <t xml:space="preserve">Ingresos</t>
  </si>
  <si>
    <t xml:space="preserve">Gastos</t>
  </si>
  <si>
    <t xml:space="preserve">Ingresos tributarios no extraordinarios</t>
  </si>
  <si>
    <t xml:space="preserve">Contribuciones figurativas por coparticipación, tras detracción acuerdo provincias % PIB</t>
  </si>
  <si>
    <t xml:space="preserve">Contribuciones figurativas por programas financiados por el Tesoro extra PUAM, % PIB</t>
  </si>
  <si>
    <t xml:space="preserve">Contribuciones figurativas para compensar devolución de coparticipación y PUAM</t>
  </si>
  <si>
    <t xml:space="preserve">Contribuciones figurativas para tapar déficit,  % PIB</t>
  </si>
  <si>
    <t xml:space="preserve">Ingreso extraordinario del blanqueo</t>
  </si>
  <si>
    <t xml:space="preserve">Ingresos corrientes incluyendo rentas FGS, total</t>
  </si>
  <si>
    <t xml:space="preserve">Transferencias corrientes menos al PAMI</t>
  </si>
  <si>
    <t xml:space="preserve">Transferencias al PAMI</t>
  </si>
  <si>
    <t xml:space="preserve">Gastos de consumo y rentas de la propiedad</t>
  </si>
  <si>
    <t xml:space="preserve">Gastos figurativos pagados por ANSES, sin sentencias</t>
  </si>
  <si>
    <t xml:space="preserve">Sentencias judiciales sin Reparación Histórica</t>
  </si>
  <si>
    <t xml:space="preserve">Sentencias judiciales con Reparación Histórica</t>
  </si>
  <si>
    <t xml:space="preserve">Gastos PNRH, % PIB, sin sentencias PNRH</t>
  </si>
  <si>
    <t xml:space="preserve">Transferencias corrientes (salvo las atribuibles al PAMI)</t>
  </si>
  <si>
    <t xml:space="preserve">Gastos corrientes pagados por ANSES</t>
  </si>
  <si>
    <t xml:space="preserve">Resultado económico con sentencias</t>
  </si>
  <si>
    <t xml:space="preserve">… sin rentabilidad FGS</t>
  </si>
  <si>
    <t xml:space="preserve">... ni financiamiento del Tesoro</t>
  </si>
  <si>
    <t xml:space="preserve">Resultado económico </t>
  </si>
  <si>
    <t xml:space="preserve">… con rentabilidad FGS</t>
  </si>
  <si>
    <t xml:space="preserve">... y financiamiento del Tesoro</t>
  </si>
  <si>
    <t xml:space="preserve">Jubilaciones y pensiones brutas, PUAM y PNC (desde oct. 2017)</t>
  </si>
  <si>
    <t xml:space="preserve">Asignaciones familiares</t>
  </si>
  <si>
    <t xml:space="preserve">Cajas de fuerzas de seguridad, Pensiones No Contributivas (hasta 2017) e invalidez</t>
  </si>
  <si>
    <t xml:space="preserve">Gastos de consumo </t>
  </si>
  <si>
    <t xml:space="preserve">Pago de sentencias sin RH</t>
  </si>
  <si>
    <t xml:space="preserve">Gastos corrientes de ANSES, sin RH</t>
  </si>
  <si>
    <t xml:space="preserve">Gastos PNRH</t>
  </si>
  <si>
    <t xml:space="preserve">Coparticipación que va a ANSES</t>
  </si>
  <si>
    <t xml:space="preserve">Financiamiento del Tesoro de Asignaciones Familiares Sector público, Conectar Igualdad, Progresar…</t>
  </si>
  <si>
    <t xml:space="preserve">Ingresos genuinos de ANSES</t>
  </si>
  <si>
    <t xml:space="preserve">Rentas de la propiedad (FGS a partir de 2008)</t>
  </si>
  <si>
    <t xml:space="preserve">Asistencia del Tesoro por coparticipación y PUAM</t>
  </si>
  <si>
    <t xml:space="preserve">Blanqueo de capitales</t>
  </si>
  <si>
    <t xml:space="preserve">Jubilaciones contributivas</t>
  </si>
  <si>
    <t xml:space="preserve">Sentencias</t>
  </si>
  <si>
    <t xml:space="preserve">Gastos figurativos: inst. seg. Soc. y admin. Central</t>
  </si>
  <si>
    <t xml:space="preserve">Gastos de consumo y rentas de propiedad</t>
  </si>
  <si>
    <t xml:space="preserve">Transferencias corrientes contributivas</t>
  </si>
  <si>
    <t xml:space="preserve">Jubilaciones por moratoria y PUAM</t>
  </si>
  <si>
    <t xml:space="preserve">Transferencias corrientes no contributivas (AUH y PROGRESAR)</t>
  </si>
  <si>
    <t xml:space="preserve">Gastos figurativos: PNC</t>
  </si>
  <si>
    <t xml:space="preserve">Transferencias a PAMI</t>
  </si>
  <si>
    <t xml:space="preserve">Gastos totales de ANSES, sin Reparación Histórica</t>
  </si>
  <si>
    <t xml:space="preserve">PNRH</t>
  </si>
  <si>
    <t xml:space="preserve">Gasto no contributivo</t>
  </si>
  <si>
    <t xml:space="preserve">Gasto contributivo</t>
  </si>
  <si>
    <t xml:space="preserve">Jubilaciones contributivas + sentencias</t>
  </si>
  <si>
    <t xml:space="preserve">Gastos figurativos (ISS y Admin. Cent), de consumo y rentas de la propiedad</t>
  </si>
  <si>
    <t xml:space="preserve">Transferencias corrientes contributivas (asignaciones familiares)</t>
  </si>
  <si>
    <t xml:space="preserve">Gastos contributivos</t>
  </si>
  <si>
    <t xml:space="preserve">Gasto total de ANSES, sin PNRH</t>
  </si>
  <si>
    <t xml:space="preserve">Contribuciones figurativas por programas financiados por el Tesoro extra PUAM, y rentas de la propiedad pre FGS % PIB</t>
  </si>
  <si>
    <t xml:space="preserve">Resultado contributivo</t>
  </si>
  <si>
    <t xml:space="preserve">Resultado no contributivo</t>
  </si>
  <si>
    <t xml:space="preserve">Resultado de ANSES</t>
  </si>
</sst>
</file>

<file path=xl/styles.xml><?xml version="1.0" encoding="utf-8"?>
<styleSheet xmlns="http://schemas.openxmlformats.org/spreadsheetml/2006/main">
  <numFmts count="30">
    <numFmt numFmtId="164" formatCode="General"/>
    <numFmt numFmtId="165" formatCode="#,##0.00\ ;\-#,##0.00\ ;&quot; -&quot;#\ ;@\ "/>
    <numFmt numFmtId="166" formatCode="_-* #,##0\ _p_t_a_-;\-* #,##0\ _p_t_a_-;_-* &quot;- &quot;_p_t_a_-;_-@_-"/>
    <numFmt numFmtId="167" formatCode="#,##0.00\ ;&quot; -&quot;#,##0.00\ ;&quot; -&quot;#\ ;@\ "/>
    <numFmt numFmtId="168" formatCode="0%"/>
    <numFmt numFmtId="169" formatCode="[$-409]M/D/YYYY"/>
    <numFmt numFmtId="170" formatCode="#,##0"/>
    <numFmt numFmtId="171" formatCode="0"/>
    <numFmt numFmtId="172" formatCode="0.00%"/>
    <numFmt numFmtId="173" formatCode="#,##0\ ;\-#,##0\ ;&quot; -&quot;#\ ;@\ "/>
    <numFmt numFmtId="174" formatCode="0.0&quot;  &quot;"/>
    <numFmt numFmtId="175" formatCode="#,##0;\-#,##0"/>
    <numFmt numFmtId="176" formatCode="#,##0&quot;  &quot;"/>
    <numFmt numFmtId="177" formatCode="0.000%"/>
    <numFmt numFmtId="178" formatCode="0,000"/>
    <numFmt numFmtId="179" formatCode="#,##0.00;\-#,##0.00"/>
    <numFmt numFmtId="180" formatCode="General"/>
    <numFmt numFmtId="181" formatCode="#,##0.00"/>
    <numFmt numFmtId="182" formatCode="0.0"/>
    <numFmt numFmtId="183" formatCode="#,##0.0000"/>
    <numFmt numFmtId="184" formatCode="#,##0.0"/>
    <numFmt numFmtId="185" formatCode="_-* #,##0.00\ _€_-;\-* #,##0.00\ _€_-;_-* \-??\ _€_-;_-@_-"/>
    <numFmt numFmtId="186" formatCode="0.00"/>
    <numFmt numFmtId="187" formatCode="@"/>
    <numFmt numFmtId="188" formatCode="#,##0__"/>
    <numFmt numFmtId="189" formatCode="_-* #,##0\ _€_-;\-* #,##0\ _€_-;_-* \-??\ _€_-;_-@_-"/>
    <numFmt numFmtId="190" formatCode="#,##0.0__"/>
    <numFmt numFmtId="191" formatCode="_-* #,##0.0\ _P_t_s_-;\-* #,##0.0\ _P_t_s_-;_-* \-??\ _P_t_s_-;_-@_-"/>
    <numFmt numFmtId="192" formatCode="#,##0.00\ "/>
    <numFmt numFmtId="193" formatCode="0.0%"/>
  </numFmts>
  <fonts count="122">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
      <color rgb="FF000000"/>
      <name val="Courier New"/>
      <family val="3"/>
      <charset val="1"/>
    </font>
    <font>
      <i val="true"/>
      <sz val="1"/>
      <color rgb="FF000000"/>
      <name val="Courier New"/>
      <family val="3"/>
      <charset val="1"/>
    </font>
    <font>
      <sz val="10"/>
      <name val="Mangal"/>
      <family val="2"/>
      <charset val="1"/>
    </font>
    <font>
      <sz val="12"/>
      <name val="Courier New"/>
      <family val="3"/>
      <charset val="1"/>
    </font>
    <font>
      <sz val="8"/>
      <name val="Verdana"/>
      <family val="2"/>
      <charset val="1"/>
    </font>
    <font>
      <sz val="10"/>
      <name val="Book Antiqua"/>
      <family val="1"/>
      <charset val="1"/>
    </font>
    <font>
      <sz val="10"/>
      <name val="MS Sans Serif"/>
      <family val="2"/>
      <charset val="1"/>
    </font>
    <font>
      <b val="true"/>
      <sz val="12"/>
      <name val="Arial"/>
      <family val="2"/>
      <charset val="204"/>
    </font>
    <font>
      <sz val="12"/>
      <color rgb="FF000000"/>
      <name val="Calibri"/>
      <family val="2"/>
      <charset val="1"/>
    </font>
    <font>
      <b val="true"/>
      <sz val="12"/>
      <color rgb="FF000000"/>
      <name val="Calibri"/>
      <family val="2"/>
      <charset val="1"/>
    </font>
    <font>
      <b val="true"/>
      <sz val="9"/>
      <name val="Arial"/>
      <family val="2"/>
      <charset val="204"/>
    </font>
    <font>
      <sz val="9"/>
      <color rgb="FF000000"/>
      <name val="Arial"/>
      <family val="2"/>
      <charset val="204"/>
    </font>
    <font>
      <b val="true"/>
      <sz val="10"/>
      <color rgb="FF000000"/>
      <name val="Arial"/>
      <family val="2"/>
      <charset val="204"/>
    </font>
    <font>
      <sz val="9"/>
      <name val="Arial"/>
      <family val="2"/>
      <charset val="204"/>
    </font>
    <font>
      <b val="true"/>
      <sz val="8"/>
      <name val="Arial"/>
      <family val="2"/>
      <charset val="204"/>
    </font>
    <font>
      <b val="true"/>
      <sz val="10"/>
      <name val="Arial"/>
      <family val="2"/>
      <charset val="1"/>
    </font>
    <font>
      <b val="true"/>
      <sz val="20"/>
      <color rgb="FF000000"/>
      <name val="Calibri"/>
      <family val="2"/>
      <charset val="1"/>
    </font>
    <font>
      <sz val="12"/>
      <name val="Arial"/>
      <family val="2"/>
      <charset val="204"/>
    </font>
    <font>
      <sz val="8.5"/>
      <name val="Arial"/>
      <family val="2"/>
      <charset val="204"/>
    </font>
    <font>
      <b val="true"/>
      <sz val="16.2"/>
      <name val="Times New Roman"/>
      <family val="1"/>
      <charset val="1"/>
    </font>
    <font>
      <sz val="11.75"/>
      <name val="Times New Roman"/>
      <family val="1"/>
      <charset val="1"/>
    </font>
    <font>
      <sz val="12.6"/>
      <name val="Times New Roman"/>
      <family val="1"/>
      <charset val="1"/>
    </font>
    <font>
      <sz val="9.5"/>
      <name val="Times New Roman"/>
      <family val="1"/>
      <charset val="1"/>
    </font>
    <font>
      <b val="true"/>
      <sz val="8.5"/>
      <name val="Arial"/>
      <family val="2"/>
      <charset val="204"/>
    </font>
    <font>
      <sz val="10"/>
      <name val="Times New Roman"/>
      <family val="1"/>
      <charset val="1"/>
    </font>
    <font>
      <sz val="11"/>
      <name val="Times New Roman"/>
      <family val="1"/>
      <charset val="1"/>
    </font>
    <font>
      <b val="true"/>
      <sz val="16"/>
      <color rgb="FF000000"/>
      <name val="Calibri"/>
      <family val="2"/>
      <charset val="1"/>
    </font>
    <font>
      <b val="true"/>
      <sz val="12"/>
      <color rgb="FFFF0000"/>
      <name val="Calibri"/>
      <family val="2"/>
      <charset val="1"/>
    </font>
    <font>
      <b val="true"/>
      <sz val="12"/>
      <color rgb="FF0066CC"/>
      <name val="Calibri"/>
      <family val="2"/>
      <charset val="1"/>
    </font>
    <font>
      <sz val="10"/>
      <color rgb="FF000000"/>
      <name val="Arial"/>
      <family val="2"/>
      <charset val="204"/>
    </font>
    <font>
      <sz val="8"/>
      <name val="Arial"/>
      <family val="2"/>
      <charset val="204"/>
    </font>
    <font>
      <sz val="10"/>
      <color rgb="FF000000"/>
      <name val="Myriad"/>
      <family val="0"/>
      <charset val="1"/>
    </font>
    <font>
      <b val="true"/>
      <sz val="9"/>
      <color rgb="FF000000"/>
      <name val="Arial"/>
      <family val="2"/>
      <charset val="204"/>
    </font>
    <font>
      <b val="true"/>
      <sz val="12"/>
      <name val="Calibri"/>
      <family val="2"/>
      <charset val="1"/>
    </font>
    <font>
      <sz val="9"/>
      <name val="Times New Roman"/>
      <family val="1"/>
      <charset val="1"/>
    </font>
    <font>
      <b val="true"/>
      <sz val="8"/>
      <color rgb="FF000000"/>
      <name val="Arial"/>
      <family val="2"/>
      <charset val="204"/>
    </font>
    <font>
      <sz val="11"/>
      <color rgb="FF000000"/>
      <name val="Arial"/>
      <family val="2"/>
      <charset val="204"/>
    </font>
    <font>
      <b val="true"/>
      <sz val="6"/>
      <color rgb="FF333300"/>
      <name val="Arial"/>
      <family val="2"/>
      <charset val="204"/>
    </font>
    <font>
      <sz val="8"/>
      <color rgb="FFFFFFFF"/>
      <name val="Arial"/>
      <family val="2"/>
      <charset val="204"/>
    </font>
    <font>
      <b val="true"/>
      <sz val="9"/>
      <color rgb="FFFFFFFF"/>
      <name val="Arial"/>
      <family val="2"/>
      <charset val="204"/>
    </font>
    <font>
      <sz val="8"/>
      <color rgb="FF000000"/>
      <name val="Arial"/>
      <family val="2"/>
      <charset val="204"/>
    </font>
    <font>
      <b val="true"/>
      <sz val="8"/>
      <name val="Calibri"/>
      <family val="2"/>
      <charset val="1"/>
    </font>
    <font>
      <sz val="8"/>
      <name val="Calibri"/>
      <family val="2"/>
      <charset val="1"/>
    </font>
    <font>
      <u val="single"/>
      <sz val="10"/>
      <color rgb="FF0000FF"/>
      <name val="Arial"/>
      <family val="2"/>
      <charset val="204"/>
    </font>
    <font>
      <b val="true"/>
      <u val="single"/>
      <sz val="9"/>
      <color rgb="FFFFFFFF"/>
      <name val="Arial"/>
      <family val="2"/>
      <charset val="204"/>
    </font>
    <font>
      <i val="true"/>
      <sz val="8"/>
      <name val="Arial"/>
      <family val="2"/>
      <charset val="204"/>
    </font>
    <font>
      <b val="true"/>
      <i val="true"/>
      <sz val="8"/>
      <name val="Arial"/>
      <family val="2"/>
      <charset val="204"/>
    </font>
    <font>
      <b val="true"/>
      <u val="single"/>
      <sz val="10"/>
      <name val="Arial"/>
      <family val="2"/>
      <charset val="204"/>
    </font>
    <font>
      <u val="single"/>
      <sz val="10"/>
      <name val="Arial"/>
      <family val="2"/>
      <charset val="204"/>
    </font>
    <font>
      <sz val="9"/>
      <color rgb="FF000000"/>
      <name val="Verdana"/>
      <family val="2"/>
      <charset val="1"/>
    </font>
    <font>
      <sz val="8"/>
      <color rgb="FF333300"/>
      <name val="Arial"/>
      <family val="2"/>
      <charset val="204"/>
    </font>
    <font>
      <b val="true"/>
      <sz val="12"/>
      <color rgb="FF000000"/>
      <name val="Arial"/>
      <family val="2"/>
      <charset val="204"/>
    </font>
    <font>
      <sz val="13"/>
      <color rgb="FF000000"/>
      <name val="Calibri Light"/>
      <family val="2"/>
      <charset val="1"/>
    </font>
    <font>
      <sz val="11"/>
      <color rgb="FF000000"/>
      <name val="Calibri  "/>
      <family val="2"/>
      <charset val="1"/>
    </font>
    <font>
      <b val="true"/>
      <sz val="13"/>
      <color rgb="FF000000"/>
      <name val="Calibri  "/>
      <family val="0"/>
      <charset val="1"/>
    </font>
    <font>
      <sz val="7"/>
      <color rgb="FF000000"/>
      <name val="Arial"/>
      <family val="2"/>
      <charset val="204"/>
    </font>
    <font>
      <sz val="10"/>
      <color rgb="FF0000FF"/>
      <name val="Arial"/>
      <family val="2"/>
      <charset val="204"/>
    </font>
    <font>
      <sz val="10"/>
      <color rgb="FF000000"/>
      <name val="Arial"/>
      <family val="2"/>
      <charset val="1"/>
    </font>
    <font>
      <i val="true"/>
      <sz val="11"/>
      <color rgb="FF7F7F7F"/>
      <name val="Calibri"/>
      <family val="2"/>
      <charset val="1"/>
    </font>
    <font>
      <i val="true"/>
      <sz val="10"/>
      <name val="Arial"/>
      <family val="2"/>
      <charset val="204"/>
    </font>
    <font>
      <u val="single"/>
      <sz val="12"/>
      <name val="Calibri"/>
      <family val="2"/>
      <charset val="1"/>
    </font>
    <font>
      <sz val="12"/>
      <name val="Calibri"/>
      <family val="2"/>
      <charset val="1"/>
    </font>
    <font>
      <i val="true"/>
      <sz val="12"/>
      <name val="Calibri"/>
      <family val="2"/>
      <charset val="1"/>
    </font>
    <font>
      <sz val="12"/>
      <color rgb="FF0000FF"/>
      <name val="Calibri"/>
      <family val="2"/>
      <charset val="1"/>
    </font>
    <font>
      <sz val="12"/>
      <name val="Arial"/>
      <family val="2"/>
      <charset val="1"/>
    </font>
    <font>
      <i val="true"/>
      <sz val="12"/>
      <color rgb="FF000000"/>
      <name val="Calibri"/>
      <family val="2"/>
      <charset val="1"/>
    </font>
    <font>
      <u val="single"/>
      <sz val="12"/>
      <color rgb="FF000000"/>
      <name val="Calibri"/>
      <family val="2"/>
      <charset val="1"/>
    </font>
    <font>
      <b val="true"/>
      <i val="true"/>
      <sz val="10"/>
      <color rgb="FF000000"/>
      <name val="Arial"/>
      <family val="2"/>
      <charset val="204"/>
    </font>
    <font>
      <b val="true"/>
      <sz val="12"/>
      <name val="Arial"/>
      <family val="2"/>
      <charset val="1"/>
    </font>
    <font>
      <b val="true"/>
      <i val="true"/>
      <sz val="12"/>
      <name val="Calibri"/>
      <family val="2"/>
      <charset val="1"/>
    </font>
    <font>
      <i val="true"/>
      <sz val="12"/>
      <name val="Arial"/>
      <family val="2"/>
      <charset val="204"/>
    </font>
    <font>
      <i val="true"/>
      <sz val="10"/>
      <name val="Mangal"/>
      <family val="2"/>
      <charset val="1"/>
    </font>
    <font>
      <i val="true"/>
      <sz val="10"/>
      <name val="Arial"/>
      <family val="2"/>
      <charset val="1"/>
    </font>
    <font>
      <i val="true"/>
      <sz val="12"/>
      <name val="Calibri"/>
      <family val="2"/>
    </font>
    <font>
      <sz val="9"/>
      <color rgb="FF000000"/>
      <name val="Book Antiqua"/>
      <family val="1"/>
      <charset val="1"/>
    </font>
    <font>
      <sz val="10"/>
      <color rgb="FF000000"/>
      <name val="Book Antiqua"/>
      <family val="1"/>
      <charset val="1"/>
    </font>
    <font>
      <sz val="10"/>
      <name val="Arial"/>
      <family val="0"/>
      <charset val="1"/>
    </font>
    <font>
      <sz val="12"/>
      <name val="Times New Roman"/>
      <family val="1"/>
      <charset val="1"/>
    </font>
    <font>
      <b val="true"/>
      <sz val="12"/>
      <name val="Times New Roman"/>
      <family val="1"/>
      <charset val="1"/>
    </font>
    <font>
      <sz val="8"/>
      <name val="Arial"/>
      <family val="2"/>
      <charset val="1"/>
    </font>
    <font>
      <sz val="11"/>
      <color rgb="FF000000"/>
      <name val="Calibri  "/>
      <family val="0"/>
      <charset val="1"/>
    </font>
    <font>
      <b val="true"/>
      <sz val="10"/>
      <color rgb="FF000000"/>
      <name val="Arial"/>
      <family val="2"/>
      <charset val="1"/>
    </font>
    <font>
      <sz val="9"/>
      <color rgb="FF000000"/>
      <name val="Tahoma"/>
      <family val="0"/>
    </font>
    <font>
      <sz val="12"/>
      <name val="Mangal"/>
      <family val="2"/>
      <charset val="1"/>
    </font>
    <font>
      <sz val="12"/>
      <color rgb="FF000000"/>
      <name val="Arial"/>
      <family val="2"/>
      <charset val="204"/>
    </font>
    <font>
      <b val="true"/>
      <i val="true"/>
      <sz val="12"/>
      <name val="Arial"/>
      <family val="2"/>
      <charset val="1"/>
    </font>
    <font>
      <sz val="17"/>
      <color rgb="FF000000"/>
      <name val="Arial"/>
      <family val="2"/>
      <charset val="204"/>
    </font>
    <font>
      <i val="true"/>
      <sz val="12"/>
      <name val="Arial"/>
      <family val="2"/>
      <charset val="1"/>
    </font>
    <font>
      <b val="true"/>
      <i val="true"/>
      <sz val="9"/>
      <name val="Arial"/>
      <family val="2"/>
      <charset val="204"/>
    </font>
    <font>
      <b val="true"/>
      <i val="true"/>
      <sz val="10"/>
      <name val="Arial"/>
      <family val="2"/>
      <charset val="204"/>
    </font>
    <font>
      <b val="true"/>
      <sz val="9"/>
      <color rgb="FF000000"/>
      <name val="Tahoma"/>
      <family val="2"/>
      <charset val="1"/>
    </font>
    <font>
      <sz val="9"/>
      <color rgb="FF000000"/>
      <name val="Tahoma"/>
      <family val="2"/>
      <charset val="1"/>
    </font>
    <font>
      <b val="true"/>
      <sz val="15"/>
      <color rgb="FF000000"/>
      <name val="Tahoma"/>
      <family val="2"/>
      <charset val="1"/>
    </font>
    <font>
      <sz val="15"/>
      <color rgb="FF000000"/>
      <name val="Tahoma"/>
      <family val="2"/>
      <charset val="1"/>
    </font>
    <font>
      <sz val="13"/>
      <color rgb="FF000000"/>
      <name val="Arial"/>
      <family val="2"/>
    </font>
    <font>
      <sz val="10"/>
      <color rgb="FF000000"/>
      <name val="Arial"/>
      <family val="2"/>
    </font>
    <font>
      <sz val="5.45"/>
      <color rgb="FF000000"/>
      <name val="Arial"/>
      <family val="2"/>
    </font>
    <font>
      <sz val="12"/>
      <color rgb="FF000000"/>
      <name val="Arial"/>
      <family val="2"/>
    </font>
    <font>
      <sz val="14.4"/>
      <color rgb="FF595959"/>
      <name val="Calibri"/>
      <family val="2"/>
    </font>
    <font>
      <sz val="12"/>
      <color rgb="FF595959"/>
      <name val="Calibri"/>
      <family val="2"/>
    </font>
    <font>
      <sz val="14"/>
      <color rgb="FF595959"/>
      <name val="Calibri"/>
      <family val="2"/>
    </font>
    <font>
      <sz val="9"/>
      <color rgb="FF595959"/>
      <name val="Calibri"/>
      <family val="2"/>
    </font>
    <font>
      <sz val="10"/>
      <color rgb="FF000000"/>
      <name val="Calibri"/>
      <family val="2"/>
    </font>
    <font>
      <b val="true"/>
      <sz val="16"/>
      <color rgb="FF595959"/>
      <name val="Calibri"/>
      <family val="2"/>
    </font>
    <font>
      <sz val="8"/>
      <color rgb="FF595959"/>
      <name val="Calibri"/>
      <family val="2"/>
    </font>
    <font>
      <b val="true"/>
      <u val="single"/>
      <sz val="8"/>
      <name val="Arial"/>
      <family val="2"/>
      <charset val="204"/>
    </font>
    <font>
      <u val="single"/>
      <sz val="10"/>
      <name val="Arial"/>
      <family val="2"/>
      <charset val="1"/>
    </font>
    <font>
      <b val="true"/>
      <sz val="10"/>
      <color rgb="FF000000"/>
      <name val="Calibri"/>
      <family val="0"/>
      <charset val="1"/>
    </font>
    <font>
      <sz val="10"/>
      <color rgb="FF000000"/>
      <name val="Calibri"/>
      <family val="0"/>
      <charset val="1"/>
    </font>
    <font>
      <sz val="9"/>
      <color rgb="FF404040"/>
      <name val="Calibri"/>
      <family val="2"/>
    </font>
    <font>
      <b val="true"/>
      <sz val="9"/>
      <color rgb="FF404040"/>
      <name val="Calibri"/>
      <family val="2"/>
    </font>
    <font>
      <b val="true"/>
      <sz val="10"/>
      <name val="Mangal"/>
      <family val="2"/>
      <charset val="1"/>
    </font>
    <font>
      <b val="true"/>
      <sz val="16"/>
      <color rgb="FF44546A"/>
      <name val="Calibri"/>
      <family val="2"/>
    </font>
    <font>
      <b val="true"/>
      <sz val="12"/>
      <color rgb="FF44546A"/>
      <name val="Calibri"/>
      <family val="2"/>
    </font>
    <font>
      <sz val="12"/>
      <color rgb="FF44546A"/>
      <name val="Calibri"/>
      <family val="2"/>
    </font>
    <font>
      <sz val="14"/>
      <color rgb="FF000000"/>
      <name val="Calibri"/>
      <family val="2"/>
    </font>
    <font>
      <sz val="12"/>
      <color rgb="FF000000"/>
      <name val="Calibri"/>
      <family val="2"/>
    </font>
  </fonts>
  <fills count="53">
    <fill>
      <patternFill patternType="none"/>
    </fill>
    <fill>
      <patternFill patternType="gray125"/>
    </fill>
    <fill>
      <patternFill patternType="solid">
        <fgColor rgb="FFCCFFFF"/>
        <bgColor rgb="FFCCFFCC"/>
      </patternFill>
    </fill>
    <fill>
      <patternFill patternType="solid">
        <fgColor rgb="FF660066"/>
        <bgColor rgb="FF800080"/>
      </patternFill>
    </fill>
    <fill>
      <patternFill patternType="solid">
        <fgColor rgb="FF00FF00"/>
        <bgColor rgb="FF33CCCC"/>
      </patternFill>
    </fill>
    <fill>
      <patternFill patternType="solid">
        <fgColor rgb="FF800080"/>
        <bgColor rgb="FF660066"/>
      </patternFill>
    </fill>
    <fill>
      <patternFill patternType="solid">
        <fgColor rgb="FFFF6400"/>
        <bgColor rgb="FFF07E29"/>
      </patternFill>
    </fill>
    <fill>
      <patternFill patternType="solid">
        <fgColor rgb="FFFFFFFF"/>
        <bgColor rgb="FFFFFFCC"/>
      </patternFill>
    </fill>
    <fill>
      <patternFill patternType="solid">
        <fgColor rgb="FF99CCFF"/>
        <bgColor rgb="FFB4C7E7"/>
      </patternFill>
    </fill>
    <fill>
      <patternFill patternType="solid">
        <fgColor rgb="FF99CC00"/>
        <bgColor rgb="FF92D050"/>
      </patternFill>
    </fill>
    <fill>
      <patternFill patternType="solid">
        <fgColor rgb="FFFFFFCC"/>
        <bgColor rgb="FFFFF2CC"/>
      </patternFill>
    </fill>
    <fill>
      <patternFill patternType="solid">
        <fgColor rgb="FF666699"/>
        <bgColor rgb="FF595959"/>
      </patternFill>
    </fill>
    <fill>
      <patternFill patternType="solid">
        <fgColor rgb="FFCCCCFF"/>
        <bgColor rgb="FFBDD7EE"/>
      </patternFill>
    </fill>
    <fill>
      <patternFill patternType="solid">
        <fgColor rgb="FFFFCC00"/>
        <bgColor rgb="FFFFC000"/>
      </patternFill>
    </fill>
    <fill>
      <patternFill patternType="solid">
        <fgColor rgb="FFFFCA9E"/>
        <bgColor rgb="FFFFE699"/>
      </patternFill>
    </fill>
    <fill>
      <patternFill patternType="solid">
        <fgColor rgb="FFFF8080"/>
        <bgColor rgb="FFF07E29"/>
      </patternFill>
    </fill>
    <fill>
      <patternFill patternType="solid">
        <fgColor rgb="FF993300"/>
        <bgColor rgb="FF993366"/>
      </patternFill>
    </fill>
    <fill>
      <patternFill patternType="solid">
        <fgColor rgb="FF800000"/>
        <bgColor rgb="FF660066"/>
      </patternFill>
    </fill>
    <fill>
      <patternFill patternType="solid">
        <fgColor rgb="FF808000"/>
        <bgColor rgb="FF70A43E"/>
      </patternFill>
    </fill>
    <fill>
      <patternFill patternType="solid">
        <fgColor rgb="FF363607"/>
        <bgColor rgb="FF003300"/>
      </patternFill>
    </fill>
    <fill>
      <patternFill patternType="solid">
        <fgColor rgb="FFFFFF00"/>
        <bgColor rgb="FFFFCC00"/>
      </patternFill>
    </fill>
    <fill>
      <patternFill patternType="solid">
        <fgColor rgb="FF808080"/>
        <bgColor rgb="FF666699"/>
      </patternFill>
    </fill>
    <fill>
      <patternFill patternType="solid">
        <fgColor rgb="FF9999FF"/>
        <bgColor rgb="FFA6A6A6"/>
      </patternFill>
    </fill>
    <fill>
      <patternFill patternType="solid">
        <fgColor rgb="FF008080"/>
        <bgColor rgb="FF035ADA"/>
      </patternFill>
    </fill>
    <fill>
      <patternFill patternType="solid">
        <fgColor rgb="FFFF00FF"/>
        <bgColor rgb="FF800080"/>
      </patternFill>
    </fill>
    <fill>
      <patternFill patternType="solid">
        <fgColor rgb="FF993366"/>
        <bgColor rgb="FF993300"/>
      </patternFill>
    </fill>
    <fill>
      <patternFill patternType="solid">
        <fgColor rgb="FFCCFFCC"/>
        <bgColor rgb="FFCCFFFF"/>
      </patternFill>
    </fill>
    <fill>
      <patternFill patternType="solid">
        <fgColor rgb="FF353ED0"/>
        <bgColor rgb="FF355470"/>
      </patternFill>
    </fill>
    <fill>
      <patternFill patternType="darkGray">
        <fgColor rgb="FF487EE7"/>
        <bgColor rgb="FF3366FF"/>
      </patternFill>
    </fill>
    <fill>
      <patternFill patternType="solid">
        <fgColor rgb="FF003366"/>
        <bgColor rgb="FF003300"/>
      </patternFill>
    </fill>
    <fill>
      <patternFill patternType="solid">
        <fgColor rgb="FF0000BB"/>
        <bgColor rgb="FF0000FF"/>
      </patternFill>
    </fill>
    <fill>
      <patternFill patternType="solid">
        <fgColor rgb="FF00CCFF"/>
        <bgColor rgb="FF33CCCC"/>
      </patternFill>
    </fill>
    <fill>
      <patternFill patternType="solid">
        <fgColor rgb="FFC5CAC2"/>
        <bgColor rgb="FFB4C7E7"/>
      </patternFill>
    </fill>
    <fill>
      <patternFill patternType="solid">
        <fgColor rgb="FF00FFFF"/>
        <bgColor rgb="FF00CCFF"/>
      </patternFill>
    </fill>
    <fill>
      <patternFill patternType="solid">
        <fgColor rgb="FFE6F0EA"/>
        <bgColor rgb="FFE2F0D9"/>
      </patternFill>
    </fill>
    <fill>
      <patternFill patternType="solid">
        <fgColor rgb="FF70A43E"/>
        <bgColor rgb="FF808000"/>
      </patternFill>
    </fill>
    <fill>
      <patternFill patternType="solid">
        <fgColor rgb="FFFF99CC"/>
        <bgColor rgb="FFFF8080"/>
      </patternFill>
    </fill>
    <fill>
      <patternFill patternType="darkGray">
        <fgColor rgb="FF353ED0"/>
        <bgColor rgb="FF3366FF"/>
      </patternFill>
    </fill>
    <fill>
      <patternFill patternType="solid">
        <fgColor rgb="FF66CCFF"/>
        <bgColor rgb="FF99CCFF"/>
      </patternFill>
    </fill>
    <fill>
      <patternFill patternType="darkGray">
        <fgColor rgb="FF0000BB"/>
        <bgColor rgb="FF0000FF"/>
      </patternFill>
    </fill>
    <fill>
      <patternFill patternType="solid">
        <fgColor rgb="FF92D050"/>
        <bgColor rgb="FF99CC00"/>
      </patternFill>
    </fill>
    <fill>
      <patternFill patternType="solid">
        <fgColor rgb="FF003300"/>
        <bgColor rgb="FF363607"/>
      </patternFill>
    </fill>
    <fill>
      <patternFill patternType="solid">
        <fgColor rgb="FF33CCCC"/>
        <bgColor rgb="FF66CCFF"/>
      </patternFill>
    </fill>
    <fill>
      <patternFill patternType="solid">
        <fgColor rgb="FF3366FF"/>
        <bgColor rgb="FF487EE7"/>
      </patternFill>
    </fill>
    <fill>
      <patternFill patternType="solid">
        <fgColor rgb="FFD9D9D9"/>
        <bgColor rgb="FFBDD7EE"/>
      </patternFill>
    </fill>
    <fill>
      <patternFill patternType="solid">
        <fgColor rgb="FFFFFF97"/>
        <bgColor rgb="FFFFFFCC"/>
      </patternFill>
    </fill>
    <fill>
      <patternFill patternType="solid">
        <fgColor rgb="FFBDD7EE"/>
        <bgColor rgb="FFCCCCFF"/>
      </patternFill>
    </fill>
    <fill>
      <patternFill patternType="solid">
        <fgColor rgb="FFD9D9D9"/>
        <bgColor rgb="FFBDD7EE"/>
      </patternFill>
    </fill>
    <fill>
      <patternFill patternType="solid">
        <fgColor rgb="FFE2F0D9"/>
        <bgColor rgb="FFE6F0EA"/>
      </patternFill>
    </fill>
    <fill>
      <patternFill patternType="solid">
        <fgColor rgb="FFFFC000"/>
        <bgColor rgb="FFFFCC00"/>
      </patternFill>
    </fill>
    <fill>
      <patternFill patternType="solid">
        <fgColor rgb="FFFFF2CC"/>
        <bgColor rgb="FFFFFFCC"/>
      </patternFill>
    </fill>
    <fill>
      <patternFill patternType="solid">
        <fgColor rgb="FFFFE699"/>
        <bgColor rgb="FFFFFF97"/>
      </patternFill>
    </fill>
    <fill>
      <patternFill patternType="solid">
        <fgColor rgb="FFB4C7E7"/>
        <bgColor rgb="FFBDD7EE"/>
      </patternFill>
    </fill>
  </fills>
  <borders count="64">
    <border diagonalUp="false" diagonalDown="false">
      <left/>
      <right/>
      <top/>
      <bottom/>
      <diagonal/>
    </border>
    <border diagonalUp="false" diagonalDown="false">
      <left/>
      <right style="medium"/>
      <top/>
      <bottom/>
      <diagonal/>
    </border>
    <border diagonalUp="false" diagonalDown="false">
      <left style="medium"/>
      <right/>
      <top style="thin"/>
      <bottom/>
      <diagonal/>
    </border>
    <border diagonalUp="false" diagonalDown="false">
      <left/>
      <right/>
      <top style="thin"/>
      <bottom/>
      <diagonal/>
    </border>
    <border diagonalUp="false" diagonalDown="false">
      <left/>
      <right style="medium"/>
      <top style="thin"/>
      <bottom/>
      <diagonal/>
    </border>
    <border diagonalUp="false" diagonalDown="false">
      <left style="thin"/>
      <right style="thin"/>
      <top/>
      <bottom style="thin"/>
      <diagonal/>
    </border>
    <border diagonalUp="false" diagonalDown="false">
      <left style="medium"/>
      <right/>
      <top/>
      <bottom/>
      <diagonal/>
    </border>
    <border diagonalUp="false" diagonalDown="false">
      <left style="medium"/>
      <right/>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right style="medium"/>
      <top style="medium"/>
      <bottom style="thin"/>
      <diagonal/>
    </border>
    <border diagonalUp="false" diagonalDown="false">
      <left/>
      <right/>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thin"/>
      <top/>
      <bottom/>
      <diagonal/>
    </border>
    <border diagonalUp="false" diagonalDown="false">
      <left style="thin"/>
      <right style="thin"/>
      <top/>
      <bottom/>
      <diagonal/>
    </border>
    <border diagonalUp="false" diagonalDown="false">
      <left/>
      <right style="thin"/>
      <top/>
      <bottom/>
      <diagonal/>
    </border>
    <border diagonalUp="false" diagonalDown="false">
      <left style="thin"/>
      <right style="medium"/>
      <top/>
      <bottom/>
      <diagonal/>
    </border>
    <border diagonalUp="false" diagonalDown="false">
      <left style="medium"/>
      <right style="medium"/>
      <top/>
      <bottom/>
      <diagonal/>
    </border>
    <border diagonalUp="false" diagonalDown="false">
      <left style="medium"/>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medium"/>
      <top/>
      <bottom style="thin"/>
      <diagonal/>
    </border>
    <border diagonalUp="false" diagonalDown="false">
      <left/>
      <right style="medium"/>
      <top/>
      <bottom style="thin"/>
      <diagonal/>
    </border>
    <border diagonalUp="false" diagonalDown="false">
      <left style="medium"/>
      <right style="medium"/>
      <top/>
      <bottom style="medium"/>
      <diagonal/>
    </border>
    <border diagonalUp="false" diagonalDown="false">
      <left style="thin"/>
      <right style="thin"/>
      <top style="thin"/>
      <bottom/>
      <diagonal/>
    </border>
    <border diagonalUp="false" diagonalDown="false">
      <left style="thin"/>
      <right/>
      <top/>
      <bottom/>
      <diagonal/>
    </border>
    <border diagonalUp="false" diagonalDown="false">
      <left style="thin"/>
      <right/>
      <top style="thin"/>
      <bottom/>
      <diagonal/>
    </border>
    <border diagonalUp="false" diagonalDown="false">
      <left style="double"/>
      <right/>
      <top style="double"/>
      <bottom/>
      <diagonal/>
    </border>
    <border diagonalUp="false" diagonalDown="false">
      <left/>
      <right/>
      <top style="double"/>
      <bottom/>
      <diagonal/>
    </border>
    <border diagonalUp="false" diagonalDown="false">
      <left style="thin"/>
      <right style="thin"/>
      <top style="double"/>
      <bottom/>
      <diagonal/>
    </border>
    <border diagonalUp="false" diagonalDown="false">
      <left style="thin"/>
      <right/>
      <top style="double"/>
      <bottom/>
      <diagonal/>
    </border>
    <border diagonalUp="false" diagonalDown="false">
      <left style="thin"/>
      <right style="double"/>
      <top style="double"/>
      <bottom/>
      <diagonal/>
    </border>
    <border diagonalUp="false" diagonalDown="false">
      <left style="double"/>
      <right/>
      <top/>
      <bottom/>
      <diagonal/>
    </border>
    <border diagonalUp="false" diagonalDown="false">
      <left style="thin"/>
      <right style="double"/>
      <top/>
      <bottom/>
      <diagonal/>
    </border>
    <border diagonalUp="false" diagonalDown="false">
      <left style="medium"/>
      <right style="thin"/>
      <top/>
      <bottom style="thin"/>
      <diagonal/>
    </border>
    <border diagonalUp="false" diagonalDown="false">
      <left style="double"/>
      <right/>
      <top/>
      <bottom style="thin"/>
      <diagonal/>
    </border>
    <border diagonalUp="false" diagonalDown="false">
      <left style="thin"/>
      <right/>
      <top/>
      <bottom style="thin"/>
      <diagonal/>
    </border>
    <border diagonalUp="false" diagonalDown="false">
      <left style="thin"/>
      <right style="double"/>
      <top/>
      <bottom style="thin"/>
      <diagonal/>
    </border>
    <border diagonalUp="false" diagonalDown="false">
      <left style="medium"/>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style="medium"/>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right style="thin"/>
      <top/>
      <bottom style="medium"/>
      <diagonal/>
    </border>
    <border diagonalUp="false" diagonalDown="false">
      <left style="medium"/>
      <right style="thin"/>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thin"/>
      <right style="thin"/>
      <top/>
      <bottom style="hair"/>
      <diagonal/>
    </border>
    <border diagonalUp="false" diagonalDown="false">
      <left style="thin"/>
      <right/>
      <top/>
      <bottom style="hair"/>
      <diagonal/>
    </border>
    <border diagonalUp="false" diagonalDown="false">
      <left/>
      <right/>
      <top/>
      <bottom style="hair"/>
      <diagonal/>
    </border>
    <border diagonalUp="false" diagonalDown="false">
      <left/>
      <right style="thin"/>
      <top/>
      <bottom style="hair"/>
      <diagonal/>
    </border>
    <border diagonalUp="false" diagonalDown="false">
      <left/>
      <right/>
      <top/>
      <bottom style="thin">
        <color rgb="FFFFFFFF"/>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right style="thin"/>
      <top style="thin"/>
      <bottom/>
      <diagonal/>
    </border>
  </borders>
  <cellStyleXfs count="5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8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4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5" fontId="7"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7"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false" applyAlignment="true" applyProtection="false">
      <alignment horizontal="general" vertical="bottom"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8" fontId="7" fillId="0" borderId="0" applyFont="true" applyBorder="false" applyAlignment="true" applyProtection="false">
      <alignment horizontal="general" vertical="bottom" textRotation="0" wrapText="false" indent="0" shrinkToFit="false"/>
    </xf>
    <xf numFmtId="164" fontId="63" fillId="0" borderId="0" applyFont="true" applyBorder="false" applyAlignment="true" applyProtection="false">
      <alignment horizontal="general" vertical="bottom" textRotation="0" wrapText="false" indent="0" shrinkToFit="false"/>
    </xf>
  </cellStyleXfs>
  <cellXfs count="8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39" applyFont="false" applyBorder="false" applyAlignment="false" applyProtection="false">
      <alignment horizontal="general" vertical="bottom" textRotation="0" wrapText="false" indent="0" shrinkToFit="false"/>
      <protection locked="true" hidden="false"/>
    </xf>
    <xf numFmtId="169" fontId="12" fillId="2" borderId="0" xfId="39" applyFont="true" applyBorder="false" applyAlignment="true" applyProtection="false">
      <alignment horizontal="left" vertical="bottom" textRotation="0" wrapText="false" indent="0" shrinkToFit="false"/>
      <protection locked="true" hidden="false"/>
    </xf>
    <xf numFmtId="164" fontId="11" fillId="2" borderId="0" xfId="47" applyFont="false" applyBorder="false" applyAlignment="false" applyProtection="false">
      <alignment horizontal="general" vertical="bottom" textRotation="0" wrapText="false" indent="0" shrinkToFit="false"/>
      <protection locked="true" hidden="false"/>
    </xf>
    <xf numFmtId="164" fontId="11" fillId="2" borderId="0" xfId="47" applyFont="false" applyBorder="true" applyAlignment="false" applyProtection="false">
      <alignment horizontal="general" vertical="bottom" textRotation="0" wrapText="false" indent="0" shrinkToFit="false"/>
      <protection locked="true" hidden="false"/>
    </xf>
    <xf numFmtId="164" fontId="11" fillId="2" borderId="0" xfId="39" applyFont="true" applyBorder="false" applyAlignment="false" applyProtection="false">
      <alignment horizontal="general" vertical="bottom" textRotation="0" wrapText="false" indent="0" shrinkToFit="false"/>
      <protection locked="true" hidden="false"/>
    </xf>
    <xf numFmtId="164" fontId="11" fillId="2" borderId="0" xfId="47" applyFont="true" applyBorder="true" applyAlignment="false" applyProtection="false">
      <alignment horizontal="general" vertical="bottom" textRotation="0" wrapText="false" indent="0" shrinkToFit="false"/>
      <protection locked="true" hidden="false"/>
    </xf>
    <xf numFmtId="164" fontId="4" fillId="3" borderId="0" xfId="39" applyFont="false" applyBorder="false" applyAlignment="false" applyProtection="false">
      <alignment horizontal="general" vertical="bottom" textRotation="0" wrapText="false" indent="0" shrinkToFit="false"/>
      <protection locked="true" hidden="false"/>
    </xf>
    <xf numFmtId="169" fontId="12" fillId="4" borderId="0" xfId="39" applyFont="true" applyBorder="false" applyAlignment="true" applyProtection="false">
      <alignment horizontal="left" vertical="bottom" textRotation="0" wrapText="false" indent="0" shrinkToFit="false"/>
      <protection locked="true" hidden="false"/>
    </xf>
    <xf numFmtId="164" fontId="11" fillId="4" borderId="0" xfId="47" applyFont="false" applyBorder="false" applyAlignment="false" applyProtection="false">
      <alignment horizontal="general" vertical="bottom" textRotation="0" wrapText="false" indent="0" shrinkToFit="false"/>
      <protection locked="true" hidden="false"/>
    </xf>
    <xf numFmtId="164" fontId="11" fillId="4" borderId="0" xfId="47" applyFont="false" applyBorder="true" applyAlignment="false" applyProtection="false">
      <alignment horizontal="general" vertical="bottom" textRotation="0" wrapText="false" indent="0" shrinkToFit="false"/>
      <protection locked="true" hidden="false"/>
    </xf>
    <xf numFmtId="164" fontId="11" fillId="4" borderId="0" xfId="47" applyFont="true" applyBorder="true" applyAlignment="false" applyProtection="false">
      <alignment horizontal="general" vertical="bottom" textRotation="0" wrapText="false" indent="0" shrinkToFit="false"/>
      <protection locked="true" hidden="false"/>
    </xf>
    <xf numFmtId="164" fontId="13" fillId="5" borderId="0" xfId="39" applyFont="true" applyBorder="false" applyAlignment="false" applyProtection="false">
      <alignment horizontal="general" vertical="bottom" textRotation="0" wrapText="false" indent="0" shrinkToFit="false"/>
      <protection locked="true" hidden="false"/>
    </xf>
    <xf numFmtId="164" fontId="4" fillId="0" borderId="1" xfId="39" applyFont="false" applyBorder="true" applyAlignment="false" applyProtection="false">
      <alignment horizontal="general" vertical="bottom" textRotation="0" wrapText="false" indent="0" shrinkToFit="false"/>
      <protection locked="true" hidden="false"/>
    </xf>
    <xf numFmtId="164" fontId="4" fillId="6" borderId="2" xfId="39" applyFont="false" applyBorder="true" applyAlignment="false" applyProtection="false">
      <alignment horizontal="general" vertical="bottom" textRotation="0" wrapText="false" indent="0" shrinkToFit="false"/>
      <protection locked="true" hidden="false"/>
    </xf>
    <xf numFmtId="164" fontId="4" fillId="6" borderId="3" xfId="39" applyFont="false" applyBorder="true" applyAlignment="false" applyProtection="false">
      <alignment horizontal="general" vertical="bottom" textRotation="0" wrapText="false" indent="0" shrinkToFit="false"/>
      <protection locked="true" hidden="false"/>
    </xf>
    <xf numFmtId="164" fontId="4" fillId="6" borderId="4" xfId="39" applyFont="false" applyBorder="true" applyAlignment="false" applyProtection="false">
      <alignment horizontal="general" vertical="bottom" textRotation="0" wrapText="false" indent="0" shrinkToFit="false"/>
      <protection locked="true" hidden="false"/>
    </xf>
    <xf numFmtId="164" fontId="4" fillId="7" borderId="0" xfId="39" applyFont="false" applyBorder="false" applyAlignment="false" applyProtection="false">
      <alignment horizontal="general" vertical="bottom" textRotation="0" wrapText="false" indent="0" shrinkToFit="false"/>
      <protection locked="true" hidden="false"/>
    </xf>
    <xf numFmtId="164" fontId="14" fillId="7" borderId="0" xfId="39" applyFont="true" applyBorder="false" applyAlignment="false" applyProtection="false">
      <alignment horizontal="general" vertical="bottom" textRotation="0" wrapText="false" indent="0" shrinkToFit="false"/>
      <protection locked="true" hidden="false"/>
    </xf>
    <xf numFmtId="164" fontId="15" fillId="8" borderId="5" xfId="39" applyFont="true" applyBorder="true" applyAlignment="true" applyProtection="false">
      <alignment horizontal="center" vertical="center" textRotation="0" wrapText="true" indent="0" shrinkToFit="false"/>
      <protection locked="true" hidden="false"/>
    </xf>
    <xf numFmtId="164" fontId="15" fillId="8" borderId="5" xfId="39" applyFont="true" applyBorder="true" applyAlignment="true" applyProtection="false">
      <alignment horizontal="left" vertical="top" textRotation="0" wrapText="true" indent="0" shrinkToFit="false"/>
      <protection locked="true" hidden="false"/>
    </xf>
    <xf numFmtId="164" fontId="15" fillId="8" borderId="5" xfId="39" applyFont="true" applyBorder="true" applyAlignment="true" applyProtection="false">
      <alignment horizontal="left" vertical="bottom" textRotation="0" wrapText="false" indent="0" shrinkToFit="false"/>
      <protection locked="true" hidden="false"/>
    </xf>
    <xf numFmtId="164" fontId="12" fillId="3" borderId="0" xfId="47" applyFont="true" applyBorder="true" applyAlignment="false" applyProtection="false">
      <alignment horizontal="general" vertical="bottom" textRotation="0" wrapText="false" indent="0" shrinkToFit="false"/>
      <protection locked="true" hidden="false"/>
    </xf>
    <xf numFmtId="164" fontId="11" fillId="3" borderId="0" xfId="47" applyFont="false" applyBorder="true" applyAlignment="false" applyProtection="false">
      <alignment horizontal="general" vertical="bottom" textRotation="0" wrapText="false" indent="0" shrinkToFit="false"/>
      <protection locked="true" hidden="false"/>
    </xf>
    <xf numFmtId="164" fontId="12" fillId="5" borderId="0" xfId="39" applyFont="true" applyBorder="false" applyAlignment="false" applyProtection="false">
      <alignment horizontal="general" vertical="bottom" textRotation="0" wrapText="false" indent="0" shrinkToFit="false"/>
      <protection locked="true" hidden="false"/>
    </xf>
    <xf numFmtId="164" fontId="14" fillId="6" borderId="6" xfId="39" applyFont="true" applyBorder="true" applyAlignment="false" applyProtection="false">
      <alignment horizontal="general" vertical="bottom" textRotation="0" wrapText="false" indent="0" shrinkToFit="false"/>
      <protection locked="true" hidden="false"/>
    </xf>
    <xf numFmtId="164" fontId="4" fillId="6" borderId="0" xfId="39" applyFont="false" applyBorder="true" applyAlignment="false" applyProtection="false">
      <alignment horizontal="general" vertical="bottom" textRotation="0" wrapText="false" indent="0" shrinkToFit="false"/>
      <protection locked="true" hidden="false"/>
    </xf>
    <xf numFmtId="164" fontId="4" fillId="6" borderId="1" xfId="39" applyFont="false" applyBorder="true" applyAlignment="false" applyProtection="false">
      <alignment horizontal="general" vertical="bottom" textRotation="0" wrapText="false" indent="0" shrinkToFit="false"/>
      <protection locked="true" hidden="false"/>
    </xf>
    <xf numFmtId="170" fontId="4" fillId="0" borderId="0" xfId="39" applyFont="false" applyBorder="false" applyAlignment="false" applyProtection="false">
      <alignment horizontal="general" vertical="bottom" textRotation="0" wrapText="false" indent="0" shrinkToFit="false"/>
      <protection locked="true" hidden="false"/>
    </xf>
    <xf numFmtId="170" fontId="16" fillId="0" borderId="0" xfId="39" applyFont="true" applyBorder="false" applyAlignment="true" applyProtection="false">
      <alignment horizontal="general" vertical="center" textRotation="0" wrapText="false" indent="0" shrinkToFit="false"/>
      <protection locked="true" hidden="false"/>
    </xf>
    <xf numFmtId="164" fontId="17" fillId="0" borderId="0" xfId="39" applyFont="true" applyBorder="true" applyAlignment="true" applyProtection="true">
      <alignment horizontal="center" vertical="bottom" textRotation="0" wrapText="false" indent="0" shrinkToFit="false"/>
      <protection locked="true" hidden="false"/>
    </xf>
    <xf numFmtId="164" fontId="18" fillId="0" borderId="0" xfId="39" applyFont="true" applyBorder="false" applyAlignment="true" applyProtection="false">
      <alignment horizontal="center" vertical="bottom" textRotation="0" wrapText="false" indent="0" shrinkToFit="false"/>
      <protection locked="true" hidden="false"/>
    </xf>
    <xf numFmtId="171" fontId="13" fillId="0" borderId="0" xfId="39" applyFont="true" applyBorder="false" applyAlignment="false" applyProtection="false">
      <alignment horizontal="general" vertical="bottom" textRotation="0" wrapText="false" indent="0" shrinkToFit="false"/>
      <protection locked="true" hidden="false"/>
    </xf>
    <xf numFmtId="171" fontId="4" fillId="0" borderId="0" xfId="39" applyFont="false" applyBorder="false" applyAlignment="false" applyProtection="false">
      <alignment horizontal="general" vertical="bottom" textRotation="0" wrapText="false" indent="0" shrinkToFit="false"/>
      <protection locked="true" hidden="false"/>
    </xf>
    <xf numFmtId="172" fontId="13" fillId="0" borderId="0" xfId="48" applyFont="true" applyBorder="true" applyAlignment="true" applyProtection="true">
      <alignment horizontal="general" vertical="bottom" textRotation="0" wrapText="false" indent="0" shrinkToFit="false"/>
      <protection locked="true" hidden="false"/>
    </xf>
    <xf numFmtId="164" fontId="11" fillId="2" borderId="0" xfId="47" applyFont="true" applyBorder="false" applyAlignment="false" applyProtection="false">
      <alignment horizontal="general" vertical="bottom" textRotation="0" wrapText="false" indent="0" shrinkToFit="false"/>
      <protection locked="true" hidden="false"/>
    </xf>
    <xf numFmtId="164" fontId="12" fillId="2" borderId="0" xfId="47" applyFont="true" applyBorder="true" applyAlignment="true" applyProtection="false">
      <alignment horizontal="center" vertical="bottom" textRotation="0" wrapText="false" indent="0" shrinkToFit="false"/>
      <protection locked="true" hidden="false"/>
    </xf>
    <xf numFmtId="164" fontId="12" fillId="3" borderId="0" xfId="47" applyFont="true" applyBorder="true" applyAlignment="true" applyProtection="false">
      <alignment horizontal="center" vertical="bottom" textRotation="0" wrapText="false" indent="0" shrinkToFit="false"/>
      <protection locked="true" hidden="false"/>
    </xf>
    <xf numFmtId="164" fontId="11" fillId="4" borderId="0" xfId="47" applyFont="true" applyBorder="false" applyAlignment="false" applyProtection="false">
      <alignment horizontal="general" vertical="bottom" textRotation="0" wrapText="false" indent="0" shrinkToFit="false"/>
      <protection locked="true" hidden="false"/>
    </xf>
    <xf numFmtId="164" fontId="12" fillId="4" borderId="0" xfId="47" applyFont="true" applyBorder="true" applyAlignment="true" applyProtection="false">
      <alignment horizontal="center" vertical="bottom" textRotation="0" wrapText="false" indent="0" shrinkToFit="false"/>
      <protection locked="true" hidden="false"/>
    </xf>
    <xf numFmtId="164" fontId="12" fillId="5" borderId="0" xfId="39" applyFont="true" applyBorder="false" applyAlignment="true" applyProtection="false">
      <alignment horizontal="center" vertical="bottom" textRotation="0" wrapText="false" indent="0" shrinkToFit="false"/>
      <protection locked="true" hidden="false"/>
    </xf>
    <xf numFmtId="164" fontId="4" fillId="0" borderId="7" xfId="39" applyFont="false" applyBorder="true" applyAlignment="false" applyProtection="false">
      <alignment horizontal="general" vertical="bottom" textRotation="0" wrapText="false" indent="0" shrinkToFit="false"/>
      <protection locked="true" hidden="false"/>
    </xf>
    <xf numFmtId="164" fontId="19" fillId="9" borderId="8" xfId="47" applyFont="true" applyBorder="true" applyAlignment="true" applyProtection="false">
      <alignment horizontal="center" vertical="center" textRotation="0" wrapText="false" indent="0" shrinkToFit="false"/>
      <protection locked="true" hidden="false"/>
    </xf>
    <xf numFmtId="164" fontId="19" fillId="9" borderId="9" xfId="47" applyFont="true" applyBorder="true" applyAlignment="true" applyProtection="false">
      <alignment horizontal="center" vertical="center" textRotation="0" wrapText="false" indent="0" shrinkToFit="false"/>
      <protection locked="true" hidden="false"/>
    </xf>
    <xf numFmtId="164" fontId="19" fillId="9" borderId="10" xfId="47" applyFont="true" applyBorder="true" applyAlignment="true" applyProtection="false">
      <alignment horizontal="center" vertical="center" textRotation="0" wrapText="false" indent="0" shrinkToFit="false"/>
      <protection locked="true" hidden="false"/>
    </xf>
    <xf numFmtId="164" fontId="17" fillId="0" borderId="0" xfId="39" applyFont="true" applyBorder="false" applyAlignment="false" applyProtection="false">
      <alignment horizontal="general" vertical="bottom" textRotation="0" wrapText="false" indent="0" shrinkToFit="false"/>
      <protection locked="true" hidden="false"/>
    </xf>
    <xf numFmtId="164" fontId="4" fillId="0" borderId="0" xfId="39" applyFont="true" applyBorder="false" applyAlignment="false" applyProtection="false">
      <alignment horizontal="general" vertical="bottom" textRotation="0" wrapText="false" indent="0" shrinkToFit="false"/>
      <protection locked="true" hidden="false"/>
    </xf>
    <xf numFmtId="169" fontId="4" fillId="2" borderId="0" xfId="39" applyFont="true" applyBorder="false" applyAlignment="true" applyProtection="false">
      <alignment horizontal="left" vertical="bottom" textRotation="0" wrapText="false" indent="0" shrinkToFit="false"/>
      <protection locked="true" hidden="false"/>
    </xf>
    <xf numFmtId="164" fontId="20" fillId="2" borderId="0" xfId="47" applyFont="true" applyBorder="true" applyAlignment="true" applyProtection="false">
      <alignment horizontal="right" vertical="bottom" textRotation="0" wrapText="false" indent="0" shrinkToFit="false"/>
      <protection locked="true" hidden="false"/>
    </xf>
    <xf numFmtId="164" fontId="20" fillId="3" borderId="0" xfId="47" applyFont="true" applyBorder="true" applyAlignment="true" applyProtection="false">
      <alignment horizontal="right" vertical="bottom" textRotation="0" wrapText="false" indent="0" shrinkToFit="false"/>
      <protection locked="true" hidden="false"/>
    </xf>
    <xf numFmtId="169" fontId="4" fillId="4" borderId="0" xfId="39" applyFont="true" applyBorder="false" applyAlignment="true" applyProtection="false">
      <alignment horizontal="left" vertical="bottom" textRotation="0" wrapText="false" indent="0" shrinkToFit="false"/>
      <protection locked="true" hidden="false"/>
    </xf>
    <xf numFmtId="164" fontId="20" fillId="4" borderId="0" xfId="47" applyFont="true" applyBorder="true" applyAlignment="true" applyProtection="false">
      <alignment horizontal="right" vertical="bottom" textRotation="0" wrapText="false" indent="0" shrinkToFit="false"/>
      <protection locked="true" hidden="false"/>
    </xf>
    <xf numFmtId="164" fontId="20" fillId="5" borderId="0" xfId="39" applyFont="true" applyBorder="false" applyAlignment="true" applyProtection="false">
      <alignment horizontal="right" vertical="bottom" textRotation="0" wrapText="false" indent="0" shrinkToFit="false"/>
      <protection locked="true" hidden="false"/>
    </xf>
    <xf numFmtId="164" fontId="15" fillId="10" borderId="6" xfId="47" applyFont="true" applyBorder="true" applyAlignment="true" applyProtection="false">
      <alignment horizontal="left" vertical="bottom" textRotation="0" wrapText="false" indent="0" shrinkToFit="false"/>
      <protection locked="true" hidden="false"/>
    </xf>
    <xf numFmtId="173" fontId="13" fillId="0" borderId="0" xfId="36" applyFont="true" applyBorder="true" applyAlignment="true" applyProtection="true">
      <alignment horizontal="general" vertical="bottom" textRotation="0" wrapText="false" indent="0" shrinkToFit="false"/>
      <protection locked="true" hidden="false"/>
    </xf>
    <xf numFmtId="173" fontId="13" fillId="0" borderId="1" xfId="36" applyFont="true" applyBorder="true" applyAlignment="true" applyProtection="true">
      <alignment horizontal="general" vertical="bottom" textRotation="0" wrapText="false" indent="0" shrinkToFit="false"/>
      <protection locked="true" hidden="false"/>
    </xf>
    <xf numFmtId="164" fontId="21" fillId="0" borderId="0" xfId="39" applyFont="true" applyBorder="false" applyAlignment="false" applyProtection="false">
      <alignment horizontal="general" vertical="bottom" textRotation="0" wrapText="false" indent="0" shrinkToFit="false"/>
      <protection locked="true" hidden="false"/>
    </xf>
    <xf numFmtId="164" fontId="17" fillId="0" borderId="0" xfId="39" applyFont="true" applyBorder="false" applyAlignment="true" applyProtection="true">
      <alignment horizontal="center" vertical="bottom" textRotation="0" wrapText="false" indent="0" shrinkToFit="false"/>
      <protection locked="true" hidden="false"/>
    </xf>
    <xf numFmtId="164" fontId="22" fillId="2" borderId="0" xfId="47" applyFont="true" applyBorder="false" applyAlignment="false" applyProtection="false">
      <alignment horizontal="general" vertical="bottom" textRotation="0" wrapText="false" indent="0" shrinkToFit="false"/>
      <protection locked="true" hidden="false"/>
    </xf>
    <xf numFmtId="164" fontId="22" fillId="2" borderId="0" xfId="39" applyFont="true" applyBorder="false" applyAlignment="false" applyProtection="false">
      <alignment horizontal="general" vertical="bottom" textRotation="0" wrapText="false" indent="0" shrinkToFit="false"/>
      <protection locked="true" hidden="false"/>
    </xf>
    <xf numFmtId="164" fontId="22" fillId="3" borderId="0" xfId="47" applyFont="true" applyBorder="false" applyAlignment="false" applyProtection="false">
      <alignment horizontal="general" vertical="bottom" textRotation="0" wrapText="false" indent="0" shrinkToFit="false"/>
      <protection locked="true" hidden="false"/>
    </xf>
    <xf numFmtId="164" fontId="22" fillId="4" borderId="0" xfId="47" applyFont="true" applyBorder="false" applyAlignment="false" applyProtection="false">
      <alignment horizontal="general" vertical="bottom" textRotation="0" wrapText="false" indent="0" shrinkToFit="false"/>
      <protection locked="true" hidden="false"/>
    </xf>
    <xf numFmtId="164" fontId="22" fillId="5" borderId="0" xfId="39" applyFont="true" applyBorder="false" applyAlignment="false" applyProtection="false">
      <alignment horizontal="general" vertical="bottom" textRotation="0" wrapText="false" indent="0" shrinkToFit="false"/>
      <protection locked="true" hidden="false"/>
    </xf>
    <xf numFmtId="164" fontId="4" fillId="0" borderId="0" xfId="39" applyFont="false" applyBorder="true" applyAlignment="false" applyProtection="false">
      <alignment horizontal="general" vertical="bottom" textRotation="0" wrapText="false" indent="0" shrinkToFit="false"/>
      <protection locked="true" hidden="false"/>
    </xf>
    <xf numFmtId="164" fontId="4" fillId="0" borderId="11" xfId="39" applyFont="false" applyBorder="true" applyAlignment="false" applyProtection="false">
      <alignment horizontal="general" vertical="bottom" textRotation="0" wrapText="false" indent="0" shrinkToFit="false"/>
      <protection locked="true" hidden="false"/>
    </xf>
    <xf numFmtId="164" fontId="23" fillId="7" borderId="12" xfId="39" applyFont="true" applyBorder="true" applyAlignment="false" applyProtection="false">
      <alignment horizontal="general" vertical="bottom" textRotation="0" wrapText="false" indent="0" shrinkToFit="false"/>
      <protection locked="true" hidden="false"/>
    </xf>
    <xf numFmtId="164" fontId="23" fillId="7" borderId="13" xfId="39" applyFont="true" applyBorder="true" applyAlignment="false" applyProtection="false">
      <alignment horizontal="general" vertical="bottom" textRotation="0" wrapText="false" indent="0" shrinkToFit="false"/>
      <protection locked="true" hidden="false"/>
    </xf>
    <xf numFmtId="164" fontId="23" fillId="7" borderId="14" xfId="39" applyFont="true" applyBorder="true" applyAlignment="true" applyProtection="true">
      <alignment horizontal="center" vertical="bottom" textRotation="0" wrapText="false" indent="0" shrinkToFit="false"/>
      <protection locked="true" hidden="false"/>
    </xf>
    <xf numFmtId="164" fontId="23" fillId="7" borderId="13" xfId="39" applyFont="true" applyBorder="true" applyAlignment="true" applyProtection="true">
      <alignment horizontal="center" vertical="bottom" textRotation="0" wrapText="false" indent="0" shrinkToFit="false"/>
      <protection locked="true" hidden="false"/>
    </xf>
    <xf numFmtId="174" fontId="23" fillId="7" borderId="15" xfId="39" applyFont="true" applyBorder="true" applyAlignment="false" applyProtection="false">
      <alignment horizontal="general" vertical="bottom" textRotation="0" wrapText="false" indent="0" shrinkToFit="false"/>
      <protection locked="true" hidden="false"/>
    </xf>
    <xf numFmtId="174" fontId="23" fillId="7" borderId="0" xfId="39" applyFont="true" applyBorder="true" applyAlignment="false" applyProtection="false">
      <alignment horizontal="general" vertical="bottom" textRotation="0" wrapText="false" indent="0" shrinkToFit="false"/>
      <protection locked="true" hidden="false"/>
    </xf>
    <xf numFmtId="164" fontId="24" fillId="0" borderId="0" xfId="39" applyFont="true" applyBorder="false" applyAlignment="false" applyProtection="true">
      <alignment horizontal="general" vertical="bottom" textRotation="0" wrapText="false" indent="0" shrinkToFit="false"/>
      <protection locked="false" hidden="false"/>
    </xf>
    <xf numFmtId="164" fontId="25" fillId="0" borderId="0" xfId="39" applyFont="true" applyBorder="false" applyAlignment="false" applyProtection="true">
      <alignment horizontal="general" vertical="bottom" textRotation="0" wrapText="false" indent="0" shrinkToFit="false"/>
      <protection locked="false" hidden="false"/>
    </xf>
    <xf numFmtId="164" fontId="12" fillId="7" borderId="12" xfId="47" applyFont="true" applyBorder="true" applyAlignment="false" applyProtection="false">
      <alignment horizontal="general" vertical="bottom" textRotation="0" wrapText="false" indent="0" shrinkToFit="false"/>
      <protection locked="true" hidden="false"/>
    </xf>
    <xf numFmtId="164" fontId="4" fillId="7" borderId="13" xfId="39" applyFont="false" applyBorder="true" applyAlignment="false" applyProtection="false">
      <alignment horizontal="general" vertical="bottom" textRotation="0" wrapText="false" indent="0" shrinkToFit="false"/>
      <protection locked="true" hidden="false"/>
    </xf>
    <xf numFmtId="175" fontId="15" fillId="7" borderId="16" xfId="47" applyFont="true" applyBorder="true" applyAlignment="true" applyProtection="true">
      <alignment horizontal="center" vertical="bottom" textRotation="0" wrapText="false" indent="0" shrinkToFit="false"/>
      <protection locked="true" hidden="false"/>
    </xf>
    <xf numFmtId="164" fontId="13" fillId="7" borderId="13" xfId="39" applyFont="true" applyBorder="true" applyAlignment="false" applyProtection="false">
      <alignment horizontal="general" vertical="bottom" textRotation="0" wrapText="false" indent="0" shrinkToFit="false"/>
      <protection locked="true" hidden="false"/>
    </xf>
    <xf numFmtId="175" fontId="15" fillId="7" borderId="17" xfId="47" applyFont="true" applyBorder="true" applyAlignment="true" applyProtection="true">
      <alignment horizontal="center" vertical="bottom" textRotation="0" wrapText="false" indent="0" shrinkToFit="false"/>
      <protection locked="true" hidden="false"/>
    </xf>
    <xf numFmtId="175" fontId="15" fillId="7" borderId="18" xfId="47" applyFont="true" applyBorder="true" applyAlignment="true" applyProtection="true">
      <alignment horizontal="center" vertical="bottom" textRotation="0" wrapText="false" indent="0" shrinkToFit="false"/>
      <protection locked="true" hidden="false"/>
    </xf>
    <xf numFmtId="175" fontId="15" fillId="7" borderId="13" xfId="47" applyFont="true" applyBorder="true" applyAlignment="true" applyProtection="true">
      <alignment horizontal="center" vertical="bottom" textRotation="0" wrapText="false" indent="0" shrinkToFit="false"/>
      <protection locked="true" hidden="false"/>
    </xf>
    <xf numFmtId="175" fontId="15" fillId="7" borderId="17" xfId="39" applyFont="true" applyBorder="true" applyAlignment="true" applyProtection="false">
      <alignment horizontal="center" vertical="bottom" textRotation="0" wrapText="false" indent="0" shrinkToFit="false"/>
      <protection locked="true" hidden="false"/>
    </xf>
    <xf numFmtId="175" fontId="15" fillId="7" borderId="18" xfId="39" applyFont="true" applyBorder="true" applyAlignment="true" applyProtection="false">
      <alignment horizontal="center" vertical="bottom" textRotation="0" wrapText="false" indent="0" shrinkToFit="false"/>
      <protection locked="true" hidden="false"/>
    </xf>
    <xf numFmtId="164" fontId="14" fillId="0" borderId="19" xfId="39" applyFont="true" applyBorder="true" applyAlignment="false" applyProtection="false">
      <alignment horizontal="general" vertical="bottom" textRotation="0" wrapText="false" indent="0" shrinkToFit="false"/>
      <protection locked="true" hidden="false"/>
    </xf>
    <xf numFmtId="173" fontId="14" fillId="0" borderId="19" xfId="36" applyFont="true" applyBorder="true" applyAlignment="true" applyProtection="true">
      <alignment horizontal="general" vertical="bottom" textRotation="0" wrapText="false" indent="0" shrinkToFit="false"/>
      <protection locked="true" hidden="false"/>
    </xf>
    <xf numFmtId="173" fontId="14" fillId="0" borderId="0" xfId="36" applyFont="true" applyBorder="true" applyAlignment="true" applyProtection="true">
      <alignment horizontal="general" vertical="bottom" textRotation="0" wrapText="false" indent="0" shrinkToFit="false"/>
      <protection locked="true" hidden="false"/>
    </xf>
    <xf numFmtId="164" fontId="23" fillId="7" borderId="6" xfId="39" applyFont="true" applyBorder="true" applyAlignment="true" applyProtection="true">
      <alignment horizontal="center" vertical="bottom" textRotation="0" wrapText="false" indent="0" shrinkToFit="false"/>
      <protection locked="true" hidden="false"/>
    </xf>
    <xf numFmtId="164" fontId="23" fillId="7" borderId="0" xfId="39" applyFont="true" applyBorder="true" applyAlignment="true" applyProtection="true">
      <alignment horizontal="center" vertical="bottom" textRotation="0" wrapText="false" indent="0" shrinkToFit="false"/>
      <protection locked="true" hidden="false"/>
    </xf>
    <xf numFmtId="174" fontId="23" fillId="7" borderId="1" xfId="39" applyFont="true" applyBorder="true" applyAlignment="true" applyProtection="true">
      <alignment horizontal="center" vertical="bottom" textRotation="0" wrapText="false" indent="0" shrinkToFit="false"/>
      <protection locked="true" hidden="false"/>
    </xf>
    <xf numFmtId="174" fontId="23" fillId="7" borderId="0" xfId="39" applyFont="true" applyBorder="true" applyAlignment="true" applyProtection="true">
      <alignment horizontal="center" vertical="bottom" textRotation="0" wrapText="false" indent="0" shrinkToFit="false"/>
      <protection locked="true" hidden="false"/>
    </xf>
    <xf numFmtId="164" fontId="26" fillId="0" borderId="0" xfId="39" applyFont="true" applyBorder="false" applyAlignment="false" applyProtection="true">
      <alignment horizontal="general" vertical="bottom" textRotation="0" wrapText="false" indent="0" shrinkToFit="false"/>
      <protection locked="false" hidden="false"/>
    </xf>
    <xf numFmtId="164" fontId="19" fillId="9" borderId="20" xfId="47" applyFont="true" applyBorder="true" applyAlignment="true" applyProtection="false">
      <alignment horizontal="center" vertical="center" textRotation="0" wrapText="false" indent="0" shrinkToFit="false"/>
      <protection locked="true" hidden="false"/>
    </xf>
    <xf numFmtId="175" fontId="19" fillId="9" borderId="21" xfId="47" applyFont="true" applyBorder="true" applyAlignment="true" applyProtection="true">
      <alignment horizontal="center" vertical="center" textRotation="0" wrapText="false" indent="0" shrinkToFit="false"/>
      <protection locked="true" hidden="false"/>
    </xf>
    <xf numFmtId="164" fontId="19" fillId="9" borderId="22" xfId="39" applyFont="true" applyBorder="true" applyAlignment="true" applyProtection="false">
      <alignment horizontal="center" vertical="center" textRotation="0" wrapText="false" indent="0" shrinkToFit="false"/>
      <protection locked="true" hidden="false"/>
    </xf>
    <xf numFmtId="175" fontId="19" fillId="9" borderId="23" xfId="47" applyFont="true" applyBorder="true" applyAlignment="true" applyProtection="true">
      <alignment horizontal="center" vertical="center" textRotation="0" wrapText="false" indent="0" shrinkToFit="false"/>
      <protection locked="true" hidden="false"/>
    </xf>
    <xf numFmtId="175" fontId="19" fillId="9" borderId="24" xfId="47" applyFont="true" applyBorder="true" applyAlignment="true" applyProtection="true">
      <alignment horizontal="center" vertical="center" textRotation="0" wrapText="false" indent="0" shrinkToFit="false"/>
      <protection locked="true" hidden="false"/>
    </xf>
    <xf numFmtId="175" fontId="19" fillId="9" borderId="0" xfId="47" applyFont="true" applyBorder="true" applyAlignment="true" applyProtection="true">
      <alignment horizontal="center" vertical="center" textRotation="0" wrapText="false" indent="0" shrinkToFit="false"/>
      <protection locked="true" hidden="false"/>
    </xf>
    <xf numFmtId="175" fontId="19" fillId="9" borderId="23" xfId="39" applyFont="true" applyBorder="true" applyAlignment="true" applyProtection="false">
      <alignment horizontal="center" vertical="center" textRotation="0" wrapText="false" indent="0" shrinkToFit="false"/>
      <protection locked="true" hidden="false"/>
    </xf>
    <xf numFmtId="175" fontId="19" fillId="9" borderId="24" xfId="39" applyFont="true" applyBorder="true" applyAlignment="true" applyProtection="false">
      <alignment horizontal="center" vertical="center" textRotation="0" wrapText="false" indent="0" shrinkToFit="false"/>
      <protection locked="true" hidden="false"/>
    </xf>
    <xf numFmtId="170" fontId="4" fillId="7" borderId="0" xfId="39" applyFont="false" applyBorder="false" applyAlignment="false" applyProtection="false">
      <alignment horizontal="general" vertical="bottom" textRotation="0" wrapText="false" indent="0" shrinkToFit="false"/>
      <protection locked="true" hidden="false"/>
    </xf>
    <xf numFmtId="164" fontId="14" fillId="0" borderId="24" xfId="39" applyFont="true" applyBorder="true" applyAlignment="false" applyProtection="false">
      <alignment horizontal="general" vertical="bottom" textRotation="0" wrapText="false" indent="0" shrinkToFit="false"/>
      <protection locked="true" hidden="false"/>
    </xf>
    <xf numFmtId="173" fontId="14" fillId="0" borderId="24" xfId="36" applyFont="true" applyBorder="true" applyAlignment="true" applyProtection="true">
      <alignment horizontal="general" vertical="bottom" textRotation="0" wrapText="false" indent="0" shrinkToFit="false"/>
      <protection locked="true" hidden="false"/>
    </xf>
    <xf numFmtId="164" fontId="23" fillId="7" borderId="6" xfId="39" applyFont="true" applyBorder="true" applyAlignment="false" applyProtection="false">
      <alignment horizontal="general" vertical="bottom" textRotation="0" wrapText="false" indent="0" shrinkToFit="false"/>
      <protection locked="true" hidden="false"/>
    </xf>
    <xf numFmtId="164" fontId="23" fillId="7" borderId="0" xfId="39" applyFont="true" applyBorder="true" applyAlignment="false" applyProtection="false">
      <alignment horizontal="general" vertical="bottom" textRotation="0" wrapText="false" indent="0" shrinkToFit="false"/>
      <protection locked="true" hidden="false"/>
    </xf>
    <xf numFmtId="174" fontId="23" fillId="7" borderId="1" xfId="39" applyFont="true" applyBorder="true" applyAlignment="false" applyProtection="false">
      <alignment horizontal="general" vertical="bottom" textRotation="0" wrapText="false" indent="0" shrinkToFit="false"/>
      <protection locked="true" hidden="false"/>
    </xf>
    <xf numFmtId="164" fontId="27" fillId="0" borderId="0" xfId="39" applyFont="true" applyBorder="false" applyAlignment="false" applyProtection="true">
      <alignment horizontal="general" vertical="bottom" textRotation="0" wrapText="false" indent="0" shrinkToFit="false"/>
      <protection locked="false" hidden="false"/>
    </xf>
    <xf numFmtId="164" fontId="15" fillId="7" borderId="25" xfId="47" applyFont="true" applyBorder="true" applyAlignment="true" applyProtection="false">
      <alignment horizontal="center" vertical="bottom" textRotation="0" wrapText="false" indent="0" shrinkToFit="false"/>
      <protection locked="true" hidden="false"/>
    </xf>
    <xf numFmtId="164" fontId="4" fillId="7" borderId="26" xfId="39" applyFont="false" applyBorder="true" applyAlignment="false" applyProtection="false">
      <alignment horizontal="general" vertical="bottom" textRotation="0" wrapText="false" indent="0" shrinkToFit="false"/>
      <protection locked="true" hidden="false"/>
    </xf>
    <xf numFmtId="164" fontId="4" fillId="7" borderId="27" xfId="39" applyFont="false" applyBorder="true" applyAlignment="false" applyProtection="false">
      <alignment horizontal="general" vertical="bottom" textRotation="0" wrapText="false" indent="0" shrinkToFit="false"/>
      <protection locked="true" hidden="false"/>
    </xf>
    <xf numFmtId="175" fontId="15" fillId="7" borderId="5" xfId="47" applyFont="true" applyBorder="true" applyAlignment="true" applyProtection="true">
      <alignment horizontal="center" vertical="bottom" textRotation="0" wrapText="false" indent="0" shrinkToFit="false"/>
      <protection locked="true" hidden="false"/>
    </xf>
    <xf numFmtId="164" fontId="13" fillId="7" borderId="22" xfId="39" applyFont="true" applyBorder="true" applyAlignment="false" applyProtection="false">
      <alignment horizontal="general" vertical="bottom" textRotation="0" wrapText="false" indent="0" shrinkToFit="false"/>
      <protection locked="true" hidden="false"/>
    </xf>
    <xf numFmtId="175" fontId="15" fillId="7" borderId="28" xfId="47" applyFont="true" applyBorder="true" applyAlignment="true" applyProtection="true">
      <alignment horizontal="center" vertical="bottom" textRotation="0" wrapText="false" indent="0" shrinkToFit="false"/>
      <protection locked="true" hidden="false"/>
    </xf>
    <xf numFmtId="175" fontId="15" fillId="7" borderId="29" xfId="47" applyFont="true" applyBorder="true" applyAlignment="true" applyProtection="true">
      <alignment horizontal="center" vertical="bottom" textRotation="0" wrapText="false" indent="0" shrinkToFit="false"/>
      <protection locked="true" hidden="false"/>
    </xf>
    <xf numFmtId="175" fontId="15" fillId="7" borderId="25" xfId="47" applyFont="true" applyBorder="true" applyAlignment="true" applyProtection="true">
      <alignment horizontal="center" vertical="bottom" textRotation="0" wrapText="false" indent="0" shrinkToFit="false"/>
      <protection locked="true" hidden="false"/>
    </xf>
    <xf numFmtId="175" fontId="15" fillId="7" borderId="29" xfId="39" applyFont="true" applyBorder="true" applyAlignment="true" applyProtection="false">
      <alignment horizontal="center" vertical="bottom" textRotation="0" wrapText="false" indent="0" shrinkToFit="false"/>
      <protection locked="true" hidden="false"/>
    </xf>
    <xf numFmtId="175" fontId="15" fillId="7" borderId="30" xfId="39" applyFont="true" applyBorder="true" applyAlignment="true" applyProtection="false">
      <alignment horizontal="center" vertical="bottom" textRotation="0" wrapText="false" indent="0" shrinkToFit="false"/>
      <protection locked="true" hidden="false"/>
    </xf>
    <xf numFmtId="164" fontId="4" fillId="0" borderId="31" xfId="39" applyFont="false" applyBorder="true" applyAlignment="false" applyProtection="false">
      <alignment horizontal="general" vertical="bottom" textRotation="0" wrapText="false" indent="0" shrinkToFit="false"/>
      <protection locked="true" hidden="false"/>
    </xf>
    <xf numFmtId="164" fontId="14" fillId="0" borderId="31" xfId="39" applyFont="true" applyBorder="true" applyAlignment="false" applyProtection="false">
      <alignment horizontal="general" vertical="bottom" textRotation="0" wrapText="false" indent="0" shrinkToFit="false"/>
      <protection locked="true" hidden="false"/>
    </xf>
    <xf numFmtId="164" fontId="23" fillId="5" borderId="6" xfId="39" applyFont="true" applyBorder="true" applyAlignment="true" applyProtection="true">
      <alignment horizontal="left" vertical="bottom" textRotation="0" wrapText="false" indent="0" shrinkToFit="false"/>
      <protection locked="true" hidden="false"/>
    </xf>
    <xf numFmtId="164" fontId="28" fillId="5" borderId="0" xfId="39" applyFont="true" applyBorder="true" applyAlignment="true" applyProtection="true">
      <alignment horizontal="left" vertical="bottom" textRotation="0" wrapText="false" indent="0" shrinkToFit="false"/>
      <protection locked="true" hidden="false"/>
    </xf>
    <xf numFmtId="173" fontId="28" fillId="5" borderId="0" xfId="36" applyFont="true" applyBorder="true" applyAlignment="true" applyProtection="true">
      <alignment horizontal="general" vertical="bottom" textRotation="0" wrapText="false" indent="0" shrinkToFit="false"/>
      <protection locked="true" hidden="false"/>
    </xf>
    <xf numFmtId="172" fontId="28" fillId="5" borderId="1" xfId="48" applyFont="true" applyBorder="true" applyAlignment="true" applyProtection="true">
      <alignment horizontal="general" vertical="bottom" textRotation="0" wrapText="false" indent="0" shrinkToFit="false"/>
      <protection locked="true" hidden="false"/>
    </xf>
    <xf numFmtId="172" fontId="28" fillId="5" borderId="0" xfId="48" applyFont="true" applyBorder="true" applyAlignment="true" applyProtection="true">
      <alignment horizontal="general" vertical="bottom" textRotation="0" wrapText="false" indent="0" shrinkToFit="false"/>
      <protection locked="true" hidden="false"/>
    </xf>
    <xf numFmtId="164" fontId="29" fillId="0" borderId="0" xfId="39" applyFont="true" applyBorder="false" applyAlignment="false" applyProtection="true">
      <alignment horizontal="general" vertical="bottom" textRotation="0" wrapText="false" indent="0" shrinkToFit="false"/>
      <protection locked="false" hidden="false"/>
    </xf>
    <xf numFmtId="164" fontId="15" fillId="10" borderId="0" xfId="47" applyFont="true" applyBorder="true" applyAlignment="true" applyProtection="false">
      <alignment horizontal="left" vertical="bottom" textRotation="0" wrapText="false" indent="0" shrinkToFit="false"/>
      <protection locked="true" hidden="false"/>
    </xf>
    <xf numFmtId="164" fontId="18" fillId="10" borderId="0" xfId="47" applyFont="true" applyBorder="true" applyAlignment="true" applyProtection="false">
      <alignment horizontal="left" vertical="bottom" textRotation="0" wrapText="false" indent="0" shrinkToFit="false"/>
      <protection locked="true" hidden="false"/>
    </xf>
    <xf numFmtId="164" fontId="0" fillId="10" borderId="0" xfId="47" applyFont="true" applyBorder="true" applyAlignment="true" applyProtection="false">
      <alignment horizontal="left" vertical="bottom" textRotation="0" wrapText="false" indent="0" shrinkToFit="false"/>
      <protection locked="true" hidden="false"/>
    </xf>
    <xf numFmtId="176" fontId="15" fillId="10" borderId="21" xfId="47" applyFont="true" applyBorder="true" applyAlignment="false" applyProtection="true">
      <alignment horizontal="general" vertical="bottom" textRotation="0" wrapText="false" indent="0" shrinkToFit="false"/>
      <protection locked="true" hidden="false"/>
    </xf>
    <xf numFmtId="176" fontId="15" fillId="11" borderId="32" xfId="47" applyFont="true" applyBorder="true" applyAlignment="false" applyProtection="true">
      <alignment horizontal="general" vertical="bottom" textRotation="0" wrapText="false" indent="0" shrinkToFit="false"/>
      <protection locked="true" hidden="false"/>
    </xf>
    <xf numFmtId="175" fontId="15" fillId="11" borderId="21" xfId="47" applyFont="true" applyBorder="true" applyAlignment="false" applyProtection="true">
      <alignment horizontal="general" vertical="bottom" textRotation="0" wrapText="false" indent="0" shrinkToFit="false"/>
      <protection locked="true" hidden="false"/>
    </xf>
    <xf numFmtId="170" fontId="15" fillId="7" borderId="23" xfId="47" applyFont="true" applyBorder="true" applyAlignment="false" applyProtection="true">
      <alignment horizontal="general" vertical="bottom" textRotation="0" wrapText="false" indent="0" shrinkToFit="false"/>
      <protection locked="true" hidden="false"/>
    </xf>
    <xf numFmtId="177" fontId="15" fillId="11" borderId="21" xfId="47" applyFont="true" applyBorder="true" applyAlignment="true" applyProtection="true">
      <alignment horizontal="center" vertical="bottom" textRotation="0" wrapText="false" indent="0" shrinkToFit="false"/>
      <protection locked="true" hidden="false"/>
    </xf>
    <xf numFmtId="177" fontId="15" fillId="7" borderId="33" xfId="47" applyFont="true" applyBorder="true" applyAlignment="true" applyProtection="true">
      <alignment horizontal="center" vertical="bottom" textRotation="0" wrapText="false" indent="0" shrinkToFit="false"/>
      <protection locked="true" hidden="false"/>
    </xf>
    <xf numFmtId="171" fontId="15" fillId="7" borderId="21" xfId="47" applyFont="true" applyBorder="true" applyAlignment="true" applyProtection="true">
      <alignment horizontal="center" vertical="bottom" textRotation="0" wrapText="false" indent="0" shrinkToFit="false"/>
      <protection locked="true" hidden="false"/>
    </xf>
    <xf numFmtId="173" fontId="15" fillId="10" borderId="0" xfId="47" applyFont="true" applyBorder="true" applyAlignment="false" applyProtection="true">
      <alignment horizontal="general" vertical="bottom" textRotation="0" wrapText="false" indent="0" shrinkToFit="false"/>
      <protection locked="true" hidden="false"/>
    </xf>
    <xf numFmtId="173" fontId="15" fillId="10" borderId="21" xfId="47" applyFont="true" applyBorder="true" applyAlignment="false" applyProtection="true">
      <alignment horizontal="general" vertical="bottom" textRotation="0" wrapText="false" indent="0" shrinkToFit="false"/>
      <protection locked="true" hidden="false"/>
    </xf>
    <xf numFmtId="173" fontId="15" fillId="11" borderId="32" xfId="36" applyFont="true" applyBorder="true" applyAlignment="true" applyProtection="true">
      <alignment horizontal="center" vertical="bottom" textRotation="0" wrapText="false" indent="0" shrinkToFit="false"/>
      <protection locked="true" hidden="false"/>
    </xf>
    <xf numFmtId="173" fontId="15" fillId="11" borderId="34" xfId="36" applyFont="true" applyBorder="true" applyAlignment="true" applyProtection="true">
      <alignment horizontal="center" vertical="bottom" textRotation="0" wrapText="false" indent="0" shrinkToFit="false"/>
      <protection locked="true" hidden="false"/>
    </xf>
    <xf numFmtId="173" fontId="15" fillId="7" borderId="23" xfId="36" applyFont="true" applyBorder="true" applyAlignment="true" applyProtection="true">
      <alignment horizontal="center" vertical="bottom" textRotation="0" wrapText="false" indent="0" shrinkToFit="false"/>
      <protection locked="true" hidden="false"/>
    </xf>
    <xf numFmtId="177" fontId="15" fillId="11" borderId="21" xfId="39" applyFont="true" applyBorder="true" applyAlignment="true" applyProtection="false">
      <alignment horizontal="center" vertical="bottom" textRotation="0" wrapText="false" indent="0" shrinkToFit="false"/>
      <protection locked="true" hidden="false"/>
    </xf>
    <xf numFmtId="177" fontId="15" fillId="11" borderId="22" xfId="39" applyFont="true" applyBorder="true" applyAlignment="true" applyProtection="false">
      <alignment horizontal="center" vertical="bottom" textRotation="0" wrapText="false" indent="0" shrinkToFit="false"/>
      <protection locked="true" hidden="false"/>
    </xf>
    <xf numFmtId="177" fontId="15" fillId="7" borderId="21" xfId="39" applyFont="true" applyBorder="true" applyAlignment="true" applyProtection="false">
      <alignment horizontal="center" vertical="bottom" textRotation="0" wrapText="false" indent="0" shrinkToFit="false"/>
      <protection locked="true" hidden="false"/>
    </xf>
    <xf numFmtId="164" fontId="4" fillId="7" borderId="12" xfId="39" applyFont="false" applyBorder="true" applyAlignment="false" applyProtection="false">
      <alignment horizontal="general" vertical="bottom" textRotation="0" wrapText="false" indent="0" shrinkToFit="false"/>
      <protection locked="true" hidden="false"/>
    </xf>
    <xf numFmtId="164" fontId="14" fillId="7" borderId="13" xfId="39" applyFont="true" applyBorder="true" applyAlignment="false" applyProtection="false">
      <alignment horizontal="general" vertical="bottom" textRotation="0" wrapText="false" indent="0" shrinkToFit="false"/>
      <protection locked="true" hidden="false"/>
    </xf>
    <xf numFmtId="164" fontId="4" fillId="7" borderId="15" xfId="39" applyFont="false" applyBorder="true" applyAlignment="false" applyProtection="false">
      <alignment horizontal="general" vertical="bottom" textRotation="0" wrapText="false" indent="0" shrinkToFit="false"/>
      <protection locked="true" hidden="false"/>
    </xf>
    <xf numFmtId="164" fontId="14" fillId="7" borderId="12" xfId="39" applyFont="true" applyBorder="true" applyAlignment="false" applyProtection="false">
      <alignment horizontal="general" vertical="bottom" textRotation="0" wrapText="false" indent="0" shrinkToFit="false"/>
      <protection locked="true" hidden="false"/>
    </xf>
    <xf numFmtId="164" fontId="14" fillId="7" borderId="18" xfId="39" applyFont="true" applyBorder="true" applyAlignment="false" applyProtection="false">
      <alignment horizontal="general" vertical="bottom" textRotation="0" wrapText="false" indent="0" shrinkToFit="false"/>
      <protection locked="true" hidden="false"/>
    </xf>
    <xf numFmtId="164" fontId="14" fillId="7" borderId="0" xfId="39" applyFont="true" applyBorder="true" applyAlignment="false" applyProtection="false">
      <alignment horizontal="general" vertical="bottom" textRotation="0" wrapText="false" indent="0" shrinkToFit="false"/>
      <protection locked="true" hidden="false"/>
    </xf>
    <xf numFmtId="173" fontId="14" fillId="7" borderId="18" xfId="36" applyFont="true" applyBorder="true" applyAlignment="true" applyProtection="true">
      <alignment horizontal="general" vertical="bottom" textRotation="0" wrapText="false" indent="0" shrinkToFit="false"/>
      <protection locked="true" hidden="false"/>
    </xf>
    <xf numFmtId="173" fontId="14" fillId="7" borderId="0" xfId="36" applyFont="true" applyBorder="true" applyAlignment="true" applyProtection="true">
      <alignment horizontal="general" vertical="bottom" textRotation="0" wrapText="false" indent="0" shrinkToFit="false"/>
      <protection locked="true" hidden="false"/>
    </xf>
    <xf numFmtId="164" fontId="23" fillId="7" borderId="6" xfId="39" applyFont="true" applyBorder="true" applyAlignment="true" applyProtection="true">
      <alignment horizontal="left" vertical="bottom" textRotation="0" wrapText="false" indent="0" shrinkToFit="false"/>
      <protection locked="true" hidden="false"/>
    </xf>
    <xf numFmtId="164" fontId="28" fillId="7" borderId="0" xfId="39" applyFont="true" applyBorder="true" applyAlignment="true" applyProtection="true">
      <alignment horizontal="left" vertical="bottom" textRotation="0" wrapText="false" indent="0" shrinkToFit="false"/>
      <protection locked="true" hidden="false"/>
    </xf>
    <xf numFmtId="173" fontId="28" fillId="7" borderId="0" xfId="36" applyFont="true" applyBorder="true" applyAlignment="true" applyProtection="true">
      <alignment horizontal="general" vertical="bottom" textRotation="0" wrapText="false" indent="0" shrinkToFit="false"/>
      <protection locked="true" hidden="false"/>
    </xf>
    <xf numFmtId="172" fontId="28" fillId="7" borderId="1" xfId="48" applyFont="true" applyBorder="true" applyAlignment="true" applyProtection="true">
      <alignment horizontal="general" vertical="bottom" textRotation="0" wrapText="false" indent="0" shrinkToFit="false"/>
      <protection locked="true" hidden="false"/>
    </xf>
    <xf numFmtId="172" fontId="28" fillId="7" borderId="0" xfId="48" applyFont="true" applyBorder="true" applyAlignment="true" applyProtection="true">
      <alignment horizontal="general" vertical="bottom" textRotation="0" wrapText="false" indent="0" shrinkToFit="false"/>
      <protection locked="true" hidden="false"/>
    </xf>
    <xf numFmtId="164" fontId="30" fillId="0" borderId="0" xfId="39" applyFont="true" applyBorder="false" applyAlignment="false" applyProtection="true">
      <alignment horizontal="general" vertical="bottom" textRotation="0" wrapText="false" indent="0" shrinkToFit="false"/>
      <protection locked="false" hidden="false"/>
    </xf>
    <xf numFmtId="176" fontId="15" fillId="11" borderId="21" xfId="47" applyFont="true" applyBorder="true" applyAlignment="false" applyProtection="true">
      <alignment horizontal="general" vertical="bottom" textRotation="0" wrapText="false" indent="0" shrinkToFit="false"/>
      <protection locked="true" hidden="false"/>
    </xf>
    <xf numFmtId="170" fontId="15" fillId="7" borderId="1" xfId="47" applyFont="true" applyBorder="true" applyAlignment="false" applyProtection="true">
      <alignment horizontal="general" vertical="bottom" textRotation="0" wrapText="false" indent="0" shrinkToFit="false"/>
      <protection locked="true" hidden="false"/>
    </xf>
    <xf numFmtId="177" fontId="15" fillId="7" borderId="34" xfId="47" applyFont="true" applyBorder="true" applyAlignment="true" applyProtection="true">
      <alignment horizontal="center" vertical="bottom" textRotation="0" wrapText="false" indent="0" shrinkToFit="false"/>
      <protection locked="true" hidden="false"/>
    </xf>
    <xf numFmtId="177" fontId="15" fillId="7" borderId="32" xfId="39" applyFont="true" applyBorder="true" applyAlignment="true" applyProtection="false">
      <alignment horizontal="center" vertical="bottom" textRotation="0" wrapText="false" indent="0" shrinkToFit="false"/>
      <protection locked="true" hidden="false"/>
    </xf>
    <xf numFmtId="164" fontId="4" fillId="7" borderId="6" xfId="39" applyFont="false" applyBorder="true" applyAlignment="false" applyProtection="false">
      <alignment horizontal="general" vertical="bottom" textRotation="0" wrapText="false" indent="0" shrinkToFit="false"/>
      <protection locked="true" hidden="false"/>
    </xf>
    <xf numFmtId="164" fontId="14" fillId="0" borderId="0" xfId="39" applyFont="true" applyBorder="true" applyAlignment="false" applyProtection="false">
      <alignment horizontal="general" vertical="bottom" textRotation="0" wrapText="false" indent="0" shrinkToFit="false"/>
      <protection locked="true" hidden="false"/>
    </xf>
    <xf numFmtId="164" fontId="4" fillId="7" borderId="1" xfId="39" applyFont="false" applyBorder="true" applyAlignment="false" applyProtection="false">
      <alignment horizontal="general" vertical="bottom" textRotation="0" wrapText="false" indent="0" shrinkToFit="false"/>
      <protection locked="true" hidden="false"/>
    </xf>
    <xf numFmtId="164" fontId="4" fillId="7" borderId="0" xfId="39" applyFont="true" applyBorder="true" applyAlignment="false" applyProtection="false">
      <alignment horizontal="general" vertical="bottom" textRotation="0" wrapText="false" indent="0" shrinkToFit="false"/>
      <protection locked="true" hidden="false"/>
    </xf>
    <xf numFmtId="164" fontId="14" fillId="7" borderId="21" xfId="39" applyFont="true" applyBorder="true" applyAlignment="false" applyProtection="false">
      <alignment horizontal="general" vertical="bottom" textRotation="0" wrapText="false" indent="0" shrinkToFit="false"/>
      <protection locked="true" hidden="false"/>
    </xf>
    <xf numFmtId="164" fontId="4" fillId="7" borderId="21" xfId="39" applyFont="true" applyBorder="true" applyAlignment="false" applyProtection="false">
      <alignment horizontal="general" vertical="bottom" textRotation="0" wrapText="false" indent="0" shrinkToFit="false"/>
      <protection locked="true" hidden="false"/>
    </xf>
    <xf numFmtId="164" fontId="4" fillId="7" borderId="24" xfId="39" applyFont="false" applyBorder="true" applyAlignment="false" applyProtection="false">
      <alignment horizontal="general" vertical="bottom" textRotation="0" wrapText="false" indent="0" shrinkToFit="false"/>
      <protection locked="true" hidden="false"/>
    </xf>
    <xf numFmtId="173" fontId="14" fillId="7" borderId="31" xfId="36" applyFont="true" applyBorder="true" applyAlignment="true" applyProtection="true">
      <alignment horizontal="general" vertical="bottom" textRotation="0" wrapText="false" indent="0" shrinkToFit="false"/>
      <protection locked="true" hidden="false"/>
    </xf>
    <xf numFmtId="164" fontId="17" fillId="0" borderId="35" xfId="39" applyFont="true" applyBorder="true" applyAlignment="false" applyProtection="false">
      <alignment horizontal="general" vertical="bottom" textRotation="0" wrapText="false" indent="0" shrinkToFit="false"/>
      <protection locked="true" hidden="false"/>
    </xf>
    <xf numFmtId="164" fontId="17" fillId="0" borderId="36" xfId="39" applyFont="true" applyBorder="true" applyAlignment="false" applyProtection="false">
      <alignment horizontal="general" vertical="bottom" textRotation="0" wrapText="false" indent="0" shrinkToFit="false"/>
      <protection locked="true" hidden="false"/>
    </xf>
    <xf numFmtId="164" fontId="17" fillId="0" borderId="37" xfId="39" applyFont="true" applyBorder="true" applyAlignment="false" applyProtection="false">
      <alignment horizontal="general" vertical="bottom" textRotation="0" wrapText="false" indent="0" shrinkToFit="false"/>
      <protection locked="true" hidden="false"/>
    </xf>
    <xf numFmtId="164" fontId="17" fillId="0" borderId="38" xfId="39" applyFont="true" applyBorder="true" applyAlignment="false" applyProtection="false">
      <alignment horizontal="general" vertical="bottom" textRotation="0" wrapText="false" indent="0" shrinkToFit="false"/>
      <protection locked="true" hidden="false"/>
    </xf>
    <xf numFmtId="164" fontId="17" fillId="0" borderId="39" xfId="39" applyFont="true" applyBorder="true" applyAlignment="false" applyProtection="false">
      <alignment horizontal="general" vertical="bottom" textRotation="0" wrapText="false" indent="0" shrinkToFit="false"/>
      <protection locked="true" hidden="false"/>
    </xf>
    <xf numFmtId="164" fontId="17" fillId="0" borderId="0" xfId="39" applyFont="true" applyBorder="true" applyAlignment="false" applyProtection="false">
      <alignment horizontal="general" vertical="bottom" textRotation="0" wrapText="false" indent="0" shrinkToFit="false"/>
      <protection locked="true" hidden="false"/>
    </xf>
    <xf numFmtId="165" fontId="29" fillId="0" borderId="0" xfId="36" applyFont="true" applyBorder="true" applyAlignment="true" applyProtection="true">
      <alignment horizontal="general" vertical="bottom" textRotation="0" wrapText="false" indent="0" shrinkToFit="false"/>
      <protection locked="false" hidden="false"/>
    </xf>
    <xf numFmtId="178" fontId="4" fillId="0" borderId="0" xfId="39" applyFont="true" applyBorder="false" applyAlignment="false" applyProtection="true">
      <alignment horizontal="general" vertical="bottom" textRotation="0" wrapText="false" indent="0" shrinkToFit="false"/>
      <protection locked="false" hidden="false"/>
    </xf>
    <xf numFmtId="173" fontId="15" fillId="11" borderId="21" xfId="36" applyFont="true" applyBorder="true" applyAlignment="true" applyProtection="true">
      <alignment horizontal="center" vertical="bottom" textRotation="0" wrapText="false" indent="0" shrinkToFit="false"/>
      <protection locked="true" hidden="false"/>
    </xf>
    <xf numFmtId="173" fontId="15" fillId="11" borderId="33" xfId="36" applyFont="true" applyBorder="true" applyAlignment="true" applyProtection="true">
      <alignment horizontal="center" vertical="bottom" textRotation="0" wrapText="false" indent="0" shrinkToFit="false"/>
      <protection locked="true" hidden="false"/>
    </xf>
    <xf numFmtId="164" fontId="17" fillId="0" borderId="40" xfId="39" applyFont="true" applyBorder="true" applyAlignment="true" applyProtection="true">
      <alignment horizontal="general" vertical="bottom" textRotation="0" wrapText="false" indent="0" shrinkToFit="false"/>
      <protection locked="true" hidden="false"/>
    </xf>
    <xf numFmtId="164" fontId="17" fillId="0" borderId="21" xfId="39" applyFont="true" applyBorder="true" applyAlignment="true" applyProtection="true">
      <alignment horizontal="center" vertical="bottom" textRotation="0" wrapText="false" indent="0" shrinkToFit="false"/>
      <protection locked="true" hidden="false"/>
    </xf>
    <xf numFmtId="164" fontId="17" fillId="0" borderId="33" xfId="39" applyFont="true" applyBorder="true" applyAlignment="true" applyProtection="true">
      <alignment horizontal="center" vertical="bottom" textRotation="0" wrapText="false" indent="0" shrinkToFit="false"/>
      <protection locked="true" hidden="false"/>
    </xf>
    <xf numFmtId="164" fontId="17" fillId="0" borderId="41" xfId="39" applyFont="true" applyBorder="true" applyAlignment="true" applyProtection="true">
      <alignment horizontal="center" vertical="bottom" textRotation="0" wrapText="false" indent="0" shrinkToFit="false"/>
      <protection locked="true" hidden="false"/>
    </xf>
    <xf numFmtId="171" fontId="4" fillId="0" borderId="0" xfId="39" applyFont="true" applyBorder="false" applyAlignment="false" applyProtection="true">
      <alignment horizontal="general" vertical="bottom" textRotation="0" wrapText="false" indent="0" shrinkToFit="false"/>
      <protection locked="false" hidden="false"/>
    </xf>
    <xf numFmtId="173" fontId="4" fillId="0" borderId="0" xfId="39" applyFont="false" applyBorder="false" applyAlignment="false" applyProtection="false">
      <alignment horizontal="general" vertical="bottom" textRotation="0" wrapText="false" indent="0" shrinkToFit="false"/>
      <protection locked="true" hidden="false"/>
    </xf>
    <xf numFmtId="164" fontId="4" fillId="7" borderId="42" xfId="39" applyFont="true" applyBorder="true" applyAlignment="false" applyProtection="false">
      <alignment horizontal="general" vertical="bottom" textRotation="0" wrapText="false" indent="0" shrinkToFit="false"/>
      <protection locked="true" hidden="false"/>
    </xf>
    <xf numFmtId="164" fontId="4" fillId="7" borderId="5" xfId="39" applyFont="true" applyBorder="true" applyAlignment="false" applyProtection="false">
      <alignment horizontal="general" vertical="bottom" textRotation="0" wrapText="false" indent="0" shrinkToFit="false"/>
      <protection locked="true" hidden="false"/>
    </xf>
    <xf numFmtId="164" fontId="4" fillId="7" borderId="30" xfId="39" applyFont="true" applyBorder="true" applyAlignment="false" applyProtection="false">
      <alignment horizontal="general" vertical="bottom" textRotation="0" wrapText="false" indent="0" shrinkToFit="false"/>
      <protection locked="true" hidden="false"/>
    </xf>
    <xf numFmtId="164" fontId="14" fillId="7" borderId="5" xfId="39" applyFont="true" applyBorder="true" applyAlignment="false" applyProtection="false">
      <alignment horizontal="general" vertical="bottom" textRotation="0" wrapText="false" indent="0" shrinkToFit="false"/>
      <protection locked="true" hidden="false"/>
    </xf>
    <xf numFmtId="164" fontId="4" fillId="7" borderId="25" xfId="39" applyFont="true" applyBorder="true" applyAlignment="false" applyProtection="false">
      <alignment horizontal="general" vertical="bottom" textRotation="0" wrapText="false" indent="0" shrinkToFit="false"/>
      <protection locked="true" hidden="false"/>
    </xf>
    <xf numFmtId="164" fontId="4" fillId="7" borderId="29" xfId="39" applyFont="false" applyBorder="true" applyAlignment="false" applyProtection="false">
      <alignment horizontal="general" vertical="bottom" textRotation="0" wrapText="false" indent="0" shrinkToFit="false"/>
      <protection locked="true" hidden="false"/>
    </xf>
    <xf numFmtId="164" fontId="17" fillId="0" borderId="40" xfId="39" applyFont="true" applyBorder="true" applyAlignment="false" applyProtection="false">
      <alignment horizontal="general" vertical="bottom" textRotation="0" wrapText="false" indent="0" shrinkToFit="false"/>
      <protection locked="true" hidden="false"/>
    </xf>
    <xf numFmtId="164" fontId="17" fillId="0" borderId="33" xfId="39" applyFont="true" applyBorder="true" applyAlignment="true" applyProtection="false">
      <alignment horizontal="center" vertical="bottom" textRotation="0" wrapText="false" indent="0" shrinkToFit="false"/>
      <protection locked="true" hidden="false"/>
    </xf>
    <xf numFmtId="164" fontId="17" fillId="0" borderId="21" xfId="39" applyFont="true" applyBorder="true" applyAlignment="true" applyProtection="false">
      <alignment horizontal="center" vertical="bottom" textRotation="0" wrapText="false" indent="0" shrinkToFit="false"/>
      <protection locked="true" hidden="false"/>
    </xf>
    <xf numFmtId="175" fontId="15" fillId="10" borderId="21" xfId="47" applyFont="true" applyBorder="true" applyAlignment="false" applyProtection="true">
      <alignment horizontal="general" vertical="bottom" textRotation="0" wrapText="false" indent="0" shrinkToFit="false"/>
      <protection locked="true" hidden="false"/>
    </xf>
    <xf numFmtId="164" fontId="4" fillId="7" borderId="20" xfId="39" applyFont="false" applyBorder="true" applyAlignment="false" applyProtection="false">
      <alignment horizontal="general" vertical="bottom" textRotation="0" wrapText="false" indent="0" shrinkToFit="false"/>
      <protection locked="true" hidden="false"/>
    </xf>
    <xf numFmtId="164" fontId="17" fillId="0" borderId="21" xfId="39" applyFont="true" applyBorder="true" applyAlignment="false" applyProtection="false">
      <alignment horizontal="general" vertical="bottom" textRotation="0" wrapText="false" indent="0" shrinkToFit="false"/>
      <protection locked="true" hidden="false"/>
    </xf>
    <xf numFmtId="164" fontId="17" fillId="0" borderId="33" xfId="39" applyFont="true" applyBorder="true" applyAlignment="false" applyProtection="false">
      <alignment horizontal="general" vertical="bottom" textRotation="0" wrapText="false" indent="0" shrinkToFit="false"/>
      <protection locked="true" hidden="false"/>
    </xf>
    <xf numFmtId="164" fontId="17" fillId="0" borderId="41" xfId="39" applyFont="true" applyBorder="true" applyAlignment="false" applyProtection="false">
      <alignment horizontal="general" vertical="bottom" textRotation="0" wrapText="false" indent="0" shrinkToFit="false"/>
      <protection locked="true" hidden="false"/>
    </xf>
    <xf numFmtId="164" fontId="31" fillId="0" borderId="18" xfId="39" applyFont="true" applyBorder="true" applyAlignment="false" applyProtection="false">
      <alignment horizontal="general" vertical="bottom" textRotation="0" wrapText="false" indent="0" shrinkToFit="false"/>
      <protection locked="true" hidden="false"/>
    </xf>
    <xf numFmtId="173" fontId="14" fillId="7" borderId="20" xfId="36" applyFont="true" applyBorder="true" applyAlignment="true" applyProtection="true">
      <alignment horizontal="general" vertical="bottom" textRotation="0" wrapText="false" indent="0" shrinkToFit="false"/>
      <protection locked="true" hidden="false"/>
    </xf>
    <xf numFmtId="173" fontId="14" fillId="7" borderId="21" xfId="36" applyFont="true" applyBorder="true" applyAlignment="true" applyProtection="true">
      <alignment horizontal="general" vertical="bottom" textRotation="0" wrapText="false" indent="0" shrinkToFit="false"/>
      <protection locked="true" hidden="false"/>
    </xf>
    <xf numFmtId="173" fontId="14" fillId="7" borderId="1" xfId="36" applyFont="true" applyBorder="true" applyAlignment="true" applyProtection="true">
      <alignment horizontal="general" vertical="bottom" textRotation="0" wrapText="false" indent="0" shrinkToFit="false"/>
      <protection locked="true" hidden="false"/>
    </xf>
    <xf numFmtId="173" fontId="14" fillId="7" borderId="6" xfId="36" applyFont="true" applyBorder="true" applyAlignment="true" applyProtection="true">
      <alignment horizontal="general" vertical="bottom" textRotation="0" wrapText="false" indent="0" shrinkToFit="false"/>
      <protection locked="true" hidden="false"/>
    </xf>
    <xf numFmtId="173" fontId="14" fillId="7" borderId="24" xfId="36" applyFont="true" applyBorder="true" applyAlignment="true" applyProtection="true">
      <alignment horizontal="general" vertical="bottom" textRotation="0" wrapText="false" indent="0" shrinkToFit="false"/>
      <protection locked="true" hidden="false"/>
    </xf>
    <xf numFmtId="164" fontId="17" fillId="0" borderId="43" xfId="39" applyFont="true" applyBorder="true" applyAlignment="false" applyProtection="false">
      <alignment horizontal="general" vertical="bottom" textRotation="0" wrapText="false" indent="0" shrinkToFit="false"/>
      <protection locked="true" hidden="false"/>
    </xf>
    <xf numFmtId="164" fontId="17" fillId="0" borderId="26" xfId="39" applyFont="true" applyBorder="true" applyAlignment="false" applyProtection="false">
      <alignment horizontal="general" vertical="bottom" textRotation="0" wrapText="false" indent="0" shrinkToFit="false"/>
      <protection locked="true" hidden="false"/>
    </xf>
    <xf numFmtId="164" fontId="17" fillId="0" borderId="5" xfId="39" applyFont="true" applyBorder="true" applyAlignment="false" applyProtection="false">
      <alignment horizontal="general" vertical="bottom" textRotation="0" wrapText="false" indent="0" shrinkToFit="false"/>
      <protection locked="true" hidden="false"/>
    </xf>
    <xf numFmtId="164" fontId="17" fillId="0" borderId="44" xfId="39" applyFont="true" applyBorder="true" applyAlignment="false" applyProtection="false">
      <alignment horizontal="general" vertical="bottom" textRotation="0" wrapText="false" indent="0" shrinkToFit="false"/>
      <protection locked="true" hidden="false"/>
    </xf>
    <xf numFmtId="164" fontId="17" fillId="0" borderId="45" xfId="39" applyFont="true" applyBorder="true" applyAlignment="false" applyProtection="false">
      <alignment horizontal="general" vertical="bottom" textRotation="0" wrapText="false" indent="0" shrinkToFit="false"/>
      <protection locked="true" hidden="false"/>
    </xf>
    <xf numFmtId="164" fontId="32" fillId="0" borderId="24" xfId="39" applyFont="true" applyBorder="true" applyAlignment="false" applyProtection="false">
      <alignment horizontal="general" vertical="bottom" textRotation="0" wrapText="false" indent="0" shrinkToFit="false"/>
      <protection locked="true" hidden="false"/>
    </xf>
    <xf numFmtId="173" fontId="33" fillId="7" borderId="21" xfId="36" applyFont="true" applyBorder="true" applyAlignment="true" applyProtection="true">
      <alignment horizontal="general" vertical="bottom" textRotation="0" wrapText="false" indent="0" shrinkToFit="false"/>
      <protection locked="true" hidden="false"/>
    </xf>
    <xf numFmtId="164" fontId="17" fillId="0" borderId="33" xfId="39" applyFont="true" applyBorder="true" applyAlignment="false" applyProtection="true">
      <alignment horizontal="general" vertical="bottom" textRotation="0" wrapText="false" indent="0" shrinkToFit="false"/>
      <protection locked="true" hidden="false"/>
    </xf>
    <xf numFmtId="179" fontId="17" fillId="0" borderId="21" xfId="39" applyFont="true" applyBorder="true" applyAlignment="false" applyProtection="true">
      <alignment horizontal="general" vertical="bottom" textRotation="0" wrapText="false" indent="0" shrinkToFit="false"/>
      <protection locked="true" hidden="false"/>
    </xf>
    <xf numFmtId="179" fontId="17" fillId="0" borderId="33" xfId="39" applyFont="true" applyBorder="true" applyAlignment="false" applyProtection="true">
      <alignment horizontal="general" vertical="bottom" textRotation="0" wrapText="false" indent="0" shrinkToFit="false"/>
      <protection locked="true" hidden="false"/>
    </xf>
    <xf numFmtId="179" fontId="17" fillId="0" borderId="41" xfId="39" applyFont="true" applyBorder="true" applyAlignment="false" applyProtection="true">
      <alignment horizontal="general" vertical="bottom" textRotation="0" wrapText="false" indent="0" shrinkToFit="false"/>
      <protection locked="true" hidden="false"/>
    </xf>
    <xf numFmtId="179" fontId="17" fillId="0" borderId="0" xfId="39" applyFont="true" applyBorder="true" applyAlignment="false" applyProtection="true">
      <alignment horizontal="general" vertical="bottom" textRotation="0" wrapText="false" indent="0" shrinkToFit="false"/>
      <protection locked="true" hidden="false"/>
    </xf>
    <xf numFmtId="164" fontId="34" fillId="0" borderId="40" xfId="39" applyFont="true" applyBorder="true" applyAlignment="false" applyProtection="false">
      <alignment horizontal="general" vertical="bottom" textRotation="0" wrapText="false" indent="0" shrinkToFit="false"/>
      <protection locked="true" hidden="false"/>
    </xf>
    <xf numFmtId="179" fontId="34" fillId="0" borderId="21" xfId="39" applyFont="true" applyBorder="true" applyAlignment="false" applyProtection="true">
      <alignment horizontal="general" vertical="bottom" textRotation="0" wrapText="false" indent="0" shrinkToFit="false"/>
      <protection locked="true" hidden="false"/>
    </xf>
    <xf numFmtId="179" fontId="34" fillId="0" borderId="33" xfId="39" applyFont="true" applyBorder="true" applyAlignment="false" applyProtection="true">
      <alignment horizontal="general" vertical="bottom" textRotation="0" wrapText="false" indent="0" shrinkToFit="false"/>
      <protection locked="true" hidden="false"/>
    </xf>
    <xf numFmtId="179" fontId="34" fillId="0" borderId="41" xfId="39" applyFont="true" applyBorder="true" applyAlignment="false" applyProtection="true">
      <alignment horizontal="general" vertical="bottom" textRotation="0" wrapText="false" indent="0" shrinkToFit="false"/>
      <protection locked="true" hidden="false"/>
    </xf>
    <xf numFmtId="179" fontId="34" fillId="0" borderId="0" xfId="39" applyFont="true" applyBorder="true" applyAlignment="false" applyProtection="true">
      <alignment horizontal="general" vertical="bottom" textRotation="0" wrapText="false" indent="0" shrinkToFit="false"/>
      <protection locked="true" hidden="false"/>
    </xf>
    <xf numFmtId="164" fontId="4" fillId="0" borderId="24" xfId="39" applyFont="false" applyBorder="true" applyAlignment="false" applyProtection="false">
      <alignment horizontal="general" vertical="bottom" textRotation="0" wrapText="false" indent="0" shrinkToFit="false"/>
      <protection locked="true" hidden="false"/>
    </xf>
    <xf numFmtId="170" fontId="35" fillId="0" borderId="0" xfId="21" applyFont="true" applyBorder="true" applyAlignment="true" applyProtection="true">
      <alignment horizontal="general" vertical="bottom" textRotation="0" wrapText="false" indent="0" shrinkToFit="false"/>
      <protection locked="true" hidden="false"/>
    </xf>
    <xf numFmtId="164" fontId="34" fillId="0" borderId="43" xfId="39" applyFont="true" applyBorder="true" applyAlignment="false" applyProtection="false">
      <alignment horizontal="general" vertical="bottom" textRotation="0" wrapText="false" indent="0" shrinkToFit="false"/>
      <protection locked="true" hidden="false"/>
    </xf>
    <xf numFmtId="164" fontId="4" fillId="0" borderId="26" xfId="39" applyFont="false" applyBorder="true" applyAlignment="false" applyProtection="false">
      <alignment horizontal="general" vertical="bottom" textRotation="0" wrapText="false" indent="0" shrinkToFit="false"/>
      <protection locked="true" hidden="false"/>
    </xf>
    <xf numFmtId="179" fontId="34" fillId="0" borderId="5" xfId="39" applyFont="true" applyBorder="true" applyAlignment="false" applyProtection="true">
      <alignment horizontal="general" vertical="bottom" textRotation="0" wrapText="false" indent="0" shrinkToFit="false"/>
      <protection locked="true" hidden="false"/>
    </xf>
    <xf numFmtId="179" fontId="34" fillId="0" borderId="44" xfId="39" applyFont="true" applyBorder="true" applyAlignment="false" applyProtection="true">
      <alignment horizontal="general" vertical="bottom" textRotation="0" wrapText="false" indent="0" shrinkToFit="false"/>
      <protection locked="true" hidden="false"/>
    </xf>
    <xf numFmtId="179" fontId="34" fillId="0" borderId="45" xfId="39" applyFont="true" applyBorder="true" applyAlignment="false" applyProtection="true">
      <alignment horizontal="general" vertical="bottom" textRotation="0" wrapText="false" indent="0" shrinkToFit="false"/>
      <protection locked="true" hidden="false"/>
    </xf>
    <xf numFmtId="179" fontId="17" fillId="0" borderId="21" xfId="39" applyFont="true" applyBorder="true" applyAlignment="true" applyProtection="true">
      <alignment horizontal="right" vertical="bottom" textRotation="0" wrapText="false" indent="0" shrinkToFit="false"/>
      <protection locked="true" hidden="false"/>
    </xf>
    <xf numFmtId="179" fontId="17" fillId="0" borderId="33" xfId="39" applyFont="true" applyBorder="true" applyAlignment="true" applyProtection="true">
      <alignment horizontal="right" vertical="bottom" textRotation="0" wrapText="false" indent="0" shrinkToFit="false"/>
      <protection locked="true" hidden="false"/>
    </xf>
    <xf numFmtId="179" fontId="17" fillId="0" borderId="41" xfId="39" applyFont="true" applyBorder="true" applyAlignment="true" applyProtection="true">
      <alignment horizontal="right" vertical="bottom" textRotation="0" wrapText="false" indent="0" shrinkToFit="false"/>
      <protection locked="true" hidden="false"/>
    </xf>
    <xf numFmtId="179" fontId="34" fillId="0" borderId="21" xfId="39" applyFont="true" applyBorder="true" applyAlignment="true" applyProtection="true">
      <alignment horizontal="right" vertical="bottom" textRotation="0" wrapText="false" indent="0" shrinkToFit="false"/>
      <protection locked="true" hidden="false"/>
    </xf>
    <xf numFmtId="179" fontId="34" fillId="0" borderId="33" xfId="39" applyFont="true" applyBorder="true" applyAlignment="true" applyProtection="true">
      <alignment horizontal="right" vertical="bottom" textRotation="0" wrapText="false" indent="0" shrinkToFit="false"/>
      <protection locked="true" hidden="false"/>
    </xf>
    <xf numFmtId="179" fontId="34" fillId="0" borderId="41" xfId="39" applyFont="true" applyBorder="true" applyAlignment="true" applyProtection="true">
      <alignment horizontal="right" vertical="bottom" textRotation="0" wrapText="false" indent="0" shrinkToFit="false"/>
      <protection locked="true" hidden="false"/>
    </xf>
    <xf numFmtId="164" fontId="15" fillId="10" borderId="46" xfId="47" applyFont="true" applyBorder="true" applyAlignment="true" applyProtection="false">
      <alignment horizontal="left" vertical="bottom" textRotation="0" wrapText="false" indent="0" shrinkToFit="false"/>
      <protection locked="true" hidden="false"/>
    </xf>
    <xf numFmtId="173" fontId="13" fillId="0" borderId="11" xfId="36" applyFont="true" applyBorder="true" applyAlignment="true" applyProtection="true">
      <alignment horizontal="general" vertical="bottom" textRotation="0" wrapText="false" indent="0" shrinkToFit="false"/>
      <protection locked="true" hidden="false"/>
    </xf>
    <xf numFmtId="164" fontId="4" fillId="0" borderId="6" xfId="39" applyFont="false" applyBorder="true" applyAlignment="false" applyProtection="false">
      <alignment horizontal="general" vertical="bottom" textRotation="0" wrapText="false" indent="0" shrinkToFit="false"/>
      <protection locked="true" hidden="false"/>
    </xf>
    <xf numFmtId="179" fontId="34" fillId="0" borderId="5" xfId="39" applyFont="true" applyBorder="true" applyAlignment="true" applyProtection="true">
      <alignment horizontal="right" vertical="bottom" textRotation="0" wrapText="false" indent="0" shrinkToFit="false"/>
      <protection locked="true" hidden="false"/>
    </xf>
    <xf numFmtId="179" fontId="34" fillId="0" borderId="44" xfId="39" applyFont="true" applyBorder="true" applyAlignment="true" applyProtection="true">
      <alignment horizontal="right" vertical="bottom" textRotation="0" wrapText="false" indent="0" shrinkToFit="false"/>
      <protection locked="true" hidden="false"/>
    </xf>
    <xf numFmtId="179" fontId="34" fillId="0" borderId="45" xfId="39" applyFont="true" applyBorder="true" applyAlignment="true" applyProtection="true">
      <alignment horizontal="right" vertical="bottom" textRotation="0" wrapText="false" indent="0" shrinkToFit="false"/>
      <protection locked="true" hidden="false"/>
    </xf>
    <xf numFmtId="164" fontId="4" fillId="6" borderId="6" xfId="39" applyFont="false" applyBorder="true" applyAlignment="false" applyProtection="false">
      <alignment horizontal="general" vertical="bottom" textRotation="0" wrapText="false" indent="0" shrinkToFit="false"/>
      <protection locked="true" hidden="false"/>
    </xf>
    <xf numFmtId="173" fontId="14" fillId="7" borderId="47" xfId="36" applyFont="true" applyBorder="true" applyAlignment="true" applyProtection="true">
      <alignment horizontal="general" vertical="bottom" textRotation="0" wrapText="false" indent="0" shrinkToFit="false"/>
      <protection locked="true" hidden="false"/>
    </xf>
    <xf numFmtId="173" fontId="14" fillId="7" borderId="48" xfId="36" applyFont="true" applyBorder="true" applyAlignment="true" applyProtection="true">
      <alignment horizontal="general" vertical="bottom" textRotation="0" wrapText="false" indent="0" shrinkToFit="false"/>
      <protection locked="true" hidden="false"/>
    </xf>
    <xf numFmtId="173" fontId="14" fillId="7" borderId="49" xfId="36" applyFont="true" applyBorder="true" applyAlignment="true" applyProtection="true">
      <alignment horizontal="general" vertical="bottom" textRotation="0" wrapText="false" indent="0" shrinkToFit="false"/>
      <protection locked="true" hidden="false"/>
    </xf>
    <xf numFmtId="173" fontId="14" fillId="7" borderId="11" xfId="36" applyFont="true" applyBorder="true" applyAlignment="true" applyProtection="true">
      <alignment horizontal="general" vertical="bottom" textRotation="0" wrapText="false" indent="0" shrinkToFit="false"/>
      <protection locked="true" hidden="false"/>
    </xf>
    <xf numFmtId="173" fontId="14" fillId="7" borderId="46" xfId="36" applyFont="true" applyBorder="true" applyAlignment="true" applyProtection="true">
      <alignment horizontal="general" vertical="bottom" textRotation="0" wrapText="false" indent="0" shrinkToFit="false"/>
      <protection locked="true" hidden="false"/>
    </xf>
    <xf numFmtId="164" fontId="15" fillId="10" borderId="11" xfId="47" applyFont="true" applyBorder="true" applyAlignment="true" applyProtection="false">
      <alignment horizontal="left" vertical="bottom" textRotation="0" wrapText="false" indent="0" shrinkToFit="false"/>
      <protection locked="true" hidden="false"/>
    </xf>
    <xf numFmtId="164" fontId="18" fillId="10" borderId="11" xfId="47" applyFont="true" applyBorder="true" applyAlignment="true" applyProtection="false">
      <alignment horizontal="left" vertical="bottom" textRotation="0" wrapText="false" indent="0" shrinkToFit="false"/>
      <protection locked="true" hidden="false"/>
    </xf>
    <xf numFmtId="164" fontId="0" fillId="10" borderId="11" xfId="47" applyFont="true" applyBorder="true" applyAlignment="true" applyProtection="false">
      <alignment horizontal="left" vertical="bottom" textRotation="0" wrapText="false" indent="0" shrinkToFit="false"/>
      <protection locked="true" hidden="false"/>
    </xf>
    <xf numFmtId="175" fontId="15" fillId="10" borderId="48" xfId="47" applyFont="true" applyBorder="true" applyAlignment="false" applyProtection="true">
      <alignment horizontal="general" vertical="bottom" textRotation="0" wrapText="false" indent="0" shrinkToFit="false"/>
      <protection locked="true" hidden="false"/>
    </xf>
    <xf numFmtId="175" fontId="15" fillId="11" borderId="48" xfId="47" applyFont="true" applyBorder="true" applyAlignment="false" applyProtection="true">
      <alignment horizontal="general" vertical="bottom" textRotation="0" wrapText="false" indent="0" shrinkToFit="false"/>
      <protection locked="true" hidden="false"/>
    </xf>
    <xf numFmtId="170" fontId="15" fillId="7" borderId="50" xfId="47" applyFont="true" applyBorder="true" applyAlignment="false" applyProtection="true">
      <alignment horizontal="general" vertical="bottom" textRotation="0" wrapText="false" indent="0" shrinkToFit="false"/>
      <protection locked="true" hidden="false"/>
    </xf>
    <xf numFmtId="177" fontId="15" fillId="11" borderId="47" xfId="47" applyFont="true" applyBorder="true" applyAlignment="true" applyProtection="true">
      <alignment horizontal="center" vertical="bottom" textRotation="0" wrapText="false" indent="0" shrinkToFit="false"/>
      <protection locked="true" hidden="false"/>
    </xf>
    <xf numFmtId="177" fontId="15" fillId="11" borderId="48" xfId="47" applyFont="true" applyBorder="true" applyAlignment="true" applyProtection="true">
      <alignment horizontal="center" vertical="bottom" textRotation="0" wrapText="false" indent="0" shrinkToFit="false"/>
      <protection locked="true" hidden="false"/>
    </xf>
    <xf numFmtId="177" fontId="15" fillId="7" borderId="51" xfId="47" applyFont="true" applyBorder="true" applyAlignment="true" applyProtection="true">
      <alignment horizontal="center" vertical="bottom" textRotation="0" wrapText="false" indent="0" shrinkToFit="false"/>
      <protection locked="true" hidden="false"/>
    </xf>
    <xf numFmtId="171" fontId="15" fillId="7" borderId="48" xfId="47" applyFont="true" applyBorder="true" applyAlignment="true" applyProtection="true">
      <alignment horizontal="center" vertical="bottom" textRotation="0" wrapText="false" indent="0" shrinkToFit="false"/>
      <protection locked="true" hidden="false"/>
    </xf>
    <xf numFmtId="173" fontId="15" fillId="10" borderId="51" xfId="47" applyFont="true" applyBorder="true" applyAlignment="false" applyProtection="true">
      <alignment horizontal="general" vertical="bottom" textRotation="0" wrapText="false" indent="0" shrinkToFit="false"/>
      <protection locked="true" hidden="false"/>
    </xf>
    <xf numFmtId="173" fontId="15" fillId="10" borderId="11" xfId="47" applyFont="true" applyBorder="true" applyAlignment="false" applyProtection="true">
      <alignment horizontal="general" vertical="bottom" textRotation="0" wrapText="false" indent="0" shrinkToFit="false"/>
      <protection locked="true" hidden="false"/>
    </xf>
    <xf numFmtId="173" fontId="15" fillId="10" borderId="52" xfId="47" applyFont="true" applyBorder="true" applyAlignment="false" applyProtection="true">
      <alignment horizontal="general" vertical="bottom" textRotation="0" wrapText="false" indent="0" shrinkToFit="false"/>
      <protection locked="true" hidden="false"/>
    </xf>
    <xf numFmtId="173" fontId="15" fillId="10" borderId="48" xfId="47" applyFont="true" applyBorder="true" applyAlignment="false" applyProtection="true">
      <alignment horizontal="general" vertical="bottom" textRotation="0" wrapText="false" indent="0" shrinkToFit="false"/>
      <protection locked="true" hidden="false"/>
    </xf>
    <xf numFmtId="173" fontId="15" fillId="11" borderId="48" xfId="36" applyFont="true" applyBorder="true" applyAlignment="true" applyProtection="true">
      <alignment horizontal="center" vertical="bottom" textRotation="0" wrapText="false" indent="0" shrinkToFit="false"/>
      <protection locked="true" hidden="false"/>
    </xf>
    <xf numFmtId="173" fontId="15" fillId="11" borderId="51" xfId="36" applyFont="true" applyBorder="true" applyAlignment="true" applyProtection="true">
      <alignment horizontal="center" vertical="bottom" textRotation="0" wrapText="false" indent="0" shrinkToFit="false"/>
      <protection locked="true" hidden="false"/>
    </xf>
    <xf numFmtId="173" fontId="15" fillId="7" borderId="50" xfId="36" applyFont="true" applyBorder="true" applyAlignment="true" applyProtection="true">
      <alignment horizontal="center" vertical="bottom" textRotation="0" wrapText="false" indent="0" shrinkToFit="false"/>
      <protection locked="true" hidden="false"/>
    </xf>
    <xf numFmtId="177" fontId="15" fillId="11" borderId="47" xfId="39" applyFont="true" applyBorder="true" applyAlignment="true" applyProtection="false">
      <alignment horizontal="center" vertical="bottom" textRotation="0" wrapText="false" indent="0" shrinkToFit="false"/>
      <protection locked="true" hidden="false"/>
    </xf>
    <xf numFmtId="177" fontId="15" fillId="11" borderId="52" xfId="39" applyFont="true" applyBorder="true" applyAlignment="true" applyProtection="false">
      <alignment horizontal="center" vertical="bottom" textRotation="0" wrapText="false" indent="0" shrinkToFit="false"/>
      <protection locked="true" hidden="false"/>
    </xf>
    <xf numFmtId="177" fontId="15" fillId="11" borderId="48" xfId="39" applyFont="true" applyBorder="true" applyAlignment="true" applyProtection="false">
      <alignment horizontal="center" vertical="bottom" textRotation="0" wrapText="false" indent="0" shrinkToFit="false"/>
      <protection locked="true" hidden="false"/>
    </xf>
    <xf numFmtId="177" fontId="15" fillId="7" borderId="48" xfId="39" applyFont="true" applyBorder="true" applyAlignment="true" applyProtection="false">
      <alignment horizontal="center" vertical="bottom" textRotation="0" wrapText="false" indent="0" shrinkToFit="false"/>
      <protection locked="true" hidden="false"/>
    </xf>
    <xf numFmtId="171" fontId="15" fillId="7" borderId="21" xfId="39" applyFont="true" applyBorder="true" applyAlignment="true" applyProtection="false">
      <alignment horizontal="center" vertical="bottom" textRotation="0" wrapText="false" indent="0" shrinkToFit="false"/>
      <protection locked="true" hidden="false"/>
    </xf>
    <xf numFmtId="164" fontId="15" fillId="12" borderId="33" xfId="47" applyFont="true" applyBorder="true" applyAlignment="true" applyProtection="false">
      <alignment horizontal="left" vertical="bottom" textRotation="0" wrapText="false" indent="0" shrinkToFit="false"/>
      <protection locked="true" hidden="false"/>
    </xf>
    <xf numFmtId="164" fontId="4" fillId="12" borderId="0" xfId="39" applyFont="false" applyBorder="true" applyAlignment="false" applyProtection="false">
      <alignment horizontal="general" vertical="bottom" textRotation="0" wrapText="false" indent="0" shrinkToFit="false"/>
      <protection locked="true" hidden="false"/>
    </xf>
    <xf numFmtId="173" fontId="15" fillId="12" borderId="21" xfId="36" applyFont="true" applyBorder="true" applyAlignment="true" applyProtection="true">
      <alignment horizontal="center" vertical="bottom" textRotation="0" wrapText="false" indent="0" shrinkToFit="false"/>
      <protection locked="true" hidden="false"/>
    </xf>
    <xf numFmtId="173" fontId="15" fillId="12" borderId="33" xfId="36" applyFont="true" applyBorder="true" applyAlignment="true" applyProtection="true">
      <alignment horizontal="center" vertical="bottom" textRotation="0" wrapText="false" indent="0" shrinkToFit="false"/>
      <protection locked="true" hidden="false"/>
    </xf>
    <xf numFmtId="177" fontId="15" fillId="7" borderId="21" xfId="47" applyFont="true" applyBorder="true" applyAlignment="true" applyProtection="true">
      <alignment horizontal="center" vertical="bottom" textRotation="0" wrapText="false" indent="0" shrinkToFit="false"/>
      <protection locked="true" hidden="false"/>
    </xf>
    <xf numFmtId="171" fontId="15" fillId="7" borderId="32" xfId="39" applyFont="true" applyBorder="true" applyAlignment="true" applyProtection="false">
      <alignment horizontal="center" vertical="bottom" textRotation="0" wrapText="false" indent="0" shrinkToFit="false"/>
      <protection locked="true" hidden="false"/>
    </xf>
    <xf numFmtId="177" fontId="15" fillId="7" borderId="22" xfId="39" applyFont="true" applyBorder="true" applyAlignment="true" applyProtection="false">
      <alignment horizontal="center" vertical="bottom" textRotation="0" wrapText="false" indent="0" shrinkToFit="false"/>
      <protection locked="true" hidden="false"/>
    </xf>
    <xf numFmtId="164" fontId="23" fillId="7" borderId="46" xfId="39" applyFont="true" applyBorder="true" applyAlignment="true" applyProtection="true">
      <alignment horizontal="left" vertical="bottom" textRotation="0" wrapText="false" indent="0" shrinkToFit="false"/>
      <protection locked="true" hidden="false"/>
    </xf>
    <xf numFmtId="164" fontId="28" fillId="7" borderId="11" xfId="39" applyFont="true" applyBorder="true" applyAlignment="true" applyProtection="true">
      <alignment horizontal="left" vertical="bottom" textRotation="0" wrapText="false" indent="0" shrinkToFit="false"/>
      <protection locked="true" hidden="false"/>
    </xf>
    <xf numFmtId="173" fontId="28" fillId="7" borderId="11" xfId="36" applyFont="true" applyBorder="true" applyAlignment="true" applyProtection="true">
      <alignment horizontal="general" vertical="bottom" textRotation="0" wrapText="false" indent="0" shrinkToFit="false"/>
      <protection locked="true" hidden="false"/>
    </xf>
    <xf numFmtId="172" fontId="28" fillId="7" borderId="49" xfId="48" applyFont="true" applyBorder="true" applyAlignment="true" applyProtection="true">
      <alignment horizontal="general" vertical="bottom" textRotation="0" wrapText="false" indent="0" shrinkToFit="false"/>
      <protection locked="true" hidden="false"/>
    </xf>
    <xf numFmtId="173" fontId="36" fillId="0" borderId="0" xfId="36" applyFont="true" applyBorder="true" applyAlignment="true" applyProtection="true">
      <alignment horizontal="general" vertical="bottom" textRotation="0" wrapText="false" indent="0" shrinkToFit="false"/>
      <protection locked="true" hidden="false"/>
    </xf>
    <xf numFmtId="180" fontId="36" fillId="0" borderId="0" xfId="39" applyFont="true" applyBorder="false" applyAlignment="false" applyProtection="false">
      <alignment horizontal="general" vertical="bottom" textRotation="0" wrapText="false" indent="0" shrinkToFit="false"/>
      <protection locked="true" hidden="false"/>
    </xf>
    <xf numFmtId="170" fontId="36" fillId="0" borderId="0" xfId="39" applyFont="true" applyBorder="false" applyAlignment="false" applyProtection="false">
      <alignment horizontal="general" vertical="bottom" textRotation="0" wrapText="false" indent="0" shrinkToFit="false"/>
      <protection locked="true" hidden="false"/>
    </xf>
    <xf numFmtId="175" fontId="15" fillId="7" borderId="24" xfId="47" applyFont="true" applyBorder="true" applyAlignment="true" applyProtection="true">
      <alignment horizontal="center" vertical="bottom" textRotation="0" wrapText="false" indent="0" shrinkToFit="false"/>
      <protection locked="true" hidden="false"/>
    </xf>
    <xf numFmtId="177" fontId="37" fillId="0" borderId="18" xfId="39" applyFont="true" applyBorder="true" applyAlignment="false" applyProtection="false">
      <alignment horizontal="general" vertical="bottom" textRotation="0" wrapText="false" indent="0" shrinkToFit="false"/>
      <protection locked="true" hidden="false"/>
    </xf>
    <xf numFmtId="177" fontId="37" fillId="0" borderId="53" xfId="39" applyFont="true" applyBorder="true" applyAlignment="false" applyProtection="false">
      <alignment horizontal="general" vertical="bottom" textRotation="0" wrapText="false" indent="0" shrinkToFit="false"/>
      <protection locked="true" hidden="false"/>
    </xf>
    <xf numFmtId="177" fontId="37" fillId="0" borderId="15" xfId="39" applyFont="true" applyBorder="true" applyAlignment="false" applyProtection="false">
      <alignment horizontal="general" vertical="bottom" textRotation="0" wrapText="false" indent="0" shrinkToFit="false"/>
      <protection locked="true" hidden="false"/>
    </xf>
    <xf numFmtId="164" fontId="4" fillId="0" borderId="0" xfId="39" applyFont="true" applyBorder="false" applyAlignment="true" applyProtection="false">
      <alignment horizontal="right" vertical="bottom" textRotation="0" wrapText="false" indent="0" shrinkToFit="false"/>
      <protection locked="true" hidden="false"/>
    </xf>
    <xf numFmtId="177" fontId="37" fillId="0" borderId="24" xfId="39" applyFont="true" applyBorder="true" applyAlignment="false" applyProtection="false">
      <alignment horizontal="general" vertical="bottom" textRotation="0" wrapText="false" indent="0" shrinkToFit="false"/>
      <protection locked="true" hidden="false"/>
    </xf>
    <xf numFmtId="177" fontId="37" fillId="0" borderId="20" xfId="39" applyFont="true" applyBorder="true" applyAlignment="false" applyProtection="false">
      <alignment horizontal="general" vertical="bottom" textRotation="0" wrapText="false" indent="0" shrinkToFit="false"/>
      <protection locked="true" hidden="false"/>
    </xf>
    <xf numFmtId="177" fontId="37" fillId="0" borderId="1" xfId="39" applyFont="true" applyBorder="true" applyAlignment="false" applyProtection="false">
      <alignment horizontal="general" vertical="bottom" textRotation="0" wrapText="false" indent="0" shrinkToFit="false"/>
      <protection locked="true" hidden="false"/>
    </xf>
    <xf numFmtId="164" fontId="14" fillId="0" borderId="54" xfId="39" applyFont="true" applyBorder="true" applyAlignment="false" applyProtection="false">
      <alignment horizontal="general" vertical="bottom" textRotation="0" wrapText="false" indent="0" shrinkToFit="false"/>
      <protection locked="true" hidden="false"/>
    </xf>
    <xf numFmtId="164" fontId="32" fillId="0" borderId="54" xfId="39" applyFont="true" applyBorder="true" applyAlignment="false" applyProtection="false">
      <alignment horizontal="general" vertical="bottom" textRotation="0" wrapText="false" indent="0" shrinkToFit="false"/>
      <protection locked="true" hidden="false"/>
    </xf>
    <xf numFmtId="173" fontId="38" fillId="0" borderId="55" xfId="36" applyFont="true" applyBorder="true" applyAlignment="true" applyProtection="true">
      <alignment horizontal="general" vertical="bottom" textRotation="0" wrapText="false" indent="0" shrinkToFit="false"/>
      <protection locked="true" hidden="false"/>
    </xf>
    <xf numFmtId="173" fontId="33" fillId="0" borderId="55" xfId="36" applyFont="true" applyBorder="true" applyAlignment="true" applyProtection="true">
      <alignment horizontal="general" vertical="bottom" textRotation="0" wrapText="false" indent="0" shrinkToFit="false"/>
      <protection locked="true" hidden="false"/>
    </xf>
    <xf numFmtId="164" fontId="39" fillId="0" borderId="0" xfId="39" applyFont="true" applyBorder="false" applyAlignment="false" applyProtection="true">
      <alignment horizontal="general" vertical="bottom" textRotation="0" wrapText="false" indent="0" shrinkToFit="false"/>
      <protection locked="false" hidden="false"/>
    </xf>
    <xf numFmtId="164" fontId="14" fillId="0" borderId="55" xfId="39" applyFont="true" applyBorder="true" applyAlignment="false" applyProtection="false">
      <alignment horizontal="general" vertical="bottom" textRotation="0" wrapText="false" indent="0" shrinkToFit="false"/>
      <protection locked="true" hidden="false"/>
    </xf>
    <xf numFmtId="164" fontId="32" fillId="0" borderId="55" xfId="39" applyFont="true" applyBorder="true" applyAlignment="false" applyProtection="false">
      <alignment horizontal="general" vertical="bottom" textRotation="0" wrapText="false" indent="0" shrinkToFit="false"/>
      <protection locked="true" hidden="false"/>
    </xf>
    <xf numFmtId="177" fontId="15" fillId="7" borderId="48" xfId="47" applyFont="true" applyBorder="true" applyAlignment="true" applyProtection="true">
      <alignment horizontal="center" vertical="bottom" textRotation="0" wrapText="false" indent="0" shrinkToFit="false"/>
      <protection locked="true" hidden="false"/>
    </xf>
    <xf numFmtId="171" fontId="15" fillId="7" borderId="48" xfId="39" applyFont="true" applyBorder="true" applyAlignment="true" applyProtection="false">
      <alignment horizontal="center" vertical="bottom" textRotation="0" wrapText="false" indent="0" shrinkToFit="false"/>
      <protection locked="true" hidden="false"/>
    </xf>
    <xf numFmtId="164" fontId="15" fillId="12" borderId="51" xfId="47" applyFont="true" applyBorder="true" applyAlignment="true" applyProtection="false">
      <alignment horizontal="left" vertical="bottom" textRotation="0" wrapText="false" indent="0" shrinkToFit="false"/>
      <protection locked="true" hidden="false"/>
    </xf>
    <xf numFmtId="164" fontId="4" fillId="12" borderId="11" xfId="39" applyFont="false" applyBorder="true" applyAlignment="false" applyProtection="false">
      <alignment horizontal="general" vertical="bottom" textRotation="0" wrapText="false" indent="0" shrinkToFit="false"/>
      <protection locked="true" hidden="false"/>
    </xf>
    <xf numFmtId="164" fontId="4" fillId="12" borderId="52" xfId="39" applyFont="false" applyBorder="true" applyAlignment="false" applyProtection="false">
      <alignment horizontal="general" vertical="bottom" textRotation="0" wrapText="false" indent="0" shrinkToFit="false"/>
      <protection locked="true" hidden="false"/>
    </xf>
    <xf numFmtId="173" fontId="15" fillId="12" borderId="48" xfId="36" applyFont="true" applyBorder="true" applyAlignment="true" applyProtection="true">
      <alignment horizontal="center" vertical="bottom" textRotation="0" wrapText="false" indent="0" shrinkToFit="false"/>
      <protection locked="true" hidden="false"/>
    </xf>
    <xf numFmtId="173" fontId="15" fillId="12" borderId="51" xfId="36" applyFont="true" applyBorder="true" applyAlignment="true" applyProtection="true">
      <alignment horizontal="center" vertical="bottom" textRotation="0" wrapText="false" indent="0" shrinkToFit="false"/>
      <protection locked="true" hidden="false"/>
    </xf>
    <xf numFmtId="177" fontId="15" fillId="7" borderId="52" xfId="39" applyFont="true" applyBorder="true" applyAlignment="true" applyProtection="false">
      <alignment horizontal="center" vertical="bottom" textRotation="0" wrapText="false" indent="0" shrinkToFit="false"/>
      <protection locked="true" hidden="false"/>
    </xf>
    <xf numFmtId="164" fontId="15" fillId="12" borderId="0" xfId="47" applyFont="true" applyBorder="true" applyAlignment="true" applyProtection="false">
      <alignment horizontal="left" vertical="bottom" textRotation="0" wrapText="false" indent="0" shrinkToFit="false"/>
      <protection locked="true" hidden="false"/>
    </xf>
    <xf numFmtId="164" fontId="15" fillId="12" borderId="0" xfId="39" applyFont="true" applyBorder="true" applyAlignment="false" applyProtection="false">
      <alignment horizontal="general" vertical="bottom" textRotation="0" wrapText="false" indent="0" shrinkToFit="false"/>
      <protection locked="true" hidden="false"/>
    </xf>
    <xf numFmtId="164" fontId="20" fillId="12" borderId="0" xfId="39" applyFont="true" applyBorder="true" applyAlignment="false" applyProtection="false">
      <alignment horizontal="general" vertical="bottom" textRotation="0" wrapText="false" indent="0" shrinkToFit="false"/>
      <protection locked="true" hidden="false"/>
    </xf>
    <xf numFmtId="175" fontId="15" fillId="12" borderId="21" xfId="47" applyFont="true" applyBorder="true" applyAlignment="false" applyProtection="true">
      <alignment horizontal="general" vertical="bottom" textRotation="0" wrapText="false" indent="0" shrinkToFit="false"/>
      <protection locked="true" hidden="false"/>
    </xf>
    <xf numFmtId="164" fontId="15" fillId="13" borderId="33" xfId="47" applyFont="true" applyBorder="true" applyAlignment="true" applyProtection="false">
      <alignment horizontal="left" vertical="bottom" textRotation="0" wrapText="false" indent="0" shrinkToFit="false"/>
      <protection locked="true" hidden="false"/>
    </xf>
    <xf numFmtId="164" fontId="4" fillId="13" borderId="0" xfId="39" applyFont="false" applyBorder="true" applyAlignment="false" applyProtection="false">
      <alignment horizontal="general" vertical="bottom" textRotation="0" wrapText="false" indent="0" shrinkToFit="false"/>
      <protection locked="true" hidden="false"/>
    </xf>
    <xf numFmtId="173" fontId="15" fillId="13" borderId="21" xfId="36" applyFont="true" applyBorder="true" applyAlignment="true" applyProtection="true">
      <alignment horizontal="center" vertical="bottom" textRotation="0" wrapText="false" indent="0" shrinkToFit="false"/>
      <protection locked="true" hidden="false"/>
    </xf>
    <xf numFmtId="173" fontId="15" fillId="13" borderId="33" xfId="36" applyFont="true" applyBorder="true" applyAlignment="true" applyProtection="true">
      <alignment horizontal="center" vertical="bottom" textRotation="0" wrapText="false" indent="0" shrinkToFit="false"/>
      <protection locked="true" hidden="false"/>
    </xf>
    <xf numFmtId="181" fontId="4" fillId="0" borderId="0" xfId="39" applyFont="false" applyBorder="false" applyAlignment="false" applyProtection="false">
      <alignment horizontal="general" vertical="bottom" textRotation="0" wrapText="false" indent="0" shrinkToFit="false"/>
      <protection locked="true" hidden="false"/>
    </xf>
    <xf numFmtId="164" fontId="18" fillId="12" borderId="0" xfId="47" applyFont="true" applyBorder="true" applyAlignment="true" applyProtection="false">
      <alignment horizontal="left" vertical="bottom" textRotation="0" wrapText="false" indent="0" shrinkToFit="false"/>
      <protection locked="true" hidden="false"/>
    </xf>
    <xf numFmtId="164" fontId="0" fillId="12" borderId="0" xfId="47" applyFont="true" applyBorder="true" applyAlignment="true" applyProtection="false">
      <alignment horizontal="left" vertical="bottom" textRotation="0" wrapText="false" indent="0" shrinkToFit="false"/>
      <protection locked="true" hidden="false"/>
    </xf>
    <xf numFmtId="176" fontId="15" fillId="12" borderId="21" xfId="47" applyFont="true" applyBorder="true" applyAlignment="false" applyProtection="true">
      <alignment horizontal="general" vertical="bottom" textRotation="0" wrapText="false" indent="0" shrinkToFit="false"/>
      <protection locked="true" hidden="false"/>
    </xf>
    <xf numFmtId="177" fontId="37" fillId="0" borderId="31" xfId="39" applyFont="true" applyBorder="true" applyAlignment="false" applyProtection="false">
      <alignment horizontal="general" vertical="bottom" textRotation="0" wrapText="false" indent="0" shrinkToFit="false"/>
      <protection locked="true" hidden="false"/>
    </xf>
    <xf numFmtId="177" fontId="37" fillId="0" borderId="47" xfId="39" applyFont="true" applyBorder="true" applyAlignment="false" applyProtection="false">
      <alignment horizontal="general" vertical="bottom" textRotation="0" wrapText="false" indent="0" shrinkToFit="false"/>
      <protection locked="true" hidden="false"/>
    </xf>
    <xf numFmtId="177" fontId="37" fillId="0" borderId="49" xfId="39" applyFont="true" applyBorder="true" applyAlignment="false" applyProtection="false">
      <alignment horizontal="general" vertical="bottom" textRotation="0" wrapText="false" indent="0" shrinkToFit="false"/>
      <protection locked="true" hidden="false"/>
    </xf>
    <xf numFmtId="164" fontId="40" fillId="0" borderId="40" xfId="39" applyFont="true" applyBorder="true" applyAlignment="true" applyProtection="true">
      <alignment horizontal="general" vertical="bottom" textRotation="0" wrapText="false" indent="0" shrinkToFit="false"/>
      <protection locked="true" hidden="false"/>
    </xf>
    <xf numFmtId="164" fontId="14" fillId="0" borderId="0" xfId="39" applyFont="true" applyBorder="false" applyAlignment="false" applyProtection="false">
      <alignment horizontal="general" vertical="bottom" textRotation="0" wrapText="false" indent="0" shrinkToFit="false"/>
      <protection locked="true" hidden="false"/>
    </xf>
    <xf numFmtId="164" fontId="14" fillId="0" borderId="18" xfId="39" applyFont="true" applyBorder="true" applyAlignment="false" applyProtection="false">
      <alignment horizontal="general" vertical="bottom" textRotation="0" wrapText="false" indent="0" shrinkToFit="false"/>
      <protection locked="true" hidden="false"/>
    </xf>
    <xf numFmtId="164" fontId="15" fillId="12" borderId="11" xfId="47" applyFont="true" applyBorder="true" applyAlignment="true" applyProtection="false">
      <alignment horizontal="left" vertical="bottom" textRotation="0" wrapText="false" indent="0" shrinkToFit="false"/>
      <protection locked="true" hidden="false"/>
    </xf>
    <xf numFmtId="164" fontId="18" fillId="12" borderId="11" xfId="47" applyFont="true" applyBorder="true" applyAlignment="true" applyProtection="false">
      <alignment horizontal="left" vertical="bottom" textRotation="0" wrapText="false" indent="0" shrinkToFit="false"/>
      <protection locked="true" hidden="false"/>
    </xf>
    <xf numFmtId="164" fontId="0" fillId="12" borderId="11" xfId="47" applyFont="true" applyBorder="true" applyAlignment="true" applyProtection="false">
      <alignment horizontal="left" vertical="bottom" textRotation="0" wrapText="false" indent="0" shrinkToFit="false"/>
      <protection locked="true" hidden="false"/>
    </xf>
    <xf numFmtId="176" fontId="15" fillId="12" borderId="48" xfId="47" applyFont="true" applyBorder="true" applyAlignment="false" applyProtection="true">
      <alignment horizontal="general" vertical="bottom" textRotation="0" wrapText="false" indent="0" shrinkToFit="false"/>
      <protection locked="true" hidden="false"/>
    </xf>
    <xf numFmtId="176" fontId="15" fillId="11" borderId="48" xfId="47" applyFont="true" applyBorder="true" applyAlignment="false" applyProtection="true">
      <alignment horizontal="general" vertical="bottom" textRotation="0" wrapText="false" indent="0" shrinkToFit="false"/>
      <protection locked="true" hidden="false"/>
    </xf>
    <xf numFmtId="164" fontId="15" fillId="13" borderId="51" xfId="47" applyFont="true" applyBorder="true" applyAlignment="true" applyProtection="false">
      <alignment horizontal="left" vertical="bottom" textRotation="0" wrapText="false" indent="0" shrinkToFit="false"/>
      <protection locked="true" hidden="false"/>
    </xf>
    <xf numFmtId="164" fontId="4" fillId="13" borderId="11" xfId="39" applyFont="false" applyBorder="true" applyAlignment="false" applyProtection="false">
      <alignment horizontal="general" vertical="bottom" textRotation="0" wrapText="false" indent="0" shrinkToFit="false"/>
      <protection locked="true" hidden="false"/>
    </xf>
    <xf numFmtId="173" fontId="15" fillId="13" borderId="48" xfId="36" applyFont="true" applyBorder="true" applyAlignment="true" applyProtection="true">
      <alignment horizontal="center" vertical="bottom" textRotation="0" wrapText="false" indent="0" shrinkToFit="false"/>
      <protection locked="true" hidden="false"/>
    </xf>
    <xf numFmtId="173" fontId="15" fillId="13" borderId="51" xfId="36" applyFont="true" applyBorder="true" applyAlignment="true" applyProtection="true">
      <alignment horizontal="center" vertical="bottom" textRotation="0" wrapText="false" indent="0" shrinkToFit="false"/>
      <protection locked="true" hidden="false"/>
    </xf>
    <xf numFmtId="164" fontId="15" fillId="14" borderId="33" xfId="47" applyFont="true" applyBorder="true" applyAlignment="true" applyProtection="false">
      <alignment horizontal="left" vertical="bottom" textRotation="0" wrapText="false" indent="0" shrinkToFit="false"/>
      <protection locked="true" hidden="false"/>
    </xf>
    <xf numFmtId="164" fontId="4" fillId="14" borderId="0" xfId="39" applyFont="false" applyBorder="true" applyAlignment="false" applyProtection="false">
      <alignment horizontal="general" vertical="bottom" textRotation="0" wrapText="false" indent="0" shrinkToFit="false"/>
      <protection locked="true" hidden="false"/>
    </xf>
    <xf numFmtId="173" fontId="15" fillId="14" borderId="21" xfId="36" applyFont="true" applyBorder="true" applyAlignment="true" applyProtection="true">
      <alignment horizontal="center" vertical="bottom" textRotation="0" wrapText="false" indent="0" shrinkToFit="false"/>
      <protection locked="true" hidden="false"/>
    </xf>
    <xf numFmtId="173" fontId="15" fillId="14" borderId="33" xfId="36" applyFont="true" applyBorder="true" applyAlignment="true" applyProtection="true">
      <alignment horizontal="center" vertical="bottom" textRotation="0" wrapText="false" indent="0" shrinkToFit="false"/>
      <protection locked="true" hidden="false"/>
    </xf>
    <xf numFmtId="165" fontId="13" fillId="0" borderId="0" xfId="36" applyFont="true" applyBorder="true" applyAlignment="true" applyProtection="true">
      <alignment horizontal="general" vertical="bottom" textRotation="0" wrapText="false" indent="0" shrinkToFit="false"/>
      <protection locked="true" hidden="false"/>
    </xf>
    <xf numFmtId="171" fontId="15" fillId="7" borderId="5" xfId="39" applyFont="true" applyBorder="true" applyAlignment="true" applyProtection="false">
      <alignment horizontal="center" vertical="bottom" textRotation="0" wrapText="false" indent="0" shrinkToFit="false"/>
      <protection locked="true" hidden="false"/>
    </xf>
    <xf numFmtId="164" fontId="15" fillId="14" borderId="44" xfId="47" applyFont="true" applyBorder="true" applyAlignment="true" applyProtection="false">
      <alignment horizontal="left" vertical="bottom" textRotation="0" wrapText="false" indent="0" shrinkToFit="false"/>
      <protection locked="true" hidden="false"/>
    </xf>
    <xf numFmtId="164" fontId="4" fillId="14" borderId="26" xfId="39" applyFont="false" applyBorder="true" applyAlignment="false" applyProtection="false">
      <alignment horizontal="general" vertical="bottom" textRotation="0" wrapText="false" indent="0" shrinkToFit="false"/>
      <protection locked="true" hidden="false"/>
    </xf>
    <xf numFmtId="177" fontId="15" fillId="11" borderId="5" xfId="39" applyFont="true" applyBorder="true" applyAlignment="true" applyProtection="false">
      <alignment horizontal="center" vertical="bottom" textRotation="0" wrapText="false" indent="0" shrinkToFit="false"/>
      <protection locked="true" hidden="false"/>
    </xf>
    <xf numFmtId="177" fontId="15" fillId="11" borderId="27" xfId="39" applyFont="true" applyBorder="true" applyAlignment="true" applyProtection="false">
      <alignment horizontal="center" vertical="bottom" textRotation="0" wrapText="false" indent="0" shrinkToFit="false"/>
      <protection locked="true" hidden="false"/>
    </xf>
    <xf numFmtId="177" fontId="15" fillId="7" borderId="27" xfId="39" applyFont="true" applyBorder="true" applyAlignment="true" applyProtection="false">
      <alignment horizontal="center" vertical="bottom" textRotation="0" wrapText="false" indent="0" shrinkToFit="false"/>
      <protection locked="true" hidden="false"/>
    </xf>
    <xf numFmtId="164" fontId="15" fillId="15" borderId="33" xfId="47" applyFont="true" applyBorder="true" applyAlignment="true" applyProtection="false">
      <alignment horizontal="left" vertical="bottom" textRotation="0" wrapText="false" indent="0" shrinkToFit="false"/>
      <protection locked="true" hidden="false"/>
    </xf>
    <xf numFmtId="164" fontId="4" fillId="15" borderId="0" xfId="39" applyFont="false" applyBorder="true" applyAlignment="false" applyProtection="false">
      <alignment horizontal="general" vertical="bottom" textRotation="0" wrapText="false" indent="0" shrinkToFit="false"/>
      <protection locked="true" hidden="false"/>
    </xf>
    <xf numFmtId="173" fontId="15" fillId="15" borderId="21" xfId="36" applyFont="true" applyBorder="true" applyAlignment="true" applyProtection="true">
      <alignment horizontal="center" vertical="bottom" textRotation="0" wrapText="false" indent="0" shrinkToFit="false"/>
      <protection locked="true" hidden="false"/>
    </xf>
    <xf numFmtId="173" fontId="15" fillId="15" borderId="33" xfId="36" applyFont="true" applyBorder="true" applyAlignment="true" applyProtection="true">
      <alignment horizontal="center" vertical="bottom" textRotation="0" wrapText="false" indent="0" shrinkToFit="false"/>
      <protection locked="true" hidden="false"/>
    </xf>
    <xf numFmtId="171" fontId="15" fillId="7" borderId="56" xfId="39" applyFont="true" applyBorder="true" applyAlignment="true" applyProtection="false">
      <alignment horizontal="center" vertical="bottom" textRotation="0" wrapText="false" indent="0" shrinkToFit="false"/>
      <protection locked="true" hidden="false"/>
    </xf>
    <xf numFmtId="164" fontId="15" fillId="15" borderId="57" xfId="47" applyFont="true" applyBorder="true" applyAlignment="true" applyProtection="false">
      <alignment horizontal="left" vertical="bottom" textRotation="0" wrapText="false" indent="0" shrinkToFit="false"/>
      <protection locked="true" hidden="false"/>
    </xf>
    <xf numFmtId="164" fontId="4" fillId="15" borderId="58" xfId="39" applyFont="false" applyBorder="true" applyAlignment="false" applyProtection="false">
      <alignment horizontal="general" vertical="bottom" textRotation="0" wrapText="false" indent="0" shrinkToFit="false"/>
      <protection locked="true" hidden="false"/>
    </xf>
    <xf numFmtId="177" fontId="15" fillId="11" borderId="56" xfId="39" applyFont="true" applyBorder="true" applyAlignment="true" applyProtection="false">
      <alignment horizontal="center" vertical="bottom" textRotation="0" wrapText="false" indent="0" shrinkToFit="false"/>
      <protection locked="true" hidden="false"/>
    </xf>
    <xf numFmtId="177" fontId="15" fillId="11" borderId="59" xfId="39" applyFont="true" applyBorder="true" applyAlignment="true" applyProtection="false">
      <alignment horizontal="center" vertical="bottom" textRotation="0" wrapText="false" indent="0" shrinkToFit="false"/>
      <protection locked="true" hidden="false"/>
    </xf>
    <xf numFmtId="177" fontId="15" fillId="7" borderId="59" xfId="39" applyFont="true" applyBorder="true" applyAlignment="true" applyProtection="false">
      <alignment horizontal="center" vertical="bottom" textRotation="0" wrapText="false" indent="0" shrinkToFit="false"/>
      <protection locked="true" hidden="false"/>
    </xf>
    <xf numFmtId="164" fontId="15" fillId="16" borderId="33" xfId="47" applyFont="true" applyBorder="true" applyAlignment="true" applyProtection="false">
      <alignment horizontal="left" vertical="bottom" textRotation="0" wrapText="false" indent="0" shrinkToFit="false"/>
      <protection locked="true" hidden="false"/>
    </xf>
    <xf numFmtId="164" fontId="4" fillId="16" borderId="0" xfId="39" applyFont="false" applyBorder="true" applyAlignment="false" applyProtection="false">
      <alignment horizontal="general" vertical="bottom" textRotation="0" wrapText="false" indent="0" shrinkToFit="false"/>
      <protection locked="true" hidden="false"/>
    </xf>
    <xf numFmtId="173" fontId="15" fillId="16" borderId="21" xfId="36" applyFont="true" applyBorder="true" applyAlignment="true" applyProtection="true">
      <alignment horizontal="center" vertical="bottom" textRotation="0" wrapText="false" indent="0" shrinkToFit="false"/>
      <protection locked="true" hidden="false"/>
    </xf>
    <xf numFmtId="173" fontId="15" fillId="16" borderId="33" xfId="36" applyFont="true" applyBorder="true" applyAlignment="true" applyProtection="true">
      <alignment horizontal="center" vertical="bottom" textRotation="0" wrapText="false" indent="0" shrinkToFit="false"/>
      <protection locked="true" hidden="false"/>
    </xf>
    <xf numFmtId="175" fontId="15" fillId="12" borderId="48" xfId="47" applyFont="true" applyBorder="true" applyAlignment="false" applyProtection="true">
      <alignment horizontal="general" vertical="bottom" textRotation="0" wrapText="false" indent="0" shrinkToFit="false"/>
      <protection locked="true" hidden="false"/>
    </xf>
    <xf numFmtId="164" fontId="15" fillId="17" borderId="0" xfId="47" applyFont="true" applyBorder="true" applyAlignment="true" applyProtection="false">
      <alignment horizontal="left" vertical="bottom" textRotation="0" wrapText="false" indent="0" shrinkToFit="false"/>
      <protection locked="true" hidden="false"/>
    </xf>
    <xf numFmtId="164" fontId="18" fillId="17" borderId="0" xfId="47" applyFont="true" applyBorder="true" applyAlignment="true" applyProtection="false">
      <alignment horizontal="left" vertical="bottom" textRotation="0" wrapText="false" indent="0" shrinkToFit="false"/>
      <protection locked="true" hidden="false"/>
    </xf>
    <xf numFmtId="164" fontId="0" fillId="17" borderId="0" xfId="47" applyFont="true" applyBorder="true" applyAlignment="true" applyProtection="false">
      <alignment horizontal="left" vertical="bottom" textRotation="0" wrapText="false" indent="0" shrinkToFit="false"/>
      <protection locked="true" hidden="false"/>
    </xf>
    <xf numFmtId="164" fontId="11" fillId="0" borderId="0" xfId="47" applyFont="true" applyBorder="false" applyAlignment="false" applyProtection="false">
      <alignment horizontal="general" vertical="bottom" textRotation="0" wrapText="false" indent="0" shrinkToFit="false"/>
      <protection locked="true" hidden="false"/>
    </xf>
    <xf numFmtId="164" fontId="15" fillId="16" borderId="51" xfId="47" applyFont="true" applyBorder="true" applyAlignment="true" applyProtection="false">
      <alignment horizontal="left" vertical="bottom" textRotation="0" wrapText="false" indent="0" shrinkToFit="false"/>
      <protection locked="true" hidden="false"/>
    </xf>
    <xf numFmtId="164" fontId="4" fillId="16" borderId="11" xfId="39" applyFont="false" applyBorder="true" applyAlignment="false" applyProtection="false">
      <alignment horizontal="general" vertical="bottom" textRotation="0" wrapText="false" indent="0" shrinkToFit="false"/>
      <protection locked="true" hidden="false"/>
    </xf>
    <xf numFmtId="173" fontId="15" fillId="16" borderId="48" xfId="36" applyFont="true" applyBorder="true" applyAlignment="true" applyProtection="true">
      <alignment horizontal="center" vertical="bottom" textRotation="0" wrapText="false" indent="0" shrinkToFit="false"/>
      <protection locked="true" hidden="false"/>
    </xf>
    <xf numFmtId="173" fontId="15" fillId="16" borderId="51" xfId="36" applyFont="true" applyBorder="true" applyAlignment="true" applyProtection="true">
      <alignment horizontal="center" vertical="bottom" textRotation="0" wrapText="false" indent="0" shrinkToFit="false"/>
      <protection locked="true" hidden="false"/>
    </xf>
    <xf numFmtId="164" fontId="4" fillId="0" borderId="49" xfId="39" applyFont="false" applyBorder="true" applyAlignment="false" applyProtection="false">
      <alignment horizontal="general" vertical="bottom" textRotation="0" wrapText="false" indent="0" shrinkToFit="false"/>
      <protection locked="true" hidden="false"/>
    </xf>
    <xf numFmtId="164" fontId="15" fillId="17" borderId="0" xfId="39" applyFont="true" applyBorder="true" applyAlignment="false" applyProtection="false">
      <alignment horizontal="general" vertical="bottom" textRotation="0" wrapText="false" indent="0" shrinkToFit="false"/>
      <protection locked="true" hidden="false"/>
    </xf>
    <xf numFmtId="164" fontId="20" fillId="17" borderId="0" xfId="39" applyFont="true" applyBorder="true" applyAlignment="false" applyProtection="false">
      <alignment horizontal="general" vertical="bottom" textRotation="0" wrapText="false" indent="0" shrinkToFit="false"/>
      <protection locked="true" hidden="false"/>
    </xf>
    <xf numFmtId="175" fontId="15" fillId="17" borderId="21" xfId="47" applyFont="true" applyBorder="true" applyAlignment="false" applyProtection="true">
      <alignment horizontal="general" vertical="bottom" textRotation="0" wrapText="false" indent="0" shrinkToFit="false"/>
      <protection locked="true" hidden="false"/>
    </xf>
    <xf numFmtId="164" fontId="15" fillId="18" borderId="33" xfId="47" applyFont="true" applyBorder="true" applyAlignment="true" applyProtection="false">
      <alignment horizontal="left" vertical="bottom" textRotation="0" wrapText="false" indent="0" shrinkToFit="false"/>
      <protection locked="true" hidden="false"/>
    </xf>
    <xf numFmtId="164" fontId="4" fillId="18" borderId="0" xfId="39" applyFont="false" applyBorder="true" applyAlignment="false" applyProtection="false">
      <alignment horizontal="general" vertical="bottom" textRotation="0" wrapText="false" indent="0" shrinkToFit="false"/>
      <protection locked="true" hidden="false"/>
    </xf>
    <xf numFmtId="173" fontId="15" fillId="18" borderId="21" xfId="36" applyFont="true" applyBorder="true" applyAlignment="true" applyProtection="true">
      <alignment horizontal="center" vertical="bottom" textRotation="0" wrapText="false" indent="0" shrinkToFit="false"/>
      <protection locked="true" hidden="false"/>
    </xf>
    <xf numFmtId="173" fontId="15" fillId="18" borderId="33" xfId="36" applyFont="true" applyBorder="true" applyAlignment="true" applyProtection="true">
      <alignment horizontal="center" vertical="bottom" textRotation="0" wrapText="false" indent="0" shrinkToFit="false"/>
      <protection locked="true" hidden="false"/>
    </xf>
    <xf numFmtId="175" fontId="15" fillId="7" borderId="31" xfId="47" applyFont="true" applyBorder="true" applyAlignment="true" applyProtection="true">
      <alignment horizontal="center" vertical="bottom" textRotation="0" wrapText="false" indent="0" shrinkToFit="false"/>
      <protection locked="true" hidden="false"/>
    </xf>
    <xf numFmtId="173" fontId="37" fillId="0" borderId="18" xfId="36" applyFont="true" applyBorder="true" applyAlignment="true" applyProtection="true">
      <alignment horizontal="general" vertical="bottom" textRotation="0" wrapText="false" indent="0" shrinkToFit="false"/>
      <protection locked="true" hidden="false"/>
    </xf>
    <xf numFmtId="173" fontId="37" fillId="0" borderId="53" xfId="36" applyFont="true" applyBorder="true" applyAlignment="true" applyProtection="true">
      <alignment horizontal="general" vertical="bottom" textRotation="0" wrapText="false" indent="0" shrinkToFit="false"/>
      <protection locked="true" hidden="false"/>
    </xf>
    <xf numFmtId="173" fontId="37" fillId="0" borderId="1" xfId="36" applyFont="true" applyBorder="true" applyAlignment="true" applyProtection="true">
      <alignment horizontal="general" vertical="bottom" textRotation="0" wrapText="false" indent="0" shrinkToFit="false"/>
      <protection locked="true" hidden="false"/>
    </xf>
    <xf numFmtId="173" fontId="37" fillId="0" borderId="24" xfId="36" applyFont="true" applyBorder="true" applyAlignment="true" applyProtection="true">
      <alignment horizontal="general" vertical="bottom" textRotation="0" wrapText="false" indent="0" shrinkToFit="false"/>
      <protection locked="true" hidden="false"/>
    </xf>
    <xf numFmtId="173" fontId="37" fillId="0" borderId="20" xfId="36" applyFont="true" applyBorder="true" applyAlignment="true" applyProtection="true">
      <alignment horizontal="general" vertical="bottom" textRotation="0" wrapText="false" indent="0" shrinkToFit="false"/>
      <protection locked="true" hidden="false"/>
    </xf>
    <xf numFmtId="164" fontId="15" fillId="17" borderId="11" xfId="47" applyFont="true" applyBorder="true" applyAlignment="true" applyProtection="false">
      <alignment horizontal="left" vertical="bottom" textRotation="0" wrapText="false" indent="0" shrinkToFit="false"/>
      <protection locked="true" hidden="false"/>
    </xf>
    <xf numFmtId="164" fontId="18" fillId="17" borderId="11" xfId="47" applyFont="true" applyBorder="true" applyAlignment="true" applyProtection="false">
      <alignment horizontal="left" vertical="bottom" textRotation="0" wrapText="false" indent="0" shrinkToFit="false"/>
      <protection locked="true" hidden="false"/>
    </xf>
    <xf numFmtId="164" fontId="0" fillId="17" borderId="11" xfId="47" applyFont="true" applyBorder="true" applyAlignment="true" applyProtection="false">
      <alignment horizontal="left" vertical="bottom" textRotation="0" wrapText="false" indent="0" shrinkToFit="false"/>
      <protection locked="true" hidden="false"/>
    </xf>
    <xf numFmtId="175" fontId="15" fillId="17" borderId="48" xfId="47" applyFont="true" applyBorder="true" applyAlignment="false" applyProtection="true">
      <alignment horizontal="general" vertical="bottom" textRotation="0" wrapText="false" indent="0" shrinkToFit="false"/>
      <protection locked="true" hidden="false"/>
    </xf>
    <xf numFmtId="170" fontId="40" fillId="0" borderId="0" xfId="39" applyFont="true" applyBorder="false" applyAlignment="false" applyProtection="false">
      <alignment horizontal="general" vertical="bottom" textRotation="0" wrapText="false" indent="0" shrinkToFit="false"/>
      <protection locked="true" hidden="false"/>
    </xf>
    <xf numFmtId="164" fontId="15" fillId="19" borderId="0" xfId="47" applyFont="true" applyBorder="true" applyAlignment="true" applyProtection="false">
      <alignment horizontal="left" vertical="bottom" textRotation="0" wrapText="false" indent="0" shrinkToFit="false"/>
      <protection locked="true" hidden="false"/>
    </xf>
    <xf numFmtId="164" fontId="18" fillId="19" borderId="0" xfId="47" applyFont="true" applyBorder="true" applyAlignment="true" applyProtection="false">
      <alignment horizontal="left" vertical="bottom" textRotation="0" wrapText="false" indent="0" shrinkToFit="false"/>
      <protection locked="true" hidden="false"/>
    </xf>
    <xf numFmtId="164" fontId="0" fillId="19" borderId="0" xfId="47" applyFont="true" applyBorder="true" applyAlignment="true" applyProtection="false">
      <alignment horizontal="left" vertical="bottom" textRotation="0" wrapText="false" indent="0" shrinkToFit="false"/>
      <protection locked="true" hidden="false"/>
    </xf>
    <xf numFmtId="175" fontId="15" fillId="19" borderId="21" xfId="47" applyFont="true" applyBorder="true" applyAlignment="false" applyProtection="true">
      <alignment horizontal="general" vertical="bottom" textRotation="0" wrapText="false" indent="0" shrinkToFit="false"/>
      <protection locked="true" hidden="false"/>
    </xf>
    <xf numFmtId="164" fontId="15" fillId="18" borderId="51" xfId="47" applyFont="true" applyBorder="true" applyAlignment="true" applyProtection="false">
      <alignment horizontal="left" vertical="bottom" textRotation="0" wrapText="false" indent="0" shrinkToFit="false"/>
      <protection locked="true" hidden="false"/>
    </xf>
    <xf numFmtId="164" fontId="4" fillId="18" borderId="11" xfId="39" applyFont="false" applyBorder="true" applyAlignment="false" applyProtection="false">
      <alignment horizontal="general" vertical="bottom" textRotation="0" wrapText="false" indent="0" shrinkToFit="false"/>
      <protection locked="true" hidden="false"/>
    </xf>
    <xf numFmtId="173" fontId="15" fillId="18" borderId="48" xfId="36" applyFont="true" applyBorder="true" applyAlignment="true" applyProtection="true">
      <alignment horizontal="center" vertical="bottom" textRotation="0" wrapText="false" indent="0" shrinkToFit="false"/>
      <protection locked="true" hidden="false"/>
    </xf>
    <xf numFmtId="173" fontId="15" fillId="18" borderId="51" xfId="36" applyFont="true" applyBorder="true" applyAlignment="true" applyProtection="true">
      <alignment horizontal="center" vertical="bottom" textRotation="0" wrapText="false" indent="0" shrinkToFit="false"/>
      <protection locked="true" hidden="false"/>
    </xf>
    <xf numFmtId="164" fontId="15" fillId="20" borderId="33" xfId="47" applyFont="true" applyBorder="true" applyAlignment="true" applyProtection="false">
      <alignment horizontal="left" vertical="bottom" textRotation="0" wrapText="false" indent="0" shrinkToFit="false"/>
      <protection locked="true" hidden="false"/>
    </xf>
    <xf numFmtId="164" fontId="4" fillId="20" borderId="0" xfId="39" applyFont="false" applyBorder="true" applyAlignment="false" applyProtection="false">
      <alignment horizontal="general" vertical="bottom" textRotation="0" wrapText="false" indent="0" shrinkToFit="false"/>
      <protection locked="true" hidden="false"/>
    </xf>
    <xf numFmtId="173" fontId="15" fillId="20" borderId="21" xfId="36" applyFont="true" applyBorder="true" applyAlignment="true" applyProtection="true">
      <alignment horizontal="center" vertical="bottom" textRotation="0" wrapText="false" indent="0" shrinkToFit="false"/>
      <protection locked="true" hidden="false"/>
    </xf>
    <xf numFmtId="173" fontId="15" fillId="20" borderId="33" xfId="36" applyFont="true" applyBorder="true" applyAlignment="true" applyProtection="true">
      <alignment horizontal="center" vertical="bottom" textRotation="0" wrapText="false" indent="0" shrinkToFit="false"/>
      <protection locked="true" hidden="false"/>
    </xf>
    <xf numFmtId="173" fontId="37" fillId="0" borderId="31" xfId="36" applyFont="true" applyBorder="true" applyAlignment="true" applyProtection="true">
      <alignment horizontal="general" vertical="bottom" textRotation="0" wrapText="false" indent="0" shrinkToFit="false"/>
      <protection locked="true" hidden="false"/>
    </xf>
    <xf numFmtId="173" fontId="37" fillId="0" borderId="47" xfId="36" applyFont="true" applyBorder="true" applyAlignment="true" applyProtection="true">
      <alignment horizontal="general" vertical="bottom" textRotation="0" wrapText="false" indent="0" shrinkToFit="false"/>
      <protection locked="true" hidden="false"/>
    </xf>
    <xf numFmtId="164" fontId="4" fillId="0" borderId="51" xfId="39" applyFont="false" applyBorder="true" applyAlignment="false" applyProtection="false">
      <alignment horizontal="general" vertical="bottom" textRotation="0" wrapText="false" indent="0" shrinkToFit="false"/>
      <protection locked="true" hidden="false"/>
    </xf>
    <xf numFmtId="173" fontId="37" fillId="0" borderId="50" xfId="36" applyFont="true" applyBorder="true" applyAlignment="true" applyProtection="true">
      <alignment horizontal="general" vertical="bottom" textRotation="0" wrapText="false" indent="0" shrinkToFit="false"/>
      <protection locked="true" hidden="false"/>
    </xf>
    <xf numFmtId="164" fontId="15" fillId="19" borderId="11" xfId="47" applyFont="true" applyBorder="true" applyAlignment="true" applyProtection="false">
      <alignment horizontal="left" vertical="bottom" textRotation="0" wrapText="false" indent="0" shrinkToFit="false"/>
      <protection locked="true" hidden="false"/>
    </xf>
    <xf numFmtId="164" fontId="18" fillId="19" borderId="11" xfId="47" applyFont="true" applyBorder="true" applyAlignment="true" applyProtection="false">
      <alignment horizontal="left" vertical="bottom" textRotation="0" wrapText="false" indent="0" shrinkToFit="false"/>
      <protection locked="true" hidden="false"/>
    </xf>
    <xf numFmtId="164" fontId="0" fillId="19" borderId="11" xfId="47" applyFont="true" applyBorder="true" applyAlignment="true" applyProtection="false">
      <alignment horizontal="left" vertical="bottom" textRotation="0" wrapText="false" indent="0" shrinkToFit="false"/>
      <protection locked="true" hidden="false"/>
    </xf>
    <xf numFmtId="175" fontId="15" fillId="19" borderId="48" xfId="47" applyFont="true" applyBorder="true" applyAlignment="false" applyProtection="true">
      <alignment horizontal="general" vertical="bottom" textRotation="0" wrapText="false" indent="0" shrinkToFit="false"/>
      <protection locked="true" hidden="false"/>
    </xf>
    <xf numFmtId="164" fontId="15" fillId="13" borderId="0" xfId="47" applyFont="true" applyBorder="true" applyAlignment="true" applyProtection="false">
      <alignment horizontal="left" vertical="bottom" textRotation="0" wrapText="false" indent="0" shrinkToFit="false"/>
      <protection locked="true" hidden="false"/>
    </xf>
    <xf numFmtId="164" fontId="18" fillId="13" borderId="0" xfId="47" applyFont="true" applyBorder="true" applyAlignment="true" applyProtection="false">
      <alignment horizontal="left" vertical="bottom" textRotation="0" wrapText="false" indent="0" shrinkToFit="false"/>
      <protection locked="true" hidden="false"/>
    </xf>
    <xf numFmtId="164" fontId="0" fillId="13" borderId="0" xfId="47" applyFont="true" applyBorder="true" applyAlignment="true" applyProtection="false">
      <alignment horizontal="left" vertical="bottom" textRotation="0" wrapText="false" indent="0" shrinkToFit="false"/>
      <protection locked="true" hidden="false"/>
    </xf>
    <xf numFmtId="175" fontId="15" fillId="13" borderId="21" xfId="39" applyFont="true" applyBorder="true" applyAlignment="false" applyProtection="false">
      <alignment horizontal="general" vertical="bottom" textRotation="0" wrapText="false" indent="0" shrinkToFit="false"/>
      <protection locked="true" hidden="false"/>
    </xf>
    <xf numFmtId="175" fontId="15" fillId="13" borderId="22" xfId="39" applyFont="true" applyBorder="true" applyAlignment="false" applyProtection="false">
      <alignment horizontal="general" vertical="bottom" textRotation="0" wrapText="false" indent="0" shrinkToFit="false"/>
      <protection locked="true" hidden="false"/>
    </xf>
    <xf numFmtId="170" fontId="15" fillId="7" borderId="1" xfId="39" applyFont="true" applyBorder="true" applyAlignment="false" applyProtection="false">
      <alignment horizontal="general" vertical="bottom" textRotation="0" wrapText="false" indent="0" shrinkToFit="false"/>
      <protection locked="true" hidden="false"/>
    </xf>
    <xf numFmtId="164" fontId="15" fillId="20" borderId="51" xfId="47" applyFont="true" applyBorder="true" applyAlignment="true" applyProtection="false">
      <alignment horizontal="left" vertical="bottom" textRotation="0" wrapText="false" indent="0" shrinkToFit="false"/>
      <protection locked="true" hidden="false"/>
    </xf>
    <xf numFmtId="164" fontId="4" fillId="20" borderId="11" xfId="39" applyFont="false" applyBorder="true" applyAlignment="false" applyProtection="false">
      <alignment horizontal="general" vertical="bottom" textRotation="0" wrapText="false" indent="0" shrinkToFit="false"/>
      <protection locked="true" hidden="false"/>
    </xf>
    <xf numFmtId="173" fontId="15" fillId="20" borderId="48" xfId="36" applyFont="true" applyBorder="true" applyAlignment="true" applyProtection="true">
      <alignment horizontal="center" vertical="bottom" textRotation="0" wrapText="false" indent="0" shrinkToFit="false"/>
      <protection locked="true" hidden="false"/>
    </xf>
    <xf numFmtId="173" fontId="15" fillId="20" borderId="51" xfId="36" applyFont="true" applyBorder="true" applyAlignment="true" applyProtection="true">
      <alignment horizontal="center" vertical="bottom" textRotation="0" wrapText="false" indent="0" shrinkToFit="false"/>
      <protection locked="true" hidden="false"/>
    </xf>
    <xf numFmtId="164" fontId="15" fillId="21" borderId="33" xfId="47" applyFont="true" applyBorder="true" applyAlignment="true" applyProtection="false">
      <alignment horizontal="left" vertical="bottom" textRotation="0" wrapText="false" indent="0" shrinkToFit="false"/>
      <protection locked="true" hidden="false"/>
    </xf>
    <xf numFmtId="164" fontId="4" fillId="21" borderId="0" xfId="39" applyFont="false" applyBorder="true" applyAlignment="false" applyProtection="false">
      <alignment horizontal="general" vertical="bottom" textRotation="0" wrapText="false" indent="0" shrinkToFit="false"/>
      <protection locked="true" hidden="false"/>
    </xf>
    <xf numFmtId="173" fontId="15" fillId="21" borderId="21" xfId="36" applyFont="true" applyBorder="true" applyAlignment="true" applyProtection="true">
      <alignment horizontal="center" vertical="bottom" textRotation="0" wrapText="false" indent="0" shrinkToFit="false"/>
      <protection locked="true" hidden="false"/>
    </xf>
    <xf numFmtId="173" fontId="15" fillId="21" borderId="33" xfId="36" applyFont="true" applyBorder="true" applyAlignment="true" applyProtection="true">
      <alignment horizontal="center" vertical="bottom" textRotation="0" wrapText="false" indent="0" shrinkToFit="false"/>
      <protection locked="true" hidden="false"/>
    </xf>
    <xf numFmtId="164" fontId="41" fillId="7" borderId="60" xfId="39" applyFont="true" applyBorder="true" applyAlignment="true" applyProtection="false">
      <alignment horizontal="right" vertical="bottom" textRotation="0" wrapText="false" indent="0" shrinkToFit="false"/>
      <protection locked="true" hidden="false"/>
    </xf>
    <xf numFmtId="164" fontId="15" fillId="13" borderId="11" xfId="47" applyFont="true" applyBorder="true" applyAlignment="true" applyProtection="false">
      <alignment horizontal="left" vertical="bottom" textRotation="0" wrapText="false" indent="0" shrinkToFit="false"/>
      <protection locked="true" hidden="false"/>
    </xf>
    <xf numFmtId="164" fontId="18" fillId="13" borderId="11" xfId="47" applyFont="true" applyBorder="true" applyAlignment="true" applyProtection="false">
      <alignment horizontal="left" vertical="bottom" textRotation="0" wrapText="false" indent="0" shrinkToFit="false"/>
      <protection locked="true" hidden="false"/>
    </xf>
    <xf numFmtId="164" fontId="0" fillId="13" borderId="11" xfId="47" applyFont="true" applyBorder="true" applyAlignment="true" applyProtection="false">
      <alignment horizontal="left" vertical="bottom" textRotation="0" wrapText="false" indent="0" shrinkToFit="false"/>
      <protection locked="true" hidden="false"/>
    </xf>
    <xf numFmtId="175" fontId="15" fillId="13" borderId="48" xfId="39" applyFont="true" applyBorder="true" applyAlignment="false" applyProtection="false">
      <alignment horizontal="general" vertical="bottom" textRotation="0" wrapText="false" indent="0" shrinkToFit="false"/>
      <protection locked="true" hidden="false"/>
    </xf>
    <xf numFmtId="175" fontId="15" fillId="13" borderId="52" xfId="39" applyFont="true" applyBorder="true" applyAlignment="false" applyProtection="false">
      <alignment horizontal="general" vertical="bottom" textRotation="0" wrapText="false" indent="0" shrinkToFit="false"/>
      <protection locked="true" hidden="false"/>
    </xf>
    <xf numFmtId="170" fontId="15" fillId="7" borderId="49" xfId="39" applyFont="true" applyBorder="true" applyAlignment="false" applyProtection="false">
      <alignment horizontal="general" vertical="bottom" textRotation="0" wrapText="false" indent="0" shrinkToFit="false"/>
      <protection locked="true" hidden="false"/>
    </xf>
    <xf numFmtId="164" fontId="15" fillId="21" borderId="51" xfId="47" applyFont="true" applyBorder="true" applyAlignment="true" applyProtection="false">
      <alignment horizontal="left" vertical="bottom" textRotation="0" wrapText="false" indent="0" shrinkToFit="false"/>
      <protection locked="true" hidden="false"/>
    </xf>
    <xf numFmtId="164" fontId="4" fillId="21" borderId="11" xfId="39" applyFont="false" applyBorder="true" applyAlignment="false" applyProtection="false">
      <alignment horizontal="general" vertical="bottom" textRotation="0" wrapText="false" indent="0" shrinkToFit="false"/>
      <protection locked="true" hidden="false"/>
    </xf>
    <xf numFmtId="173" fontId="15" fillId="21" borderId="48" xfId="36" applyFont="true" applyBorder="true" applyAlignment="true" applyProtection="true">
      <alignment horizontal="center" vertical="bottom" textRotation="0" wrapText="false" indent="0" shrinkToFit="false"/>
      <protection locked="true" hidden="false"/>
    </xf>
    <xf numFmtId="173" fontId="15" fillId="21" borderId="51" xfId="36" applyFont="true" applyBorder="true" applyAlignment="true" applyProtection="true">
      <alignment horizontal="center" vertical="bottom" textRotation="0" wrapText="false" indent="0" shrinkToFit="false"/>
      <protection locked="true" hidden="false"/>
    </xf>
    <xf numFmtId="181" fontId="4" fillId="21" borderId="11" xfId="39" applyFont="false" applyBorder="true" applyAlignment="false" applyProtection="false">
      <alignment horizontal="general" vertical="bottom" textRotation="0" wrapText="false" indent="0" shrinkToFit="false"/>
      <protection locked="true" hidden="false"/>
    </xf>
    <xf numFmtId="164" fontId="15" fillId="22" borderId="33" xfId="47" applyFont="true" applyBorder="true" applyAlignment="true" applyProtection="false">
      <alignment horizontal="left" vertical="bottom" textRotation="0" wrapText="false" indent="0" shrinkToFit="false"/>
      <protection locked="true" hidden="false"/>
    </xf>
    <xf numFmtId="164" fontId="4" fillId="22" borderId="0" xfId="39" applyFont="false" applyBorder="true" applyAlignment="false" applyProtection="false">
      <alignment horizontal="general" vertical="bottom" textRotation="0" wrapText="false" indent="0" shrinkToFit="false"/>
      <protection locked="true" hidden="false"/>
    </xf>
    <xf numFmtId="173" fontId="15" fillId="22" borderId="21" xfId="36" applyFont="true" applyBorder="true" applyAlignment="true" applyProtection="true">
      <alignment horizontal="center" vertical="bottom" textRotation="0" wrapText="false" indent="0" shrinkToFit="false"/>
      <protection locked="true" hidden="false"/>
    </xf>
    <xf numFmtId="173" fontId="15" fillId="22" borderId="33" xfId="36" applyFont="true" applyBorder="true" applyAlignment="true" applyProtection="true">
      <alignment horizontal="center" vertical="bottom" textRotation="0" wrapText="false" indent="0" shrinkToFit="false"/>
      <protection locked="true" hidden="false"/>
    </xf>
    <xf numFmtId="175" fontId="15" fillId="17" borderId="21" xfId="39" applyFont="true" applyBorder="true" applyAlignment="false" applyProtection="false">
      <alignment horizontal="general" vertical="bottom" textRotation="0" wrapText="false" indent="0" shrinkToFit="false"/>
      <protection locked="true" hidden="false"/>
    </xf>
    <xf numFmtId="164" fontId="15" fillId="22" borderId="51" xfId="47" applyFont="true" applyBorder="true" applyAlignment="true" applyProtection="false">
      <alignment horizontal="left" vertical="bottom" textRotation="0" wrapText="false" indent="0" shrinkToFit="false"/>
      <protection locked="true" hidden="false"/>
    </xf>
    <xf numFmtId="164" fontId="4" fillId="22" borderId="11" xfId="39" applyFont="false" applyBorder="true" applyAlignment="false" applyProtection="false">
      <alignment horizontal="general" vertical="bottom" textRotation="0" wrapText="false" indent="0" shrinkToFit="false"/>
      <protection locked="true" hidden="false"/>
    </xf>
    <xf numFmtId="173" fontId="15" fillId="22" borderId="48" xfId="36" applyFont="true" applyBorder="true" applyAlignment="true" applyProtection="true">
      <alignment horizontal="center" vertical="bottom" textRotation="0" wrapText="false" indent="0" shrinkToFit="false"/>
      <protection locked="true" hidden="false"/>
    </xf>
    <xf numFmtId="173" fontId="15" fillId="22" borderId="51" xfId="36" applyFont="true" applyBorder="true" applyAlignment="true" applyProtection="true">
      <alignment horizontal="center" vertical="bottom" textRotation="0" wrapText="false" indent="0" shrinkToFit="false"/>
      <protection locked="true" hidden="false"/>
    </xf>
    <xf numFmtId="175" fontId="15" fillId="17" borderId="48" xfId="39" applyFont="true" applyBorder="true" applyAlignment="false" applyProtection="false">
      <alignment horizontal="general" vertical="bottom" textRotation="0" wrapText="false" indent="0" shrinkToFit="false"/>
      <protection locked="true" hidden="false"/>
    </xf>
    <xf numFmtId="164" fontId="15" fillId="23" borderId="0" xfId="47" applyFont="true" applyBorder="true" applyAlignment="true" applyProtection="false">
      <alignment horizontal="left" vertical="bottom" textRotation="0" wrapText="false" indent="0" shrinkToFit="false"/>
      <protection locked="true" hidden="false"/>
    </xf>
    <xf numFmtId="164" fontId="18" fillId="23" borderId="0" xfId="47" applyFont="true" applyBorder="true" applyAlignment="true" applyProtection="false">
      <alignment horizontal="left" vertical="bottom" textRotation="0" wrapText="false" indent="0" shrinkToFit="false"/>
      <protection locked="true" hidden="false"/>
    </xf>
    <xf numFmtId="164" fontId="0" fillId="23" borderId="0" xfId="47" applyFont="true" applyBorder="true" applyAlignment="true" applyProtection="false">
      <alignment horizontal="left" vertical="bottom" textRotation="0" wrapText="false" indent="0" shrinkToFit="false"/>
      <protection locked="true" hidden="false"/>
    </xf>
    <xf numFmtId="175" fontId="15" fillId="23" borderId="21" xfId="39" applyFont="true" applyBorder="true" applyAlignment="false" applyProtection="false">
      <alignment horizontal="general" vertical="bottom" textRotation="0" wrapText="false" indent="0" shrinkToFit="false"/>
      <protection locked="true" hidden="false"/>
    </xf>
    <xf numFmtId="176" fontId="15" fillId="23" borderId="21" xfId="47" applyFont="true" applyBorder="true" applyAlignment="false" applyProtection="true">
      <alignment horizontal="general" vertical="bottom" textRotation="0" wrapText="false" indent="0" shrinkToFit="false"/>
      <protection locked="true" hidden="false"/>
    </xf>
    <xf numFmtId="164" fontId="15" fillId="23" borderId="11" xfId="47" applyFont="true" applyBorder="true" applyAlignment="true" applyProtection="false">
      <alignment horizontal="left" vertical="bottom" textRotation="0" wrapText="false" indent="0" shrinkToFit="false"/>
      <protection locked="true" hidden="false"/>
    </xf>
    <xf numFmtId="164" fontId="18" fillId="23" borderId="11" xfId="47" applyFont="true" applyBorder="true" applyAlignment="true" applyProtection="false">
      <alignment horizontal="left" vertical="bottom" textRotation="0" wrapText="false" indent="0" shrinkToFit="false"/>
      <protection locked="true" hidden="false"/>
    </xf>
    <xf numFmtId="164" fontId="0" fillId="23" borderId="11" xfId="47" applyFont="true" applyBorder="true" applyAlignment="true" applyProtection="false">
      <alignment horizontal="left" vertical="bottom" textRotation="0" wrapText="false" indent="0" shrinkToFit="false"/>
      <protection locked="true" hidden="false"/>
    </xf>
    <xf numFmtId="176" fontId="15" fillId="23" borderId="48" xfId="47" applyFont="true" applyBorder="true" applyAlignment="false" applyProtection="true">
      <alignment horizontal="general" vertical="bottom" textRotation="0" wrapText="false" indent="0" shrinkToFit="false"/>
      <protection locked="true" hidden="false"/>
    </xf>
    <xf numFmtId="164" fontId="15" fillId="24" borderId="0" xfId="47" applyFont="true" applyBorder="true" applyAlignment="true" applyProtection="false">
      <alignment horizontal="left" vertical="bottom" textRotation="0" wrapText="false" indent="0" shrinkToFit="false"/>
      <protection locked="true" hidden="false"/>
    </xf>
    <xf numFmtId="164" fontId="18" fillId="24" borderId="0" xfId="47" applyFont="true" applyBorder="true" applyAlignment="true" applyProtection="false">
      <alignment horizontal="left" vertical="bottom" textRotation="0" wrapText="false" indent="0" shrinkToFit="false"/>
      <protection locked="true" hidden="false"/>
    </xf>
    <xf numFmtId="164" fontId="0" fillId="24" borderId="0" xfId="47" applyFont="true" applyBorder="true" applyAlignment="true" applyProtection="false">
      <alignment horizontal="left" vertical="bottom" textRotation="0" wrapText="false" indent="0" shrinkToFit="false"/>
      <protection locked="true" hidden="false"/>
    </xf>
    <xf numFmtId="175" fontId="18" fillId="24" borderId="21" xfId="47" applyFont="true" applyBorder="true" applyAlignment="false" applyProtection="true">
      <alignment horizontal="general" vertical="bottom" textRotation="0" wrapText="false" indent="0" shrinkToFit="false"/>
      <protection locked="true" hidden="false"/>
    </xf>
    <xf numFmtId="170" fontId="17" fillId="0" borderId="0" xfId="39" applyFont="true" applyBorder="false" applyAlignment="false" applyProtection="false">
      <alignment horizontal="general" vertical="bottom" textRotation="0" wrapText="false" indent="0" shrinkToFit="false"/>
      <protection locked="true" hidden="false"/>
    </xf>
    <xf numFmtId="177" fontId="15" fillId="7" borderId="0" xfId="47" applyFont="true" applyBorder="true" applyAlignment="true" applyProtection="true">
      <alignment horizontal="center" vertical="bottom" textRotation="0" wrapText="false" indent="0" shrinkToFit="false"/>
      <protection locked="true" hidden="false"/>
    </xf>
    <xf numFmtId="164" fontId="4" fillId="0" borderId="0" xfId="39" applyFont="true" applyBorder="false" applyAlignment="true" applyProtection="false">
      <alignment horizontal="general" vertical="bottom" textRotation="0" wrapText="true" indent="0" shrinkToFit="false"/>
      <protection locked="true" hidden="false"/>
    </xf>
    <xf numFmtId="172" fontId="4" fillId="0" borderId="0" xfId="39" applyFont="false" applyBorder="false" applyAlignment="false" applyProtection="false">
      <alignment horizontal="general" vertical="bottom" textRotation="0" wrapText="false" indent="0" shrinkToFit="false"/>
      <protection locked="true" hidden="false"/>
    </xf>
    <xf numFmtId="176" fontId="18" fillId="24" borderId="21" xfId="47" applyFont="true" applyBorder="true" applyAlignment="false" applyProtection="true">
      <alignment horizontal="general" vertical="bottom" textRotation="0" wrapText="false" indent="0" shrinkToFit="false"/>
      <protection locked="true" hidden="false"/>
    </xf>
    <xf numFmtId="164" fontId="42" fillId="0" borderId="0" xfId="39" applyFont="true" applyBorder="false" applyAlignment="false" applyProtection="false">
      <alignment horizontal="general" vertical="bottom" textRotation="0" wrapText="false" indent="0" shrinkToFit="false"/>
      <protection locked="true" hidden="false"/>
    </xf>
    <xf numFmtId="175" fontId="15" fillId="24" borderId="21" xfId="47" applyFont="true" applyBorder="true" applyAlignment="false" applyProtection="true">
      <alignment horizontal="general" vertical="bottom" textRotation="0" wrapText="false" indent="0" shrinkToFit="false"/>
      <protection locked="true" hidden="false"/>
    </xf>
    <xf numFmtId="164" fontId="20" fillId="0" borderId="0" xfId="39" applyFont="true" applyBorder="false" applyAlignment="true" applyProtection="false">
      <alignment horizontal="general" vertical="bottom" textRotation="0" wrapText="true" indent="0" shrinkToFit="false"/>
      <protection locked="true" hidden="false"/>
    </xf>
    <xf numFmtId="176" fontId="15" fillId="24" borderId="21" xfId="47" applyFont="true" applyBorder="true" applyAlignment="false" applyProtection="true">
      <alignment horizontal="general" vertical="bottom" textRotation="0" wrapText="false" indent="0" shrinkToFit="false"/>
      <protection locked="true" hidden="false"/>
    </xf>
    <xf numFmtId="164" fontId="15" fillId="24" borderId="11" xfId="47" applyFont="true" applyBorder="true" applyAlignment="true" applyProtection="false">
      <alignment horizontal="left" vertical="bottom" textRotation="0" wrapText="false" indent="0" shrinkToFit="false"/>
      <protection locked="true" hidden="false"/>
    </xf>
    <xf numFmtId="164" fontId="18" fillId="24" borderId="11" xfId="47" applyFont="true" applyBorder="true" applyAlignment="true" applyProtection="false">
      <alignment horizontal="left" vertical="bottom" textRotation="0" wrapText="false" indent="0" shrinkToFit="false"/>
      <protection locked="true" hidden="false"/>
    </xf>
    <xf numFmtId="164" fontId="0" fillId="24" borderId="11" xfId="47" applyFont="true" applyBorder="true" applyAlignment="true" applyProtection="false">
      <alignment horizontal="left" vertical="bottom" textRotation="0" wrapText="false" indent="0" shrinkToFit="false"/>
      <protection locked="true" hidden="false"/>
    </xf>
    <xf numFmtId="176" fontId="15" fillId="24" borderId="48" xfId="47" applyFont="true" applyBorder="true" applyAlignment="false" applyProtection="true">
      <alignment horizontal="general" vertical="bottom" textRotation="0" wrapText="false" indent="0" shrinkToFit="false"/>
      <protection locked="true" hidden="false"/>
    </xf>
    <xf numFmtId="175" fontId="15" fillId="13" borderId="16" xfId="39" applyFont="true" applyBorder="true" applyAlignment="false" applyProtection="false">
      <alignment horizontal="general" vertical="bottom" textRotation="0" wrapText="false" indent="0" shrinkToFit="false"/>
      <protection locked="true" hidden="false"/>
    </xf>
    <xf numFmtId="170" fontId="15" fillId="7" borderId="22" xfId="47" applyFont="true" applyBorder="true" applyAlignment="false" applyProtection="true">
      <alignment horizontal="general" vertical="bottom" textRotation="0" wrapText="false" indent="0" shrinkToFit="false"/>
      <protection locked="true" hidden="false"/>
    </xf>
    <xf numFmtId="176" fontId="15" fillId="13" borderId="21" xfId="47" applyFont="true" applyBorder="true" applyAlignment="false" applyProtection="true">
      <alignment horizontal="general" vertical="bottom" textRotation="0" wrapText="false" indent="0" shrinkToFit="false"/>
      <protection locked="true" hidden="false"/>
    </xf>
    <xf numFmtId="176" fontId="15" fillId="13" borderId="21" xfId="39" applyFont="true" applyBorder="true" applyAlignment="false" applyProtection="false">
      <alignment horizontal="general" vertical="bottom" textRotation="0" wrapText="false" indent="0" shrinkToFit="false"/>
      <protection locked="true" hidden="false"/>
    </xf>
    <xf numFmtId="170" fontId="15" fillId="7" borderId="22" xfId="39" applyFont="true" applyBorder="true" applyAlignment="false" applyProtection="false">
      <alignment horizontal="general" vertical="bottom" textRotation="0" wrapText="false" indent="0" shrinkToFit="false"/>
      <protection locked="true" hidden="false"/>
    </xf>
    <xf numFmtId="170" fontId="15" fillId="7" borderId="22" xfId="36" applyFont="true" applyBorder="true" applyAlignment="true" applyProtection="true">
      <alignment horizontal="general" vertical="bottom" textRotation="0" wrapText="false" indent="0" shrinkToFit="false"/>
      <protection locked="true" hidden="false"/>
    </xf>
    <xf numFmtId="176" fontId="20" fillId="13" borderId="48" xfId="47" applyFont="true" applyBorder="true" applyAlignment="true" applyProtection="true">
      <alignment horizontal="right" vertical="bottom" textRotation="0" wrapText="false" indent="0" shrinkToFit="false"/>
      <protection locked="true" hidden="false"/>
    </xf>
    <xf numFmtId="170" fontId="20" fillId="0" borderId="48" xfId="47" applyFont="true" applyBorder="true" applyAlignment="true" applyProtection="true">
      <alignment horizontal="right" vertical="bottom" textRotation="0" wrapText="false" indent="0" shrinkToFit="false"/>
      <protection locked="true" hidden="false"/>
    </xf>
    <xf numFmtId="164" fontId="15" fillId="25" borderId="0" xfId="47" applyFont="true" applyBorder="true" applyAlignment="true" applyProtection="false">
      <alignment horizontal="left" vertical="bottom" textRotation="0" wrapText="false" indent="0" shrinkToFit="false"/>
      <protection locked="true" hidden="false"/>
    </xf>
    <xf numFmtId="164" fontId="18" fillId="25" borderId="0" xfId="47" applyFont="true" applyBorder="true" applyAlignment="true" applyProtection="false">
      <alignment horizontal="left" vertical="bottom" textRotation="0" wrapText="false" indent="0" shrinkToFit="false"/>
      <protection locked="true" hidden="false"/>
    </xf>
    <xf numFmtId="164" fontId="0" fillId="25" borderId="0" xfId="47" applyFont="true" applyBorder="true" applyAlignment="true" applyProtection="false">
      <alignment horizontal="left" vertical="bottom" textRotation="0" wrapText="false" indent="0" shrinkToFit="false"/>
      <protection locked="true" hidden="false"/>
    </xf>
    <xf numFmtId="176" fontId="20" fillId="25" borderId="21" xfId="47" applyFont="true" applyBorder="true" applyAlignment="true" applyProtection="true">
      <alignment horizontal="right" vertical="bottom" textRotation="0" wrapText="false" indent="0" shrinkToFit="false"/>
      <protection locked="true" hidden="false"/>
    </xf>
    <xf numFmtId="176" fontId="20" fillId="25" borderId="33" xfId="47" applyFont="true" applyBorder="true" applyAlignment="true" applyProtection="true">
      <alignment horizontal="right" vertical="bottom" textRotation="0" wrapText="false" indent="0" shrinkToFit="false"/>
      <protection locked="true" hidden="false"/>
    </xf>
    <xf numFmtId="164" fontId="0" fillId="25" borderId="11" xfId="47" applyFont="true" applyBorder="true" applyAlignment="true" applyProtection="false">
      <alignment horizontal="left" vertical="bottom" textRotation="0" wrapText="false" indent="0" shrinkToFit="false"/>
      <protection locked="true" hidden="false"/>
    </xf>
    <xf numFmtId="164" fontId="15" fillId="25" borderId="11" xfId="47" applyFont="true" applyBorder="true" applyAlignment="true" applyProtection="false">
      <alignment horizontal="left" vertical="bottom" textRotation="0" wrapText="false" indent="0" shrinkToFit="false"/>
      <protection locked="true" hidden="false"/>
    </xf>
    <xf numFmtId="164" fontId="18" fillId="25" borderId="11" xfId="47" applyFont="true" applyBorder="true" applyAlignment="true" applyProtection="false">
      <alignment horizontal="left" vertical="bottom" textRotation="0" wrapText="false" indent="0" shrinkToFit="false"/>
      <protection locked="true" hidden="false"/>
    </xf>
    <xf numFmtId="176" fontId="20" fillId="25" borderId="48" xfId="47" applyFont="true" applyBorder="true" applyAlignment="true" applyProtection="true">
      <alignment horizontal="right" vertical="bottom" textRotation="0" wrapText="false" indent="0" shrinkToFit="false"/>
      <protection locked="true" hidden="false"/>
    </xf>
    <xf numFmtId="176" fontId="20" fillId="25" borderId="51" xfId="47" applyFont="true" applyBorder="true" applyAlignment="true" applyProtection="true">
      <alignment horizontal="right" vertical="bottom" textRotation="0" wrapText="false" indent="0" shrinkToFit="false"/>
      <protection locked="true" hidden="false"/>
    </xf>
    <xf numFmtId="177" fontId="15" fillId="11" borderId="48" xfId="47" applyFont="true" applyBorder="true" applyAlignment="false" applyProtection="true">
      <alignment horizontal="general" vertical="bottom" textRotation="0" wrapText="false" indent="0" shrinkToFit="false"/>
      <protection locked="true" hidden="false"/>
    </xf>
    <xf numFmtId="177" fontId="20" fillId="0" borderId="48" xfId="47" applyFont="true" applyBorder="true" applyAlignment="true" applyProtection="true">
      <alignment horizontal="right" vertical="bottom" textRotation="0" wrapText="false" indent="0" shrinkToFit="false"/>
      <protection locked="true" hidden="false"/>
    </xf>
    <xf numFmtId="164" fontId="15" fillId="26" borderId="0" xfId="47" applyFont="true" applyBorder="true" applyAlignment="true" applyProtection="false">
      <alignment horizontal="left" vertical="bottom" textRotation="0" wrapText="false" indent="0" shrinkToFit="false"/>
      <protection locked="true" hidden="false"/>
    </xf>
    <xf numFmtId="164" fontId="18" fillId="26" borderId="0" xfId="47" applyFont="true" applyBorder="true" applyAlignment="true" applyProtection="false">
      <alignment horizontal="left" vertical="bottom" textRotation="0" wrapText="false" indent="0" shrinkToFit="false"/>
      <protection locked="true" hidden="false"/>
    </xf>
    <xf numFmtId="164" fontId="0" fillId="26" borderId="0" xfId="47" applyFont="true" applyBorder="true" applyAlignment="true" applyProtection="false">
      <alignment horizontal="left" vertical="bottom" textRotation="0" wrapText="false" indent="0" shrinkToFit="false"/>
      <protection locked="true" hidden="false"/>
    </xf>
    <xf numFmtId="176" fontId="20" fillId="26" borderId="21" xfId="47" applyFont="true" applyBorder="true" applyAlignment="true" applyProtection="true">
      <alignment horizontal="right" vertical="bottom" textRotation="0" wrapText="false" indent="0" shrinkToFit="false"/>
      <protection locked="true" hidden="false"/>
    </xf>
    <xf numFmtId="176" fontId="20" fillId="26" borderId="33" xfId="47" applyFont="true" applyBorder="true" applyAlignment="true" applyProtection="true">
      <alignment horizontal="right" vertical="bottom" textRotation="0" wrapText="false" indent="0" shrinkToFit="false"/>
      <protection locked="true" hidden="false"/>
    </xf>
    <xf numFmtId="170" fontId="37" fillId="0" borderId="21" xfId="39" applyFont="true" applyBorder="true" applyAlignment="false" applyProtection="false">
      <alignment horizontal="general" vertical="bottom" textRotation="0" wrapText="false" indent="0" shrinkToFit="false"/>
      <protection locked="true" hidden="false"/>
    </xf>
    <xf numFmtId="164" fontId="15" fillId="26" borderId="11" xfId="47" applyFont="true" applyBorder="true" applyAlignment="true" applyProtection="false">
      <alignment horizontal="left" vertical="bottom" textRotation="0" wrapText="false" indent="0" shrinkToFit="false"/>
      <protection locked="true" hidden="false"/>
    </xf>
    <xf numFmtId="164" fontId="18" fillId="26" borderId="11" xfId="47" applyFont="true" applyBorder="true" applyAlignment="true" applyProtection="false">
      <alignment horizontal="left" vertical="bottom" textRotation="0" wrapText="false" indent="0" shrinkToFit="false"/>
      <protection locked="true" hidden="false"/>
    </xf>
    <xf numFmtId="164" fontId="0" fillId="26" borderId="11" xfId="47" applyFont="true" applyBorder="true" applyAlignment="true" applyProtection="false">
      <alignment horizontal="left" vertical="bottom" textRotation="0" wrapText="false" indent="0" shrinkToFit="false"/>
      <protection locked="true" hidden="false"/>
    </xf>
    <xf numFmtId="176" fontId="20" fillId="26" borderId="48" xfId="47" applyFont="true" applyBorder="true" applyAlignment="true" applyProtection="true">
      <alignment horizontal="right" vertical="bottom" textRotation="0" wrapText="false" indent="0" shrinkToFit="false"/>
      <protection locked="true" hidden="false"/>
    </xf>
    <xf numFmtId="176" fontId="20" fillId="26" borderId="51" xfId="47" applyFont="true" applyBorder="true" applyAlignment="true" applyProtection="true">
      <alignment horizontal="right" vertical="bottom" textRotation="0" wrapText="false" indent="0" shrinkToFit="false"/>
      <protection locked="true" hidden="false"/>
    </xf>
    <xf numFmtId="170" fontId="37" fillId="0" borderId="48" xfId="39" applyFont="true" applyBorder="true" applyAlignment="false" applyProtection="false">
      <alignment horizontal="general" vertical="bottom" textRotation="0" wrapText="false" indent="0" shrinkToFit="false"/>
      <protection locked="true" hidden="false"/>
    </xf>
    <xf numFmtId="170" fontId="20" fillId="7" borderId="0" xfId="39" applyFont="true" applyBorder="false" applyAlignment="false" applyProtection="false">
      <alignment horizontal="general" vertical="bottom" textRotation="0" wrapText="false" indent="0" shrinkToFit="false"/>
      <protection locked="true" hidden="false"/>
    </xf>
    <xf numFmtId="170" fontId="20" fillId="7" borderId="0" xfId="36" applyFont="true" applyBorder="true" applyAlignment="true" applyProtection="true">
      <alignment horizontal="general" vertical="bottom" textRotation="0" wrapText="false" indent="0" shrinkToFit="false"/>
      <protection locked="true" hidden="false"/>
    </xf>
    <xf numFmtId="170" fontId="20" fillId="7" borderId="0" xfId="39" applyFont="true" applyBorder="false" applyAlignment="true" applyProtection="false">
      <alignment horizontal="right" vertical="bottom" textRotation="0" wrapText="false" indent="0" shrinkToFit="false"/>
      <protection locked="true" hidden="false"/>
    </xf>
    <xf numFmtId="170" fontId="20" fillId="7" borderId="0" xfId="39" applyFont="true" applyBorder="false" applyAlignment="true" applyProtection="false">
      <alignment horizontal="general" vertical="bottom" textRotation="0" wrapText="false" indent="0" shrinkToFit="false"/>
      <protection locked="true" hidden="false"/>
    </xf>
    <xf numFmtId="164" fontId="13" fillId="0" borderId="0" xfId="39" applyFont="true" applyBorder="false" applyAlignment="false" applyProtection="false">
      <alignment horizontal="general" vertical="bottom" textRotation="0" wrapText="false" indent="0" shrinkToFit="false"/>
      <protection locked="true" hidden="false"/>
    </xf>
    <xf numFmtId="164" fontId="43" fillId="27" borderId="0" xfId="21" applyFont="true" applyBorder="true" applyAlignment="true" applyProtection="true">
      <alignment horizontal="general" vertical="bottom" textRotation="0" wrapText="false" indent="0" shrinkToFit="false"/>
      <protection locked="true" hidden="false"/>
    </xf>
    <xf numFmtId="164" fontId="44" fillId="27" borderId="0" xfId="21" applyFont="true" applyBorder="true" applyAlignment="true" applyProtection="true">
      <alignment horizontal="general" vertical="bottom" textRotation="0" wrapText="false" indent="0" shrinkToFit="false"/>
      <protection locked="true" hidden="false"/>
    </xf>
    <xf numFmtId="164" fontId="15" fillId="7" borderId="0" xfId="21" applyFont="true" applyBorder="true" applyAlignment="true" applyProtection="true">
      <alignment horizontal="general" vertical="bottom" textRotation="0" wrapText="false" indent="0" shrinkToFit="false"/>
      <protection locked="true" hidden="false"/>
    </xf>
    <xf numFmtId="164" fontId="18" fillId="7" borderId="0" xfId="21" applyFont="true" applyBorder="true" applyAlignment="true" applyProtection="true">
      <alignment horizontal="general" vertical="bottom" textRotation="0" wrapText="false" indent="0" shrinkToFit="false"/>
      <protection locked="true" hidden="false"/>
    </xf>
    <xf numFmtId="164" fontId="18" fillId="0" borderId="0" xfId="21" applyFont="true" applyBorder="true" applyAlignment="true" applyProtection="true">
      <alignment horizontal="general" vertical="bottom" textRotation="0" wrapText="false" indent="0" shrinkToFit="false"/>
      <protection locked="true" hidden="false"/>
    </xf>
    <xf numFmtId="164" fontId="16" fillId="0" borderId="0" xfId="21" applyFont="true" applyBorder="true" applyAlignment="true" applyProtection="true">
      <alignment horizontal="general" vertical="bottom" textRotation="0" wrapText="false" indent="0" shrinkToFit="false"/>
      <protection locked="true" hidden="false"/>
    </xf>
    <xf numFmtId="164" fontId="45" fillId="0" borderId="0" xfId="42" applyFont="true" applyBorder="true" applyAlignment="true" applyProtection="true">
      <alignment horizontal="general" vertical="center" textRotation="0" wrapText="true" indent="0" shrinkToFit="false"/>
      <protection locked="true" hidden="false"/>
    </xf>
    <xf numFmtId="164" fontId="35" fillId="8" borderId="61" xfId="21" applyFont="true" applyBorder="true" applyAlignment="true" applyProtection="true">
      <alignment horizontal="general" vertical="bottom" textRotation="0" wrapText="false" indent="0" shrinkToFit="false"/>
      <protection locked="true" hidden="false"/>
    </xf>
    <xf numFmtId="164" fontId="19" fillId="8" borderId="61" xfId="21" applyFont="true" applyBorder="true" applyAlignment="true" applyProtection="true">
      <alignment horizontal="center" vertical="center" textRotation="0" wrapText="true" indent="0" shrinkToFit="false"/>
      <protection locked="true" hidden="false"/>
    </xf>
    <xf numFmtId="164" fontId="19" fillId="8" borderId="32" xfId="21" applyFont="true" applyBorder="true" applyAlignment="true" applyProtection="true">
      <alignment horizontal="center" vertical="center" textRotation="0" wrapText="true" indent="0" shrinkToFit="false"/>
      <protection locked="true" hidden="false"/>
    </xf>
    <xf numFmtId="171" fontId="19" fillId="28" borderId="0" xfId="38" applyFont="true" applyBorder="true" applyAlignment="true" applyProtection="true">
      <alignment horizontal="general" vertical="bottom" textRotation="0" wrapText="false" indent="0" shrinkToFit="false"/>
      <protection locked="true" hidden="false"/>
    </xf>
    <xf numFmtId="170" fontId="35" fillId="28" borderId="0" xfId="38" applyFont="true" applyBorder="true" applyAlignment="true" applyProtection="true">
      <alignment horizontal="general" vertical="bottom" textRotation="0" wrapText="false" indent="0" shrinkToFit="false"/>
      <protection locked="true" hidden="false"/>
    </xf>
    <xf numFmtId="171" fontId="19" fillId="7" borderId="0" xfId="38" applyFont="true" applyBorder="true" applyAlignment="true" applyProtection="true">
      <alignment horizontal="general" vertical="bottom" textRotation="0" wrapText="false" indent="0" shrinkToFit="false"/>
      <protection locked="true" hidden="false"/>
    </xf>
    <xf numFmtId="170" fontId="35" fillId="7" borderId="0" xfId="38" applyFont="true" applyBorder="true" applyAlignment="true" applyProtection="true">
      <alignment horizontal="general" vertical="bottom" textRotation="0" wrapText="false" indent="0" shrinkToFit="false"/>
      <protection locked="true" hidden="false"/>
    </xf>
    <xf numFmtId="171" fontId="19" fillId="0" borderId="0" xfId="38" applyFont="true" applyBorder="true" applyAlignment="true" applyProtection="true">
      <alignment horizontal="general" vertical="bottom" textRotation="0" wrapText="false" indent="0" shrinkToFit="false"/>
      <protection locked="true" hidden="false"/>
    </xf>
    <xf numFmtId="170" fontId="35" fillId="0" borderId="0" xfId="38" applyFont="true" applyBorder="true" applyAlignment="true" applyProtection="true">
      <alignment horizontal="general" vertical="bottom" textRotation="0" wrapText="false" indent="0" shrinkToFit="false"/>
      <protection locked="true" hidden="false"/>
    </xf>
    <xf numFmtId="172" fontId="0" fillId="0" borderId="0" xfId="19" applyFont="false" applyBorder="true" applyAlignment="false" applyProtection="true">
      <alignment horizontal="general" vertical="bottom" textRotation="0" wrapText="false" indent="0" shrinkToFit="false"/>
      <protection locked="true" hidden="false"/>
    </xf>
    <xf numFmtId="171" fontId="19" fillId="29" borderId="0" xfId="21" applyFont="true" applyBorder="true" applyAlignment="true" applyProtection="true">
      <alignment horizontal="general" vertical="bottom" textRotation="0" wrapText="false" indent="0" shrinkToFit="false"/>
      <protection locked="true" hidden="false"/>
    </xf>
    <xf numFmtId="170" fontId="35" fillId="29" borderId="0" xfId="21" applyFont="true" applyBorder="true" applyAlignment="true" applyProtection="true">
      <alignment horizontal="general" vertical="bottom" textRotation="0" wrapText="false" indent="0" shrinkToFit="false"/>
      <protection locked="true" hidden="false"/>
    </xf>
    <xf numFmtId="171" fontId="19" fillId="7" borderId="0" xfId="21" applyFont="true" applyBorder="true" applyAlignment="true" applyProtection="true">
      <alignment horizontal="general" vertical="bottom" textRotation="0" wrapText="false" indent="0" shrinkToFit="false"/>
      <protection locked="true" hidden="false"/>
    </xf>
    <xf numFmtId="170" fontId="35" fillId="7" borderId="0" xfId="21" applyFont="true" applyBorder="true" applyAlignment="true" applyProtection="true">
      <alignment horizontal="general" vertical="bottom" textRotation="0" wrapText="false" indent="0" shrinkToFit="false"/>
      <protection locked="true" hidden="false"/>
    </xf>
    <xf numFmtId="171" fontId="46" fillId="7" borderId="0" xfId="21" applyFont="true" applyBorder="true" applyAlignment="true" applyProtection="true">
      <alignment horizontal="center" vertical="center" textRotation="0" wrapText="false" indent="0" shrinkToFit="false"/>
      <protection locked="true" hidden="false"/>
    </xf>
    <xf numFmtId="170" fontId="47" fillId="7" borderId="0" xfId="21" applyFont="true" applyBorder="true" applyAlignment="true" applyProtection="true">
      <alignment horizontal="center" vertical="bottom" textRotation="0" wrapText="false" indent="0" shrinkToFit="false"/>
      <protection locked="true" hidden="false"/>
    </xf>
    <xf numFmtId="171" fontId="46" fillId="30" borderId="0" xfId="21" applyFont="true" applyBorder="true" applyAlignment="true" applyProtection="true">
      <alignment horizontal="center" vertical="center" textRotation="0" wrapText="false" indent="0" shrinkToFit="false"/>
      <protection locked="true" hidden="false"/>
    </xf>
    <xf numFmtId="170" fontId="47" fillId="30" borderId="0" xfId="21" applyFont="true" applyBorder="true" applyAlignment="true" applyProtection="true">
      <alignment horizontal="center" vertical="bottom" textRotation="0" wrapText="false" indent="0" shrinkToFit="false"/>
      <protection locked="true" hidden="false"/>
    </xf>
    <xf numFmtId="164" fontId="44" fillId="27" borderId="0" xfId="20" applyFont="true" applyBorder="true" applyAlignment="true" applyProtection="true">
      <alignment horizontal="general" vertical="bottom" textRotation="0" wrapText="false" indent="0" shrinkToFit="false"/>
      <protection locked="true" hidden="false"/>
    </xf>
    <xf numFmtId="164" fontId="49" fillId="27" borderId="0" xfId="20" applyFont="true" applyBorder="true" applyAlignment="true" applyProtection="true">
      <alignment horizontal="center" vertical="bottom" textRotation="0" wrapText="false" indent="0" shrinkToFit="false"/>
      <protection locked="true" hidden="false"/>
    </xf>
    <xf numFmtId="164" fontId="20" fillId="7" borderId="0" xfId="21" applyFont="true" applyBorder="true" applyAlignment="true" applyProtection="true">
      <alignment horizontal="general" vertical="bottom" textRotation="0" wrapText="false" indent="0" shrinkToFit="false"/>
      <protection locked="true" hidden="false"/>
    </xf>
    <xf numFmtId="171" fontId="19" fillId="29" borderId="0" xfId="21" applyFont="true" applyBorder="true" applyAlignment="true" applyProtection="true">
      <alignment horizontal="right" vertical="bottom" textRotation="0" wrapText="false" indent="0" shrinkToFit="false"/>
      <protection locked="true" hidden="false"/>
    </xf>
    <xf numFmtId="170" fontId="35" fillId="29" borderId="0" xfId="21" applyFont="true" applyBorder="true" applyAlignment="true" applyProtection="true">
      <alignment horizontal="right" vertical="bottom" textRotation="0" wrapText="false" indent="0" shrinkToFit="false"/>
      <protection locked="true" hidden="false"/>
    </xf>
    <xf numFmtId="170" fontId="35" fillId="7" borderId="0" xfId="21" applyFont="true" applyBorder="true" applyAlignment="true" applyProtection="true">
      <alignment horizontal="right" vertical="bottom" textRotation="0" wrapText="false" indent="0" shrinkToFit="false"/>
      <protection locked="true" hidden="false"/>
    </xf>
    <xf numFmtId="171" fontId="19" fillId="29" borderId="0" xfId="21" applyFont="true" applyBorder="true" applyAlignment="true" applyProtection="true">
      <alignment horizontal="left" vertical="bottom" textRotation="0" wrapText="false" indent="0" shrinkToFit="false"/>
      <protection locked="true" hidden="false"/>
    </xf>
    <xf numFmtId="171" fontId="19" fillId="7" borderId="0" xfId="21" applyFont="true" applyBorder="true" applyAlignment="true" applyProtection="true">
      <alignment horizontal="left" vertical="bottom" textRotation="0" wrapText="false" indent="0" shrinkToFit="false"/>
      <protection locked="true" hidden="false"/>
    </xf>
    <xf numFmtId="164" fontId="19" fillId="7" borderId="0" xfId="21" applyFont="true" applyBorder="true" applyAlignment="true" applyProtection="true">
      <alignment horizontal="general" vertical="bottom" textRotation="0" wrapText="false" indent="0" shrinkToFit="false"/>
      <protection locked="true" hidden="false"/>
    </xf>
    <xf numFmtId="171" fontId="50" fillId="0" borderId="0" xfId="21" applyFont="true" applyBorder="true" applyAlignment="true" applyProtection="true">
      <alignment horizontal="general" vertical="bottom" textRotation="0" wrapText="false" indent="0" shrinkToFit="false"/>
      <protection locked="true" hidden="false"/>
    </xf>
    <xf numFmtId="164" fontId="51" fillId="0" borderId="0" xfId="21" applyFont="true" applyBorder="true" applyAlignment="true" applyProtection="true">
      <alignment horizontal="general" vertical="bottom" textRotation="0" wrapText="false" indent="0" shrinkToFit="false"/>
      <protection locked="true" hidden="false"/>
    </xf>
    <xf numFmtId="164" fontId="4" fillId="31" borderId="0" xfId="39" applyFont="false" applyBorder="false" applyAlignment="false" applyProtection="false">
      <alignment horizontal="general" vertical="bottom" textRotation="0" wrapText="false" indent="0" shrinkToFit="false"/>
      <protection locked="true" hidden="false"/>
    </xf>
    <xf numFmtId="164" fontId="52" fillId="31" borderId="0" xfId="39" applyFont="true" applyBorder="true" applyAlignment="true" applyProtection="false">
      <alignment horizontal="justify" vertical="center" textRotation="0" wrapText="false" indent="0" shrinkToFit="false"/>
      <protection locked="true" hidden="false"/>
    </xf>
    <xf numFmtId="164" fontId="4" fillId="31" borderId="0" xfId="39" applyFont="true" applyBorder="false" applyAlignment="true" applyProtection="false">
      <alignment horizontal="justify" vertical="bottom" textRotation="0" wrapText="false" indent="0" shrinkToFit="false"/>
      <protection locked="true" hidden="false"/>
    </xf>
    <xf numFmtId="164" fontId="53" fillId="31" borderId="0" xfId="39" applyFont="true" applyBorder="true" applyAlignment="true" applyProtection="false">
      <alignment horizontal="justify" vertical="center" textRotation="0" wrapText="false" indent="0" shrinkToFit="false"/>
      <protection locked="true" hidden="false"/>
    </xf>
    <xf numFmtId="164" fontId="4" fillId="2" borderId="0" xfId="39" applyFont="true" applyBorder="false" applyAlignment="false" applyProtection="false">
      <alignment horizontal="general" vertical="bottom" textRotation="0" wrapText="false" indent="0" shrinkToFit="false"/>
      <protection locked="true" hidden="false"/>
    </xf>
    <xf numFmtId="170" fontId="4" fillId="2" borderId="0" xfId="39" applyFont="true" applyBorder="false" applyAlignment="false" applyProtection="false">
      <alignment horizontal="general" vertical="bottom" textRotation="0" wrapText="false" indent="0" shrinkToFit="false"/>
      <protection locked="true" hidden="false"/>
    </xf>
    <xf numFmtId="170" fontId="4" fillId="2" borderId="0" xfId="39" applyFont="true" applyBorder="true" applyAlignment="false" applyProtection="false">
      <alignment horizontal="general" vertical="bottom" textRotation="0" wrapText="false" indent="0" shrinkToFit="false"/>
      <protection locked="true" hidden="false"/>
    </xf>
    <xf numFmtId="170" fontId="4" fillId="7" borderId="21" xfId="39" applyFont="false" applyBorder="true" applyAlignment="false" applyProtection="false">
      <alignment horizontal="general" vertical="bottom" textRotation="0" wrapText="false" indent="0" shrinkToFit="false"/>
      <protection locked="true" hidden="false"/>
    </xf>
    <xf numFmtId="180" fontId="4" fillId="7" borderId="0" xfId="39" applyFont="true" applyBorder="false" applyAlignment="false" applyProtection="false">
      <alignment horizontal="general" vertical="bottom" textRotation="0" wrapText="false" indent="0" shrinkToFit="false"/>
      <protection locked="true" hidden="false"/>
    </xf>
    <xf numFmtId="170" fontId="4" fillId="7" borderId="0" xfId="39" applyFont="true" applyBorder="false" applyAlignment="false" applyProtection="false">
      <alignment horizontal="general" vertical="bottom" textRotation="0" wrapText="false" indent="0" shrinkToFit="false"/>
      <protection locked="true" hidden="false"/>
    </xf>
    <xf numFmtId="170" fontId="34" fillId="7" borderId="0" xfId="39" applyFont="true" applyBorder="false" applyAlignment="true" applyProtection="false">
      <alignment horizontal="general" vertical="bottom" textRotation="0" wrapText="true" indent="0" shrinkToFit="false"/>
      <protection locked="true" hidden="false"/>
    </xf>
    <xf numFmtId="170" fontId="4" fillId="23" borderId="21" xfId="39" applyFont="false" applyBorder="true" applyAlignment="false" applyProtection="false">
      <alignment horizontal="general" vertical="bottom" textRotation="0" wrapText="false" indent="0" shrinkToFit="false"/>
      <protection locked="true" hidden="false"/>
    </xf>
    <xf numFmtId="182" fontId="4" fillId="0" borderId="0" xfId="39" applyFont="false" applyBorder="false" applyAlignment="false" applyProtection="false">
      <alignment horizontal="general" vertical="bottom" textRotation="0" wrapText="false" indent="0" shrinkToFit="false"/>
      <protection locked="true" hidden="false"/>
    </xf>
    <xf numFmtId="183" fontId="4" fillId="7" borderId="0" xfId="39" applyFont="true" applyBorder="false" applyAlignment="false" applyProtection="false">
      <alignment horizontal="general" vertical="bottom" textRotation="0" wrapText="false" indent="0" shrinkToFit="false"/>
      <protection locked="true" hidden="false"/>
    </xf>
    <xf numFmtId="171" fontId="16" fillId="0" borderId="0" xfId="39" applyFont="true" applyBorder="false" applyAlignment="false" applyProtection="false">
      <alignment horizontal="general" vertical="bottom" textRotation="0" wrapText="false" indent="0" shrinkToFit="false"/>
      <protection locked="true" hidden="false"/>
    </xf>
    <xf numFmtId="170" fontId="54" fillId="7" borderId="0" xfId="39" applyFont="true" applyBorder="false" applyAlignment="false" applyProtection="false">
      <alignment horizontal="general" vertical="bottom" textRotation="0" wrapText="false" indent="0" shrinkToFit="false"/>
      <protection locked="true" hidden="false"/>
    </xf>
    <xf numFmtId="170" fontId="54" fillId="2" borderId="0" xfId="39" applyFont="true" applyBorder="false" applyAlignment="false" applyProtection="false">
      <alignment horizontal="general" vertical="bottom" textRotation="0" wrapText="false" indent="0" shrinkToFit="false"/>
      <protection locked="true" hidden="false"/>
    </xf>
    <xf numFmtId="170" fontId="55" fillId="0" borderId="0" xfId="39" applyFont="true" applyBorder="false" applyAlignment="false" applyProtection="false">
      <alignment horizontal="general" vertical="bottom" textRotation="0" wrapText="false" indent="0" shrinkToFit="false"/>
      <protection locked="true" hidden="false"/>
    </xf>
    <xf numFmtId="164" fontId="56" fillId="0" borderId="0" xfId="39" applyFont="true" applyBorder="false" applyAlignment="false" applyProtection="false">
      <alignment horizontal="general" vertical="bottom" textRotation="0" wrapText="false" indent="0" shrinkToFit="false"/>
      <protection locked="true" hidden="false"/>
    </xf>
    <xf numFmtId="170" fontId="56" fillId="0" borderId="0" xfId="39" applyFont="true" applyBorder="false" applyAlignment="false" applyProtection="false">
      <alignment horizontal="general" vertical="bottom" textRotation="0" wrapText="false" indent="0" shrinkToFit="false"/>
      <protection locked="true" hidden="false"/>
    </xf>
    <xf numFmtId="170" fontId="57" fillId="2" borderId="0" xfId="39" applyFont="true" applyBorder="false" applyAlignment="false" applyProtection="false">
      <alignment horizontal="general" vertical="bottom" textRotation="0" wrapText="false" indent="0" shrinkToFit="false"/>
      <protection locked="true" hidden="false"/>
    </xf>
    <xf numFmtId="170" fontId="58" fillId="7" borderId="0" xfId="39" applyFont="true" applyBorder="false" applyAlignment="false" applyProtection="false">
      <alignment horizontal="general" vertical="bottom" textRotation="0" wrapText="false" indent="0" shrinkToFit="false"/>
      <protection locked="true" hidden="false"/>
    </xf>
    <xf numFmtId="184" fontId="59" fillId="0" borderId="62" xfId="0" applyFont="true" applyBorder="true" applyAlignment="true" applyProtection="false">
      <alignment horizontal="right" vertical="center" textRotation="0" wrapText="false" indent="0" shrinkToFit="false"/>
      <protection locked="true" hidden="false"/>
    </xf>
    <xf numFmtId="184" fontId="59" fillId="32" borderId="49" xfId="0" applyFont="true" applyBorder="true" applyAlignment="true" applyProtection="false">
      <alignment horizontal="right" vertical="center" textRotation="0" wrapText="false" indent="0" shrinkToFit="false"/>
      <protection locked="true" hidden="false"/>
    </xf>
    <xf numFmtId="164" fontId="4" fillId="0" borderId="0" xfId="39" applyFont="true" applyBorder="true" applyAlignment="true" applyProtection="false">
      <alignment horizontal="center" vertical="center" textRotation="0" wrapText="true" indent="0" shrinkToFit="false"/>
      <protection locked="true" hidden="false"/>
    </xf>
    <xf numFmtId="164" fontId="45" fillId="7" borderId="0" xfId="39" applyFont="true" applyBorder="false" applyAlignment="false" applyProtection="false">
      <alignment horizontal="general" vertical="bottom" textRotation="0" wrapText="false" indent="0" shrinkToFit="false"/>
      <protection locked="true" hidden="false"/>
    </xf>
    <xf numFmtId="164" fontId="60" fillId="0" borderId="0" xfId="39" applyFont="true" applyBorder="false" applyAlignment="true" applyProtection="false">
      <alignment horizontal="general" vertical="bottom" textRotation="0" wrapText="true" indent="0" shrinkToFit="false"/>
      <protection locked="true" hidden="false"/>
    </xf>
    <xf numFmtId="172" fontId="60" fillId="0" borderId="0" xfId="19" applyFont="true" applyBorder="true" applyAlignment="true" applyProtection="true">
      <alignment horizontal="general" vertical="bottom" textRotation="0" wrapText="true" indent="0" shrinkToFit="false"/>
      <protection locked="true" hidden="false"/>
    </xf>
    <xf numFmtId="164" fontId="4" fillId="7" borderId="34" xfId="39" applyFont="true" applyBorder="true" applyAlignment="true" applyProtection="false">
      <alignment horizontal="justify" vertical="center" textRotation="0" wrapText="true" indent="0" shrinkToFit="false"/>
      <protection locked="true" hidden="false"/>
    </xf>
    <xf numFmtId="164" fontId="52" fillId="7" borderId="63" xfId="39" applyFont="true" applyBorder="true" applyAlignment="true" applyProtection="false">
      <alignment horizontal="left" vertical="bottom" textRotation="0" wrapText="false" indent="0" shrinkToFit="false"/>
      <protection locked="true" hidden="false"/>
    </xf>
    <xf numFmtId="164" fontId="4" fillId="33" borderId="34" xfId="39" applyFont="false" applyBorder="true" applyAlignment="true" applyProtection="false">
      <alignment horizontal="left" vertical="bottom" textRotation="0" wrapText="false" indent="0" shrinkToFit="false"/>
      <protection locked="true" hidden="false"/>
    </xf>
    <xf numFmtId="164" fontId="4" fillId="33" borderId="3" xfId="39" applyFont="false" applyBorder="true" applyAlignment="true" applyProtection="false">
      <alignment horizontal="left" vertical="bottom" textRotation="0" wrapText="false" indent="0" shrinkToFit="false"/>
      <protection locked="true" hidden="false"/>
    </xf>
    <xf numFmtId="164" fontId="61" fillId="33" borderId="3" xfId="39" applyFont="true" applyBorder="true" applyAlignment="true" applyProtection="false">
      <alignment horizontal="justify" vertical="center" textRotation="0" wrapText="false" indent="0" shrinkToFit="false"/>
      <protection locked="true" hidden="false"/>
    </xf>
    <xf numFmtId="186" fontId="62" fillId="32" borderId="24" xfId="15" applyFont="true" applyBorder="true" applyAlignment="true" applyProtection="true">
      <alignment horizontal="justify" vertical="bottom" textRotation="0" wrapText="true" indent="0" shrinkToFit="false"/>
      <protection locked="true" hidden="false"/>
    </xf>
    <xf numFmtId="164" fontId="34" fillId="0" borderId="0" xfId="39" applyFont="true" applyBorder="false" applyAlignment="true" applyProtection="false">
      <alignment horizontal="general" vertical="bottom" textRotation="0" wrapText="true" indent="0" shrinkToFit="false"/>
      <protection locked="true" hidden="false"/>
    </xf>
    <xf numFmtId="181" fontId="45" fillId="0" borderId="33" xfId="39" applyFont="true" applyBorder="true" applyAlignment="false" applyProtection="true">
      <alignment horizontal="general" vertical="bottom" textRotation="0" wrapText="false" indent="0" shrinkToFit="false"/>
      <protection locked="true" hidden="false"/>
    </xf>
    <xf numFmtId="164" fontId="4" fillId="7" borderId="22" xfId="39" applyFont="false" applyBorder="true" applyAlignment="false" applyProtection="false">
      <alignment horizontal="general" vertical="bottom" textRotation="0" wrapText="false" indent="0" shrinkToFit="false"/>
      <protection locked="true" hidden="false"/>
    </xf>
    <xf numFmtId="164" fontId="4" fillId="33" borderId="33" xfId="39" applyFont="false" applyBorder="true" applyAlignment="false" applyProtection="false">
      <alignment horizontal="general" vertical="bottom" textRotation="0" wrapText="false" indent="0" shrinkToFit="false"/>
      <protection locked="true" hidden="false"/>
    </xf>
    <xf numFmtId="164" fontId="4" fillId="33" borderId="0" xfId="39" applyFont="false" applyBorder="false" applyAlignment="false" applyProtection="false">
      <alignment horizontal="general" vertical="bottom" textRotation="0" wrapText="false" indent="0" shrinkToFit="false"/>
      <protection locked="true" hidden="false"/>
    </xf>
    <xf numFmtId="164" fontId="61" fillId="0" borderId="0" xfId="39" applyFont="true" applyBorder="false" applyAlignment="false" applyProtection="false">
      <alignment horizontal="general" vertical="bottom" textRotation="0" wrapText="false" indent="0" shrinkToFit="false"/>
      <protection locked="true" hidden="false"/>
    </xf>
    <xf numFmtId="186" fontId="62" fillId="34" borderId="24" xfId="49" applyFont="true" applyBorder="true" applyAlignment="true" applyProtection="true">
      <alignment horizontal="justify" vertical="bottom" textRotation="0" wrapText="true" indent="0" shrinkToFit="false"/>
      <protection locked="true" hidden="false"/>
    </xf>
    <xf numFmtId="164" fontId="4" fillId="7" borderId="22" xfId="39" applyFont="true" applyBorder="true" applyAlignment="false" applyProtection="false">
      <alignment horizontal="general" vertical="bottom" textRotation="0" wrapText="false" indent="0" shrinkToFit="false"/>
      <protection locked="true" hidden="false"/>
    </xf>
    <xf numFmtId="185" fontId="4" fillId="0" borderId="0" xfId="15" applyFont="true" applyBorder="true" applyAlignment="true" applyProtection="true">
      <alignment horizontal="general" vertical="bottom" textRotation="0" wrapText="false" indent="0" shrinkToFit="false"/>
      <protection locked="true" hidden="false"/>
    </xf>
    <xf numFmtId="164" fontId="4" fillId="7" borderId="33" xfId="39" applyFont="false" applyBorder="true" applyAlignment="false" applyProtection="false">
      <alignment horizontal="general" vertical="bottom" textRotation="0" wrapText="false" indent="0" shrinkToFit="false"/>
      <protection locked="true" hidden="false"/>
    </xf>
    <xf numFmtId="164" fontId="4" fillId="33" borderId="22" xfId="39" applyFont="false" applyBorder="true" applyAlignment="false" applyProtection="false">
      <alignment horizontal="general" vertical="bottom" textRotation="0" wrapText="false" indent="0" shrinkToFit="false"/>
      <protection locked="true" hidden="false"/>
    </xf>
    <xf numFmtId="187" fontId="37" fillId="0" borderId="34" xfId="47" applyFont="true" applyBorder="true" applyAlignment="true" applyProtection="false">
      <alignment horizontal="justify" vertical="center" textRotation="0" wrapText="false" indent="0" shrinkToFit="false"/>
      <protection locked="true" hidden="false"/>
    </xf>
    <xf numFmtId="164" fontId="52" fillId="35" borderId="32" xfId="39" applyFont="true" applyBorder="true" applyAlignment="true" applyProtection="false">
      <alignment horizontal="justify" vertical="center" textRotation="0" wrapText="false" indent="0" shrinkToFit="false"/>
      <protection locked="true" hidden="false"/>
    </xf>
    <xf numFmtId="164" fontId="64" fillId="35" borderId="32" xfId="39" applyFont="true" applyBorder="true" applyAlignment="true" applyProtection="false">
      <alignment horizontal="justify" vertical="center" textRotation="0" wrapText="false" indent="0" shrinkToFit="false"/>
      <protection locked="true" hidden="false"/>
    </xf>
    <xf numFmtId="164" fontId="4" fillId="35" borderId="32" xfId="39" applyFont="true" applyBorder="true" applyAlignment="true" applyProtection="false">
      <alignment horizontal="justify" vertical="center" textRotation="0" wrapText="false" indent="0" shrinkToFit="false"/>
      <protection locked="true" hidden="false"/>
    </xf>
    <xf numFmtId="164" fontId="64" fillId="35" borderId="32" xfId="39" applyFont="true" applyBorder="true" applyAlignment="true" applyProtection="false">
      <alignment horizontal="center" vertical="center" textRotation="0" wrapText="false" indent="0" shrinkToFit="false"/>
      <protection locked="true" hidden="false"/>
    </xf>
    <xf numFmtId="164" fontId="20" fillId="35" borderId="32" xfId="39" applyFont="true" applyBorder="true" applyAlignment="true" applyProtection="false">
      <alignment horizontal="justify" vertical="center" textRotation="0" wrapText="false" indent="0" shrinkToFit="false"/>
      <protection locked="true" hidden="false"/>
    </xf>
    <xf numFmtId="164" fontId="64" fillId="35" borderId="32" xfId="39" applyFont="true" applyBorder="true" applyAlignment="true" applyProtection="false">
      <alignment horizontal="center" vertical="bottom" textRotation="0" wrapText="true" indent="0" shrinkToFit="false"/>
      <protection locked="true" hidden="false"/>
    </xf>
    <xf numFmtId="187" fontId="37" fillId="7" borderId="34" xfId="47" applyFont="true" applyBorder="true" applyAlignment="true" applyProtection="false">
      <alignment horizontal="justify" vertical="center" textRotation="0" wrapText="false" indent="0" shrinkToFit="false"/>
      <protection locked="true" hidden="false"/>
    </xf>
    <xf numFmtId="164" fontId="52" fillId="25" borderId="32" xfId="39" applyFont="true" applyBorder="true" applyAlignment="true" applyProtection="false">
      <alignment horizontal="justify" vertical="center" textRotation="0" wrapText="false" indent="0" shrinkToFit="false"/>
      <protection locked="true" hidden="false"/>
    </xf>
    <xf numFmtId="164" fontId="64" fillId="25" borderId="32" xfId="39" applyFont="true" applyBorder="true" applyAlignment="true" applyProtection="false">
      <alignment horizontal="justify" vertical="center" textRotation="0" wrapText="false" indent="0" shrinkToFit="false"/>
      <protection locked="true" hidden="false"/>
    </xf>
    <xf numFmtId="164" fontId="4" fillId="25" borderId="32" xfId="39" applyFont="true" applyBorder="true" applyAlignment="true" applyProtection="false">
      <alignment horizontal="justify" vertical="center" textRotation="0" wrapText="false" indent="0" shrinkToFit="false"/>
      <protection locked="true" hidden="false"/>
    </xf>
    <xf numFmtId="164" fontId="4" fillId="25" borderId="32" xfId="39" applyFont="true" applyBorder="true" applyAlignment="true" applyProtection="false">
      <alignment horizontal="center" vertical="center" textRotation="0" wrapText="false" indent="0" shrinkToFit="false"/>
      <protection locked="true" hidden="false"/>
    </xf>
    <xf numFmtId="164" fontId="20" fillId="25" borderId="32" xfId="39" applyFont="true" applyBorder="true" applyAlignment="true" applyProtection="false">
      <alignment horizontal="justify" vertical="center" textRotation="0" wrapText="false" indent="0" shrinkToFit="false"/>
      <protection locked="true" hidden="false"/>
    </xf>
    <xf numFmtId="164" fontId="20" fillId="25" borderId="32" xfId="39" applyFont="true" applyBorder="true" applyAlignment="true" applyProtection="false">
      <alignment horizontal="center" vertical="center" textRotation="0" wrapText="false" indent="0" shrinkToFit="false"/>
      <protection locked="true" hidden="false"/>
    </xf>
    <xf numFmtId="164" fontId="52" fillId="25" borderId="32" xfId="39" applyFont="true" applyBorder="true" applyAlignment="true" applyProtection="false">
      <alignment horizontal="center" vertical="bottom" textRotation="0" wrapText="true" indent="0" shrinkToFit="false"/>
      <protection locked="true" hidden="false"/>
    </xf>
    <xf numFmtId="164" fontId="4" fillId="25" borderId="32" xfId="39" applyFont="true" applyBorder="true" applyAlignment="true" applyProtection="false">
      <alignment horizontal="center" vertical="bottom" textRotation="0" wrapText="true" indent="0" shrinkToFit="false"/>
      <protection locked="true" hidden="false"/>
    </xf>
    <xf numFmtId="164" fontId="4" fillId="33" borderId="33" xfId="39" applyFont="true" applyBorder="true" applyAlignment="false" applyProtection="false">
      <alignment horizontal="general" vertical="bottom" textRotation="0" wrapText="false" indent="0" shrinkToFit="false"/>
      <protection locked="true" hidden="false"/>
    </xf>
    <xf numFmtId="164" fontId="4" fillId="33" borderId="0" xfId="39" applyFont="true" applyBorder="false" applyAlignment="false" applyProtection="false">
      <alignment horizontal="general" vertical="bottom" textRotation="0" wrapText="false" indent="0" shrinkToFit="false"/>
      <protection locked="true" hidden="false"/>
    </xf>
    <xf numFmtId="164" fontId="4" fillId="33" borderId="22" xfId="39" applyFont="true" applyBorder="true" applyAlignment="false" applyProtection="false">
      <alignment horizontal="general" vertical="bottom" textRotation="0" wrapText="false" indent="0" shrinkToFit="false"/>
      <protection locked="true" hidden="false"/>
    </xf>
    <xf numFmtId="164" fontId="4" fillId="7" borderId="33" xfId="39" applyFont="true" applyBorder="true" applyAlignment="false" applyProtection="false">
      <alignment horizontal="general" vertical="bottom" textRotation="0" wrapText="false" indent="0" shrinkToFit="false"/>
      <protection locked="true" hidden="false"/>
    </xf>
    <xf numFmtId="164" fontId="4" fillId="0" borderId="0" xfId="39" applyFont="true" applyBorder="true" applyAlignment="true" applyProtection="false">
      <alignment horizontal="center" vertical="center" textRotation="0" wrapText="false" indent="0" shrinkToFit="false"/>
      <protection locked="true" hidden="false"/>
    </xf>
    <xf numFmtId="170" fontId="4" fillId="2" borderId="0" xfId="39" applyFont="false" applyBorder="false" applyAlignment="false" applyProtection="false">
      <alignment horizontal="general" vertical="bottom" textRotation="0" wrapText="false" indent="0" shrinkToFit="false"/>
      <protection locked="true" hidden="false"/>
    </xf>
    <xf numFmtId="170" fontId="20" fillId="2" borderId="22" xfId="39" applyFont="true" applyBorder="true" applyAlignment="false" applyProtection="false">
      <alignment horizontal="general" vertical="bottom" textRotation="0" wrapText="false" indent="0" shrinkToFit="false"/>
      <protection locked="true" hidden="false"/>
    </xf>
    <xf numFmtId="170" fontId="4" fillId="2" borderId="33" xfId="39" applyFont="false" applyBorder="true" applyAlignment="false" applyProtection="false">
      <alignment horizontal="general" vertical="bottom" textRotation="0" wrapText="false" indent="0" shrinkToFit="false"/>
      <protection locked="true" hidden="false"/>
    </xf>
    <xf numFmtId="170" fontId="4" fillId="2" borderId="22" xfId="39" applyFont="false" applyBorder="true" applyAlignment="false" applyProtection="false">
      <alignment horizontal="general" vertical="bottom" textRotation="0" wrapText="false" indent="0" shrinkToFit="false"/>
      <protection locked="true" hidden="false"/>
    </xf>
    <xf numFmtId="187" fontId="15" fillId="35" borderId="33" xfId="47" applyFont="true" applyBorder="true" applyAlignment="true" applyProtection="false">
      <alignment horizontal="right" vertical="bottom" textRotation="0" wrapText="false" indent="0" shrinkToFit="false"/>
      <protection locked="true" hidden="false"/>
    </xf>
    <xf numFmtId="170" fontId="38" fillId="23" borderId="21" xfId="39" applyFont="true" applyBorder="true" applyAlignment="false" applyProtection="false">
      <alignment horizontal="general" vertical="bottom" textRotation="0" wrapText="false" indent="0" shrinkToFit="false"/>
      <protection locked="true" hidden="false"/>
    </xf>
    <xf numFmtId="170" fontId="65" fillId="23" borderId="21" xfId="39" applyFont="true" applyBorder="true" applyAlignment="false" applyProtection="false">
      <alignment horizontal="general" vertical="bottom" textRotation="0" wrapText="false" indent="0" shrinkToFit="false"/>
      <protection locked="true" hidden="false"/>
    </xf>
    <xf numFmtId="170" fontId="66" fillId="23" borderId="21" xfId="39" applyFont="true" applyBorder="true" applyAlignment="false" applyProtection="false">
      <alignment horizontal="general" vertical="bottom" textRotation="0" wrapText="false" indent="0" shrinkToFit="false"/>
      <protection locked="true" hidden="false"/>
    </xf>
    <xf numFmtId="170" fontId="67" fillId="23" borderId="21" xfId="39" applyFont="true" applyBorder="true" applyAlignment="false" applyProtection="false">
      <alignment horizontal="general" vertical="bottom" textRotation="0" wrapText="false" indent="0" shrinkToFit="false"/>
      <protection locked="true" hidden="false"/>
    </xf>
    <xf numFmtId="170" fontId="68" fillId="23" borderId="21" xfId="39" applyFont="true" applyBorder="true" applyAlignment="false" applyProtection="false">
      <alignment horizontal="general" vertical="bottom" textRotation="0" wrapText="false" indent="0" shrinkToFit="false"/>
      <protection locked="true" hidden="false"/>
    </xf>
    <xf numFmtId="164" fontId="66" fillId="0" borderId="0" xfId="39" applyFont="true" applyBorder="false" applyAlignment="false" applyProtection="false">
      <alignment horizontal="general" vertical="bottom" textRotation="0" wrapText="false" indent="0" shrinkToFit="false"/>
      <protection locked="true" hidden="false"/>
    </xf>
    <xf numFmtId="164" fontId="38" fillId="25" borderId="32" xfId="39" applyFont="true" applyBorder="true" applyAlignment="true" applyProtection="false">
      <alignment horizontal="justify" vertical="center" textRotation="0" wrapText="false" indent="0" shrinkToFit="false"/>
      <protection locked="true" hidden="false"/>
    </xf>
    <xf numFmtId="170" fontId="38" fillId="36" borderId="21" xfId="39" applyFont="true" applyBorder="true" applyAlignment="false" applyProtection="false">
      <alignment horizontal="general" vertical="bottom" textRotation="0" wrapText="false" indent="0" shrinkToFit="false"/>
      <protection locked="true" hidden="false"/>
    </xf>
    <xf numFmtId="170" fontId="66" fillId="36" borderId="21" xfId="39" applyFont="true" applyBorder="true" applyAlignment="false" applyProtection="false">
      <alignment horizontal="general" vertical="bottom" textRotation="0" wrapText="false" indent="0" shrinkToFit="false"/>
      <protection locked="true" hidden="false"/>
    </xf>
    <xf numFmtId="170" fontId="67" fillId="36" borderId="21" xfId="39" applyFont="true" applyBorder="true" applyAlignment="false" applyProtection="false">
      <alignment horizontal="general" vertical="bottom" textRotation="0" wrapText="false" indent="0" shrinkToFit="false"/>
      <protection locked="true" hidden="false"/>
    </xf>
    <xf numFmtId="170" fontId="13" fillId="36" borderId="21" xfId="39" applyFont="true" applyBorder="true" applyAlignment="false" applyProtection="false">
      <alignment horizontal="general" vertical="bottom" textRotation="0" wrapText="false" indent="0" shrinkToFit="false"/>
      <protection locked="true" hidden="false"/>
    </xf>
    <xf numFmtId="170" fontId="69" fillId="36" borderId="21" xfId="39" applyFont="true" applyBorder="true" applyAlignment="false" applyProtection="false">
      <alignment horizontal="general" vertical="bottom" textRotation="0" wrapText="false" indent="0" shrinkToFit="false"/>
      <protection locked="true" hidden="false"/>
    </xf>
    <xf numFmtId="170" fontId="20" fillId="7" borderId="22" xfId="39" applyFont="true" applyBorder="true" applyAlignment="false" applyProtection="false">
      <alignment horizontal="general" vertical="bottom" textRotation="0" wrapText="false" indent="0" shrinkToFit="false"/>
      <protection locked="true" hidden="false"/>
    </xf>
    <xf numFmtId="170" fontId="4" fillId="7" borderId="33" xfId="39" applyFont="false" applyBorder="true" applyAlignment="false" applyProtection="false">
      <alignment horizontal="general" vertical="bottom" textRotation="0" wrapText="false" indent="0" shrinkToFit="false"/>
      <protection locked="true" hidden="false"/>
    </xf>
    <xf numFmtId="170" fontId="4" fillId="7" borderId="22" xfId="39" applyFont="false" applyBorder="true" applyAlignment="false" applyProtection="false">
      <alignment horizontal="general" vertical="bottom" textRotation="0" wrapText="false" indent="0" shrinkToFit="false"/>
      <protection locked="true" hidden="false"/>
    </xf>
    <xf numFmtId="170" fontId="38" fillId="7" borderId="21" xfId="39" applyFont="true" applyBorder="true" applyAlignment="false" applyProtection="false">
      <alignment horizontal="general" vertical="bottom" textRotation="0" wrapText="false" indent="0" shrinkToFit="false"/>
      <protection locked="true" hidden="false"/>
    </xf>
    <xf numFmtId="170" fontId="65" fillId="7" borderId="21" xfId="39" applyFont="true" applyBorder="true" applyAlignment="false" applyProtection="false">
      <alignment horizontal="general" vertical="bottom" textRotation="0" wrapText="false" indent="0" shrinkToFit="false"/>
      <protection locked="true" hidden="false"/>
    </xf>
    <xf numFmtId="170" fontId="66" fillId="7" borderId="21" xfId="39" applyFont="true" applyBorder="true" applyAlignment="false" applyProtection="false">
      <alignment horizontal="general" vertical="bottom" textRotation="0" wrapText="false" indent="0" shrinkToFit="false"/>
      <protection locked="true" hidden="false"/>
    </xf>
    <xf numFmtId="170" fontId="67" fillId="7" borderId="21" xfId="39" applyFont="true" applyBorder="true" applyAlignment="false" applyProtection="false">
      <alignment horizontal="general" vertical="bottom" textRotation="0" wrapText="false" indent="0" shrinkToFit="false"/>
      <protection locked="true" hidden="false"/>
    </xf>
    <xf numFmtId="170" fontId="14" fillId="0" borderId="0" xfId="39" applyFont="true" applyBorder="false" applyAlignment="true" applyProtection="false">
      <alignment horizontal="general" vertical="bottom" textRotation="0" wrapText="true" indent="0" shrinkToFit="false"/>
      <protection locked="true" hidden="false"/>
    </xf>
    <xf numFmtId="164" fontId="66" fillId="7" borderId="21" xfId="39" applyFont="true" applyBorder="true" applyAlignment="false" applyProtection="false">
      <alignment horizontal="general" vertical="bottom" textRotation="0" wrapText="false" indent="0" shrinkToFit="false"/>
      <protection locked="true" hidden="false"/>
    </xf>
    <xf numFmtId="164" fontId="38" fillId="25" borderId="21" xfId="39" applyFont="true" applyBorder="true" applyAlignment="true" applyProtection="false">
      <alignment horizontal="justify" vertical="center" textRotation="0" wrapText="false" indent="0" shrinkToFit="false"/>
      <protection locked="true" hidden="false"/>
    </xf>
    <xf numFmtId="170" fontId="13" fillId="0" borderId="0" xfId="39" applyFont="true" applyBorder="false" applyAlignment="true" applyProtection="false">
      <alignment horizontal="general" vertical="bottom" textRotation="0" wrapText="true" indent="0" shrinkToFit="false"/>
      <protection locked="true" hidden="false"/>
    </xf>
    <xf numFmtId="170" fontId="70" fillId="0" borderId="0" xfId="39" applyFont="true" applyBorder="false" applyAlignment="true" applyProtection="false">
      <alignment horizontal="general" vertical="bottom" textRotation="0" wrapText="true" indent="0" shrinkToFit="false"/>
      <protection locked="true" hidden="false"/>
    </xf>
    <xf numFmtId="164" fontId="69" fillId="7" borderId="21" xfId="39" applyFont="true" applyBorder="true" applyAlignment="false" applyProtection="false">
      <alignment horizontal="general" vertical="bottom" textRotation="0" wrapText="false" indent="0" shrinkToFit="false"/>
      <protection locked="true" hidden="false"/>
    </xf>
    <xf numFmtId="164" fontId="66" fillId="23" borderId="21" xfId="39" applyFont="true" applyBorder="true" applyAlignment="false" applyProtection="false">
      <alignment horizontal="general" vertical="bottom" textRotation="0" wrapText="false" indent="0" shrinkToFit="false"/>
      <protection locked="true" hidden="false"/>
    </xf>
    <xf numFmtId="164" fontId="66" fillId="36" borderId="21" xfId="39" applyFont="true" applyBorder="true" applyAlignment="false" applyProtection="false">
      <alignment horizontal="general" vertical="bottom" textRotation="0" wrapText="false" indent="0" shrinkToFit="false"/>
      <protection locked="true" hidden="false"/>
    </xf>
    <xf numFmtId="164" fontId="69" fillId="36" borderId="21" xfId="39" applyFont="true" applyBorder="true" applyAlignment="false" applyProtection="false">
      <alignment horizontal="general" vertical="bottom" textRotation="0" wrapText="false" indent="0" shrinkToFit="false"/>
      <protection locked="true" hidden="false"/>
    </xf>
    <xf numFmtId="170" fontId="71" fillId="0" borderId="0" xfId="39" applyFont="true" applyBorder="false" applyAlignment="true" applyProtection="false">
      <alignment horizontal="general" vertical="bottom" textRotation="0" wrapText="true" indent="0" shrinkToFit="false"/>
      <protection locked="true" hidden="false"/>
    </xf>
    <xf numFmtId="170" fontId="13" fillId="0" borderId="0" xfId="39" applyFont="true" applyBorder="false" applyAlignment="false" applyProtection="false">
      <alignment horizontal="general" vertical="bottom" textRotation="0" wrapText="false" indent="0" shrinkToFit="false"/>
      <protection locked="true" hidden="false"/>
    </xf>
    <xf numFmtId="170" fontId="70" fillId="7" borderId="21" xfId="39" applyFont="true" applyBorder="true" applyAlignment="false" applyProtection="false">
      <alignment horizontal="general" vertical="bottom" textRotation="0" wrapText="false" indent="0" shrinkToFit="false"/>
      <protection locked="true" hidden="false"/>
    </xf>
    <xf numFmtId="170" fontId="13" fillId="7" borderId="21" xfId="39" applyFont="true" applyBorder="true" applyAlignment="false" applyProtection="false">
      <alignment horizontal="general" vertical="bottom" textRotation="0" wrapText="false" indent="0" shrinkToFit="false"/>
      <protection locked="true" hidden="false"/>
    </xf>
    <xf numFmtId="170" fontId="17" fillId="0" borderId="0" xfId="39" applyFont="true" applyBorder="false" applyAlignment="true" applyProtection="false">
      <alignment horizontal="right" vertical="bottom" textRotation="0" wrapText="false" indent="0" shrinkToFit="false"/>
      <protection locked="true" hidden="false"/>
    </xf>
    <xf numFmtId="172" fontId="66" fillId="0" borderId="0" xfId="39" applyFont="true" applyBorder="false" applyAlignment="false" applyProtection="false">
      <alignment horizontal="general" vertical="bottom" textRotation="0" wrapText="false" indent="0" shrinkToFit="false"/>
      <protection locked="true" hidden="false"/>
    </xf>
    <xf numFmtId="170" fontId="72" fillId="0" borderId="0" xfId="39" applyFont="true" applyBorder="false" applyAlignment="false" applyProtection="false">
      <alignment horizontal="general" vertical="bottom" textRotation="0" wrapText="false" indent="0" shrinkToFit="false"/>
      <protection locked="true" hidden="false"/>
    </xf>
    <xf numFmtId="170" fontId="14" fillId="7" borderId="21" xfId="39" applyFont="true" applyBorder="true" applyAlignment="false" applyProtection="false">
      <alignment horizontal="general" vertical="bottom" textRotation="0" wrapText="false" indent="0" shrinkToFit="false"/>
      <protection locked="true" hidden="false"/>
    </xf>
    <xf numFmtId="172" fontId="7" fillId="0" borderId="0" xfId="48" applyFont="false" applyBorder="true" applyAlignment="true" applyProtection="true">
      <alignment horizontal="general" vertical="bottom" textRotation="0" wrapText="false" indent="0" shrinkToFit="false"/>
      <protection locked="true" hidden="false"/>
    </xf>
    <xf numFmtId="170" fontId="70" fillId="23" borderId="21" xfId="39" applyFont="true" applyBorder="true" applyAlignment="false" applyProtection="false">
      <alignment horizontal="general" vertical="bottom" textRotation="0" wrapText="false" indent="0" shrinkToFit="false"/>
      <protection locked="true" hidden="false"/>
    </xf>
    <xf numFmtId="164" fontId="73" fillId="0" borderId="0" xfId="39" applyFont="true" applyBorder="false" applyAlignment="false" applyProtection="false">
      <alignment horizontal="general" vertical="bottom" textRotation="0" wrapText="false" indent="0" shrinkToFit="false"/>
      <protection locked="true" hidden="false"/>
    </xf>
    <xf numFmtId="170" fontId="74" fillId="36" borderId="21" xfId="39" applyFont="true" applyBorder="true" applyAlignment="false" applyProtection="false">
      <alignment horizontal="general" vertical="bottom" textRotation="0" wrapText="false" indent="0" shrinkToFit="false"/>
      <protection locked="true" hidden="false"/>
    </xf>
    <xf numFmtId="164" fontId="4" fillId="33" borderId="44" xfId="39" applyFont="false" applyBorder="true" applyAlignment="false" applyProtection="false">
      <alignment horizontal="general" vertical="bottom" textRotation="0" wrapText="false" indent="0" shrinkToFit="false"/>
      <protection locked="true" hidden="false"/>
    </xf>
    <xf numFmtId="170" fontId="4" fillId="7" borderId="26" xfId="39" applyFont="false" applyBorder="true" applyAlignment="false" applyProtection="false">
      <alignment horizontal="general" vertical="bottom" textRotation="0" wrapText="false" indent="0" shrinkToFit="false"/>
      <protection locked="true" hidden="false"/>
    </xf>
    <xf numFmtId="170" fontId="4" fillId="7" borderId="27" xfId="39" applyFont="false" applyBorder="true" applyAlignment="false" applyProtection="false">
      <alignment horizontal="general" vertical="bottom" textRotation="0" wrapText="false" indent="0" shrinkToFit="false"/>
      <protection locked="true" hidden="false"/>
    </xf>
    <xf numFmtId="170" fontId="13" fillId="23" borderId="21" xfId="39" applyFont="true" applyBorder="true" applyAlignment="false" applyProtection="false">
      <alignment horizontal="general" vertical="bottom" textRotation="0" wrapText="false" indent="0" shrinkToFit="false"/>
      <protection locked="true" hidden="false"/>
    </xf>
    <xf numFmtId="170" fontId="74" fillId="23" borderId="21" xfId="39" applyFont="true" applyBorder="true" applyAlignment="false" applyProtection="false">
      <alignment horizontal="general" vertical="bottom" textRotation="0" wrapText="false" indent="0" shrinkToFit="false"/>
      <protection locked="true" hidden="false"/>
    </xf>
    <xf numFmtId="164" fontId="67" fillId="23" borderId="21" xfId="39" applyFont="true" applyBorder="true" applyAlignment="false" applyProtection="false">
      <alignment horizontal="general" vertical="bottom" textRotation="0" wrapText="false" indent="0" shrinkToFit="false"/>
      <protection locked="true" hidden="false"/>
    </xf>
    <xf numFmtId="164" fontId="67" fillId="0" borderId="0" xfId="39" applyFont="true" applyBorder="false" applyAlignment="false" applyProtection="false">
      <alignment horizontal="general" vertical="bottom" textRotation="0" wrapText="false" indent="0" shrinkToFit="false"/>
      <protection locked="true" hidden="false"/>
    </xf>
    <xf numFmtId="170" fontId="14" fillId="36" borderId="21" xfId="39" applyFont="true" applyBorder="true" applyAlignment="false" applyProtection="false">
      <alignment horizontal="general" vertical="bottom" textRotation="0" wrapText="false" indent="0" shrinkToFit="false"/>
      <protection locked="true" hidden="false"/>
    </xf>
    <xf numFmtId="164" fontId="75" fillId="36" borderId="21" xfId="39" applyFont="true" applyBorder="true" applyAlignment="false" applyProtection="false">
      <alignment horizontal="general" vertical="bottom" textRotation="0" wrapText="false" indent="0" shrinkToFit="false"/>
      <protection locked="true" hidden="false"/>
    </xf>
    <xf numFmtId="173" fontId="76" fillId="0" borderId="0" xfId="36" applyFont="true" applyBorder="true" applyAlignment="true" applyProtection="true">
      <alignment horizontal="general" vertical="bottom" textRotation="0" wrapText="true" indent="0" shrinkToFit="false"/>
      <protection locked="true" hidden="false"/>
    </xf>
    <xf numFmtId="188" fontId="14" fillId="0" borderId="0" xfId="39" applyFont="true" applyBorder="false" applyAlignment="true" applyProtection="false">
      <alignment horizontal="general" vertical="bottom" textRotation="0" wrapText="true" indent="0" shrinkToFit="false"/>
      <protection locked="true" hidden="false"/>
    </xf>
    <xf numFmtId="164" fontId="67" fillId="7" borderId="21" xfId="39" applyFont="true" applyBorder="true" applyAlignment="false" applyProtection="false">
      <alignment horizontal="general" vertical="bottom" textRotation="0" wrapText="false" indent="0" shrinkToFit="false"/>
      <protection locked="true" hidden="false"/>
    </xf>
    <xf numFmtId="172" fontId="77" fillId="0" borderId="0" xfId="39" applyFont="true" applyBorder="false" applyAlignment="false" applyProtection="false">
      <alignment horizontal="general" vertical="bottom" textRotation="0" wrapText="false" indent="0" shrinkToFit="false"/>
      <protection locked="true" hidden="false"/>
    </xf>
    <xf numFmtId="170" fontId="78" fillId="23" borderId="21" xfId="39" applyFont="true" applyBorder="true" applyAlignment="false" applyProtection="false">
      <alignment horizontal="general" vertical="bottom" textRotation="0" wrapText="false" indent="0" shrinkToFit="false"/>
      <protection locked="true" hidden="false"/>
    </xf>
    <xf numFmtId="189" fontId="4" fillId="0" borderId="0" xfId="15" applyFont="true" applyBorder="true" applyAlignment="true" applyProtection="true">
      <alignment horizontal="general" vertical="bottom" textRotation="0" wrapText="false" indent="0" shrinkToFit="false"/>
      <protection locked="true" hidden="false"/>
    </xf>
    <xf numFmtId="181" fontId="79" fillId="0" borderId="33" xfId="0" applyFont="true" applyBorder="true" applyAlignment="false" applyProtection="true">
      <alignment horizontal="general" vertical="bottom" textRotation="0" wrapText="false" indent="0" shrinkToFit="false"/>
      <protection locked="true" hidden="false"/>
    </xf>
    <xf numFmtId="186" fontId="4" fillId="0" borderId="0" xfId="39" applyFont="false" applyBorder="false" applyAlignment="false" applyProtection="false">
      <alignment horizontal="general" vertical="bottom" textRotation="0" wrapText="false" indent="0" shrinkToFit="false"/>
      <protection locked="true" hidden="false"/>
    </xf>
    <xf numFmtId="184" fontId="4" fillId="7" borderId="0" xfId="42" applyFont="true" applyBorder="true" applyAlignment="false" applyProtection="true">
      <alignment horizontal="general" vertical="bottom" textRotation="0" wrapText="false" indent="0" shrinkToFit="false"/>
      <protection locked="true" hidden="false"/>
    </xf>
    <xf numFmtId="173" fontId="7" fillId="0" borderId="0" xfId="36" applyFont="false" applyBorder="true" applyAlignment="true" applyProtection="true">
      <alignment horizontal="general" vertical="bottom" textRotation="0" wrapText="false" indent="0" shrinkToFit="false"/>
      <protection locked="true" hidden="false"/>
    </xf>
    <xf numFmtId="165" fontId="7" fillId="0" borderId="0" xfId="36" applyFont="false" applyBorder="true" applyAlignment="true" applyProtection="true">
      <alignment horizontal="general" vertical="bottom" textRotation="0" wrapText="false" indent="0" shrinkToFit="false"/>
      <protection locked="true" hidden="false"/>
    </xf>
    <xf numFmtId="185" fontId="0" fillId="0" borderId="0" xfId="15" applyFont="false" applyBorder="true" applyAlignment="false" applyProtection="true">
      <alignment horizontal="general" vertical="bottom" textRotation="0" wrapText="false" indent="0" shrinkToFit="false"/>
      <protection locked="true" hidden="false"/>
    </xf>
    <xf numFmtId="181" fontId="80" fillId="0" borderId="33" xfId="40" applyFont="true" applyBorder="true" applyAlignment="false" applyProtection="true">
      <alignment horizontal="general" vertical="bottom" textRotation="0" wrapText="false" indent="0" shrinkToFit="false"/>
      <protection locked="true" hidden="false"/>
    </xf>
    <xf numFmtId="170" fontId="81" fillId="0" borderId="21" xfId="0" applyFont="true" applyBorder="true" applyAlignment="true" applyProtection="true">
      <alignment horizontal="right" vertical="center" textRotation="0" wrapText="true" indent="0" shrinkToFit="false"/>
      <protection locked="true" hidden="false"/>
    </xf>
    <xf numFmtId="164" fontId="82" fillId="0" borderId="0" xfId="39" applyFont="true" applyBorder="false" applyAlignment="true" applyProtection="false">
      <alignment horizontal="justify" vertical="center" textRotation="0" wrapText="false" indent="0" shrinkToFit="false"/>
      <protection locked="true" hidden="false"/>
    </xf>
    <xf numFmtId="181" fontId="84" fillId="0" borderId="0" xfId="39" applyFont="true" applyBorder="false" applyAlignment="false" applyProtection="false">
      <alignment horizontal="general" vertical="bottom" textRotation="0" wrapText="false" indent="0" shrinkToFit="false"/>
      <protection locked="true" hidden="false"/>
    </xf>
    <xf numFmtId="190" fontId="4" fillId="7" borderId="0" xfId="39" applyFont="true" applyBorder="false" applyAlignment="false" applyProtection="false">
      <alignment horizontal="general" vertical="bottom" textRotation="0" wrapText="false" indent="0" shrinkToFit="false"/>
      <protection locked="true" hidden="false"/>
    </xf>
    <xf numFmtId="184" fontId="4" fillId="0" borderId="0" xfId="39" applyFont="false" applyBorder="false" applyAlignment="false" applyProtection="false">
      <alignment horizontal="general" vertical="bottom" textRotation="0" wrapText="false" indent="0" shrinkToFit="false"/>
      <protection locked="true" hidden="false"/>
    </xf>
    <xf numFmtId="185" fontId="4" fillId="0" borderId="0" xfId="39" applyFont="false" applyBorder="false" applyAlignment="false" applyProtection="false">
      <alignment horizontal="general" vertical="bottom" textRotation="0" wrapText="false" indent="0" shrinkToFit="false"/>
      <protection locked="true" hidden="false"/>
    </xf>
    <xf numFmtId="184" fontId="85" fillId="0" borderId="1" xfId="0" applyFont="true" applyBorder="true" applyAlignment="true" applyProtection="false">
      <alignment horizontal="right" vertical="bottom" textRotation="0" wrapText="false" indent="0" shrinkToFit="false"/>
      <protection locked="true" hidden="false"/>
    </xf>
    <xf numFmtId="173" fontId="7" fillId="0" borderId="0" xfId="36" applyFont="true" applyBorder="true" applyAlignment="true" applyProtection="true">
      <alignment horizontal="general" vertical="bottom" textRotation="0" wrapText="false" indent="0" shrinkToFit="false"/>
      <protection locked="true" hidden="false"/>
    </xf>
    <xf numFmtId="170" fontId="77" fillId="36" borderId="21" xfId="39" applyFont="true" applyBorder="true" applyAlignment="false" applyProtection="false">
      <alignment horizontal="general" vertical="bottom" textRotation="0" wrapText="false" indent="0" shrinkToFit="false"/>
      <protection locked="true" hidden="false"/>
    </xf>
    <xf numFmtId="170" fontId="64" fillId="36" borderId="21" xfId="39" applyFont="true" applyBorder="true" applyAlignment="false" applyProtection="false">
      <alignment horizontal="general" vertical="bottom" textRotation="0" wrapText="false" indent="0" shrinkToFit="false"/>
      <protection locked="true" hidden="false"/>
    </xf>
    <xf numFmtId="189" fontId="0" fillId="0" borderId="0" xfId="15" applyFont="false" applyBorder="true" applyAlignment="false" applyProtection="true">
      <alignment horizontal="general" vertical="bottom" textRotation="0" wrapText="false" indent="0" shrinkToFit="false"/>
      <protection locked="true" hidden="false"/>
    </xf>
    <xf numFmtId="170" fontId="86" fillId="0" borderId="0" xfId="39" applyFont="true" applyBorder="false" applyAlignment="false" applyProtection="false">
      <alignment horizontal="general" vertical="bottom" textRotation="0" wrapText="false" indent="0" shrinkToFit="false"/>
      <protection locked="true" hidden="false"/>
    </xf>
    <xf numFmtId="191" fontId="4" fillId="0" borderId="0" xfId="39" applyFont="false" applyBorder="false" applyAlignment="false" applyProtection="false">
      <alignment horizontal="general" vertical="bottom" textRotation="0" wrapText="false" indent="0" shrinkToFit="false"/>
      <protection locked="true" hidden="false"/>
    </xf>
    <xf numFmtId="181" fontId="80" fillId="0" borderId="33" xfId="39" applyFont="true" applyBorder="true" applyAlignment="false" applyProtection="true">
      <alignment horizontal="general" vertical="bottom" textRotation="0" wrapText="false" indent="0" shrinkToFit="false"/>
      <protection locked="true" hidden="false"/>
    </xf>
    <xf numFmtId="172" fontId="4" fillId="37" borderId="0" xfId="39" applyFont="false" applyBorder="true" applyAlignment="true" applyProtection="false">
      <alignment horizontal="center" vertical="center" textRotation="0" wrapText="false" indent="0" shrinkToFit="false"/>
      <protection locked="true" hidden="false"/>
    </xf>
    <xf numFmtId="172" fontId="4" fillId="38" borderId="0" xfId="39" applyFont="true" applyBorder="true" applyAlignment="true" applyProtection="false">
      <alignment horizontal="justify" vertical="center" textRotation="0" wrapText="false" indent="0" shrinkToFit="false"/>
      <protection locked="true" hidden="false"/>
    </xf>
    <xf numFmtId="172" fontId="87" fillId="0" borderId="0" xfId="39" applyFont="true" applyBorder="false" applyAlignment="false" applyProtection="false">
      <alignment horizontal="general" vertical="bottom" textRotation="0" wrapText="false" indent="0" shrinkToFit="false"/>
      <protection locked="true" hidden="false"/>
    </xf>
    <xf numFmtId="184" fontId="85" fillId="0" borderId="1" xfId="39" applyFont="true" applyBorder="true" applyAlignment="true" applyProtection="false">
      <alignment horizontal="right" vertical="bottom" textRotation="0" wrapText="false" indent="0" shrinkToFit="false"/>
      <protection locked="true" hidden="false"/>
    </xf>
    <xf numFmtId="164" fontId="34" fillId="0" borderId="0" xfId="39" applyFont="true" applyBorder="false" applyAlignment="false" applyProtection="false">
      <alignment horizontal="general" vertical="bottom" textRotation="0" wrapText="false" indent="0" shrinkToFit="false"/>
      <protection locked="true" hidden="false"/>
    </xf>
    <xf numFmtId="164" fontId="45" fillId="7" borderId="0" xfId="39" applyFont="true" applyBorder="false" applyAlignment="true" applyProtection="false">
      <alignment horizontal="right" vertical="bottom" textRotation="0" wrapText="false" indent="0" shrinkToFit="false"/>
      <protection locked="true" hidden="false"/>
    </xf>
    <xf numFmtId="172" fontId="45" fillId="7" borderId="0" xfId="39" applyFont="true" applyBorder="false" applyAlignment="true" applyProtection="false">
      <alignment horizontal="right" vertical="bottom" textRotation="0" wrapText="false" indent="0" shrinkToFit="false"/>
      <protection locked="true" hidden="false"/>
    </xf>
    <xf numFmtId="190" fontId="4" fillId="0" borderId="0" xfId="39" applyFont="false" applyBorder="false" applyAlignment="false" applyProtection="false">
      <alignment horizontal="general" vertical="bottom" textRotation="0" wrapText="false" indent="0" shrinkToFit="false"/>
      <protection locked="true" hidden="false"/>
    </xf>
    <xf numFmtId="172" fontId="4" fillId="0" borderId="0" xfId="39" applyFont="true" applyBorder="true" applyAlignment="false" applyProtection="false">
      <alignment horizontal="general" vertical="bottom" textRotation="0" wrapText="false" indent="0" shrinkToFit="false"/>
      <protection locked="true" hidden="false"/>
    </xf>
    <xf numFmtId="170" fontId="41" fillId="0" borderId="0" xfId="39" applyFont="true" applyBorder="true" applyAlignment="true" applyProtection="true">
      <alignment horizontal="right" vertical="center" textRotation="0" wrapText="true" indent="0" shrinkToFit="false"/>
      <protection locked="true" hidden="false"/>
    </xf>
    <xf numFmtId="187" fontId="37" fillId="39" borderId="34" xfId="47" applyFont="true" applyBorder="true" applyAlignment="true" applyProtection="false">
      <alignment horizontal="justify" vertical="center" textRotation="0" wrapText="false" indent="0" shrinkToFit="false"/>
      <protection locked="true" hidden="false"/>
    </xf>
    <xf numFmtId="164" fontId="20" fillId="40" borderId="32" xfId="39" applyFont="true" applyBorder="true" applyAlignment="true" applyProtection="false">
      <alignment horizontal="justify" vertical="center" textRotation="0" wrapText="false" indent="0" shrinkToFit="false"/>
      <protection locked="true" hidden="false"/>
    </xf>
    <xf numFmtId="164" fontId="52" fillId="40" borderId="32" xfId="39" applyFont="true" applyBorder="true" applyAlignment="true" applyProtection="false">
      <alignment horizontal="justify" vertical="center" textRotation="0" wrapText="false" indent="0" shrinkToFit="false"/>
      <protection locked="true" hidden="false"/>
    </xf>
    <xf numFmtId="164" fontId="20" fillId="8" borderId="32" xfId="39" applyFont="true" applyBorder="true" applyAlignment="true" applyProtection="false">
      <alignment horizontal="justify" vertical="center" textRotation="0" wrapText="false" indent="0" shrinkToFit="false"/>
      <protection locked="true" hidden="false"/>
    </xf>
    <xf numFmtId="170" fontId="34" fillId="32" borderId="24" xfId="36" applyFont="true" applyBorder="true" applyAlignment="true" applyProtection="true">
      <alignment horizontal="justify" vertical="bottom" textRotation="0" wrapText="true" indent="0" shrinkToFit="false"/>
      <protection locked="true" hidden="false"/>
    </xf>
    <xf numFmtId="164" fontId="45" fillId="0" borderId="0" xfId="39" applyFont="true" applyBorder="false" applyAlignment="false" applyProtection="false">
      <alignment horizontal="general" vertical="bottom" textRotation="0" wrapText="false" indent="0" shrinkToFit="false"/>
      <protection locked="true" hidden="false"/>
    </xf>
    <xf numFmtId="164" fontId="22" fillId="0" borderId="0" xfId="39" applyFont="true" applyBorder="false" applyAlignment="false" applyProtection="false">
      <alignment horizontal="general" vertical="bottom" textRotation="0" wrapText="false" indent="0" shrinkToFit="false"/>
      <protection locked="true" hidden="false"/>
    </xf>
    <xf numFmtId="164" fontId="69" fillId="0" borderId="0" xfId="39" applyFont="true" applyBorder="false" applyAlignment="false" applyProtection="false">
      <alignment horizontal="general" vertical="bottom" textRotation="0" wrapText="false" indent="0" shrinkToFit="false"/>
      <protection locked="true" hidden="false"/>
    </xf>
    <xf numFmtId="172" fontId="88" fillId="0" borderId="0" xfId="48" applyFont="true" applyBorder="true" applyAlignment="true" applyProtection="true">
      <alignment horizontal="general" vertical="bottom" textRotation="0" wrapText="false" indent="0" shrinkToFit="false"/>
      <protection locked="true" hidden="false"/>
    </xf>
    <xf numFmtId="187" fontId="12" fillId="40" borderId="33" xfId="47" applyFont="true" applyBorder="true" applyAlignment="true" applyProtection="false">
      <alignment horizontal="right" vertical="bottom" textRotation="0" wrapText="false" indent="0" shrinkToFit="false"/>
      <protection locked="true" hidden="false"/>
    </xf>
    <xf numFmtId="172" fontId="73" fillId="23" borderId="21" xfId="39" applyFont="true" applyBorder="true" applyAlignment="false" applyProtection="false">
      <alignment horizontal="general" vertical="bottom" textRotation="0" wrapText="false" indent="0" shrinkToFit="false"/>
      <protection locked="true" hidden="false"/>
    </xf>
    <xf numFmtId="164" fontId="73" fillId="25" borderId="32" xfId="39" applyFont="true" applyBorder="true" applyAlignment="true" applyProtection="false">
      <alignment horizontal="justify" vertical="center" textRotation="0" wrapText="false" indent="0" shrinkToFit="false"/>
      <protection locked="true" hidden="false"/>
    </xf>
    <xf numFmtId="172" fontId="73" fillId="36" borderId="21" xfId="39" applyFont="true" applyBorder="true" applyAlignment="false" applyProtection="false">
      <alignment horizontal="general" vertical="bottom" textRotation="0" wrapText="false" indent="0" shrinkToFit="false"/>
      <protection locked="true" hidden="false"/>
    </xf>
    <xf numFmtId="164" fontId="73" fillId="8" borderId="32" xfId="39" applyFont="true" applyBorder="true" applyAlignment="true" applyProtection="false">
      <alignment horizontal="justify" vertical="center" textRotation="0" wrapText="false" indent="0" shrinkToFit="false"/>
      <protection locked="true" hidden="false"/>
    </xf>
    <xf numFmtId="172" fontId="73" fillId="2" borderId="21" xfId="39" applyFont="true" applyBorder="true" applyAlignment="false" applyProtection="false">
      <alignment horizontal="general" vertical="bottom" textRotation="0" wrapText="false" indent="0" shrinkToFit="false"/>
      <protection locked="true" hidden="false"/>
    </xf>
    <xf numFmtId="180" fontId="73" fillId="38" borderId="21" xfId="39" applyFont="true" applyBorder="true" applyAlignment="true" applyProtection="false">
      <alignment horizontal="justify" vertical="center" textRotation="0" wrapText="false" indent="0" shrinkToFit="false"/>
      <protection locked="true" hidden="false"/>
    </xf>
    <xf numFmtId="168" fontId="88" fillId="0" borderId="0" xfId="48" applyFont="true" applyBorder="true" applyAlignment="true" applyProtection="true">
      <alignment horizontal="general" vertical="bottom" textRotation="0" wrapText="false" indent="0" shrinkToFit="false"/>
      <protection locked="true" hidden="false"/>
    </xf>
    <xf numFmtId="172" fontId="73" fillId="7" borderId="21" xfId="39" applyFont="true" applyBorder="true" applyAlignment="false" applyProtection="false">
      <alignment horizontal="general" vertical="bottom" textRotation="0" wrapText="false" indent="0" shrinkToFit="false"/>
      <protection locked="true" hidden="false"/>
    </xf>
    <xf numFmtId="164" fontId="73" fillId="25" borderId="21" xfId="39" applyFont="true" applyBorder="true" applyAlignment="true" applyProtection="false">
      <alignment horizontal="justify" vertical="center" textRotation="0" wrapText="false" indent="0" shrinkToFit="false"/>
      <protection locked="true" hidden="false"/>
    </xf>
    <xf numFmtId="164" fontId="73" fillId="8" borderId="21" xfId="39" applyFont="true" applyBorder="true" applyAlignment="true" applyProtection="false">
      <alignment horizontal="justify" vertical="center" textRotation="0" wrapText="false" indent="0" shrinkToFit="false"/>
      <protection locked="true" hidden="false"/>
    </xf>
    <xf numFmtId="192" fontId="79" fillId="0" borderId="21" xfId="39" applyFont="true" applyBorder="true" applyAlignment="true" applyProtection="true">
      <alignment horizontal="general" vertical="bottom" textRotation="0" wrapText="false" indent="0" shrinkToFit="false"/>
      <protection locked="true" hidden="false"/>
    </xf>
    <xf numFmtId="164" fontId="89" fillId="0" borderId="0" xfId="39" applyFont="true" applyBorder="false" applyAlignment="false" applyProtection="false">
      <alignment horizontal="general" vertical="bottom" textRotation="0" wrapText="false" indent="0" shrinkToFit="false"/>
      <protection locked="true" hidden="false"/>
    </xf>
    <xf numFmtId="172" fontId="56" fillId="0" borderId="0" xfId="39" applyFont="true" applyBorder="false" applyAlignment="true" applyProtection="false">
      <alignment horizontal="general" vertical="bottom" textRotation="0" wrapText="true" indent="0" shrinkToFit="false"/>
      <protection locked="true" hidden="false"/>
    </xf>
    <xf numFmtId="172" fontId="73" fillId="0" borderId="0" xfId="39" applyFont="true" applyBorder="false" applyAlignment="false" applyProtection="false">
      <alignment horizontal="general" vertical="bottom" textRotation="0" wrapText="false" indent="0" shrinkToFit="false"/>
      <protection locked="true" hidden="false"/>
    </xf>
    <xf numFmtId="164" fontId="41" fillId="32" borderId="60" xfId="39" applyFont="true" applyBorder="true" applyAlignment="true" applyProtection="false">
      <alignment horizontal="right" vertical="bottom" textRotation="0" wrapText="false" indent="0" shrinkToFit="false"/>
      <protection locked="true" hidden="false"/>
    </xf>
    <xf numFmtId="164" fontId="60" fillId="0" borderId="0" xfId="39" applyFont="true" applyBorder="false" applyAlignment="false" applyProtection="false">
      <alignment horizontal="general" vertical="bottom" textRotation="0" wrapText="false" indent="0" shrinkToFit="false"/>
      <protection locked="true" hidden="false"/>
    </xf>
    <xf numFmtId="172" fontId="56" fillId="36" borderId="21" xfId="39" applyFont="true" applyBorder="true" applyAlignment="false" applyProtection="false">
      <alignment horizontal="general" vertical="bottom" textRotation="0" wrapText="false" indent="0" shrinkToFit="false"/>
      <protection locked="true" hidden="false"/>
    </xf>
    <xf numFmtId="170" fontId="64" fillId="7" borderId="21" xfId="39" applyFont="true" applyBorder="true" applyAlignment="false" applyProtection="false">
      <alignment horizontal="general" vertical="bottom" textRotation="0" wrapText="false" indent="0" shrinkToFit="false"/>
      <protection locked="true" hidden="false"/>
    </xf>
    <xf numFmtId="170" fontId="20" fillId="0" borderId="0" xfId="39" applyFont="true" applyBorder="false" applyAlignment="false" applyProtection="false">
      <alignment horizontal="general" vertical="bottom" textRotation="0" wrapText="false" indent="0" shrinkToFit="false"/>
      <protection locked="true" hidden="false"/>
    </xf>
    <xf numFmtId="187" fontId="12" fillId="40" borderId="44" xfId="47" applyFont="true" applyBorder="true" applyAlignment="true" applyProtection="false">
      <alignment horizontal="right" vertical="bottom" textRotation="0" wrapText="false" indent="0" shrinkToFit="false"/>
      <protection locked="true" hidden="false"/>
    </xf>
    <xf numFmtId="172" fontId="56" fillId="7" borderId="21" xfId="39" applyFont="true" applyBorder="true" applyAlignment="false" applyProtection="false">
      <alignment horizontal="general" vertical="bottom" textRotation="0" wrapText="false" indent="0" shrinkToFit="false"/>
      <protection locked="true" hidden="false"/>
    </xf>
    <xf numFmtId="164" fontId="90" fillId="8" borderId="21" xfId="39" applyFont="true" applyBorder="true" applyAlignment="true" applyProtection="false">
      <alignment horizontal="justify" vertical="center" textRotation="0" wrapText="false" indent="0" shrinkToFit="false"/>
      <protection locked="true" hidden="false"/>
    </xf>
    <xf numFmtId="172" fontId="90" fillId="7" borderId="21" xfId="39" applyFont="true" applyBorder="true" applyAlignment="false" applyProtection="false">
      <alignment horizontal="general" vertical="bottom" textRotation="0" wrapText="false" indent="0" shrinkToFit="false"/>
      <protection locked="true" hidden="false"/>
    </xf>
    <xf numFmtId="164" fontId="90" fillId="38" borderId="21" xfId="39" applyFont="true" applyBorder="true" applyAlignment="true" applyProtection="false">
      <alignment horizontal="justify" vertical="center" textRotation="0" wrapText="false" indent="0" shrinkToFit="false"/>
      <protection locked="true" hidden="false"/>
    </xf>
    <xf numFmtId="170" fontId="64" fillId="23" borderId="21" xfId="39" applyFont="true" applyBorder="true" applyAlignment="false" applyProtection="false">
      <alignment horizontal="general" vertical="bottom" textRotation="0" wrapText="false" indent="0" shrinkToFit="false"/>
      <protection locked="true" hidden="false"/>
    </xf>
    <xf numFmtId="172" fontId="20" fillId="0" borderId="0" xfId="39" applyFont="true" applyBorder="false" applyAlignment="false" applyProtection="false">
      <alignment horizontal="general" vertical="bottom" textRotation="0" wrapText="false" indent="0" shrinkToFit="false"/>
      <protection locked="true" hidden="false"/>
    </xf>
    <xf numFmtId="189" fontId="0" fillId="7" borderId="6" xfId="15" applyFont="true" applyBorder="true" applyAlignment="true" applyProtection="true">
      <alignment horizontal="general" vertical="bottom" textRotation="0" wrapText="false" indent="0" shrinkToFit="false"/>
      <protection locked="true" hidden="false"/>
    </xf>
    <xf numFmtId="189" fontId="4" fillId="7" borderId="0" xfId="39" applyFont="false" applyBorder="true" applyAlignment="false" applyProtection="false">
      <alignment horizontal="general" vertical="bottom" textRotation="0" wrapText="false" indent="0" shrinkToFit="false"/>
      <protection locked="true" hidden="false"/>
    </xf>
    <xf numFmtId="189" fontId="0" fillId="7" borderId="0" xfId="15" applyFont="true" applyBorder="true" applyAlignment="true" applyProtection="true">
      <alignment horizontal="general" vertical="bottom" textRotation="0" wrapText="false" indent="0" shrinkToFit="false"/>
      <protection locked="true" hidden="false"/>
    </xf>
    <xf numFmtId="189" fontId="0" fillId="7" borderId="0" xfId="15" applyFont="false" applyBorder="true" applyAlignment="false" applyProtection="true">
      <alignment horizontal="general" vertical="bottom" textRotation="0" wrapText="false" indent="0" shrinkToFit="false"/>
      <protection locked="true" hidden="false"/>
    </xf>
    <xf numFmtId="164" fontId="4" fillId="7" borderId="46" xfId="39" applyFont="false" applyBorder="true" applyAlignment="false" applyProtection="false">
      <alignment horizontal="general" vertical="bottom" textRotation="0" wrapText="false" indent="0" shrinkToFit="false"/>
      <protection locked="true" hidden="false"/>
    </xf>
    <xf numFmtId="164" fontId="4" fillId="7" borderId="11" xfId="39" applyFont="false" applyBorder="true" applyAlignment="false" applyProtection="false">
      <alignment horizontal="general" vertical="bottom" textRotation="0" wrapText="false" indent="0" shrinkToFit="false"/>
      <protection locked="true" hidden="false"/>
    </xf>
    <xf numFmtId="164" fontId="4" fillId="7" borderId="49" xfId="39" applyFont="false" applyBorder="true" applyAlignment="false" applyProtection="false">
      <alignment horizontal="general" vertical="bottom" textRotation="0" wrapText="false" indent="0" shrinkToFit="false"/>
      <protection locked="true" hidden="false"/>
    </xf>
    <xf numFmtId="164" fontId="73" fillId="8" borderId="32" xfId="39" applyFont="true" applyBorder="true" applyAlignment="true" applyProtection="false">
      <alignment horizontal="general" vertical="center" textRotation="0" wrapText="false" indent="0" shrinkToFit="false"/>
      <protection locked="true" hidden="false"/>
    </xf>
    <xf numFmtId="164" fontId="73" fillId="8" borderId="63" xfId="39" applyFont="true" applyBorder="true" applyAlignment="true" applyProtection="false">
      <alignment horizontal="general" vertical="center" textRotation="0" wrapText="false" indent="0" shrinkToFit="false"/>
      <protection locked="true" hidden="false"/>
    </xf>
    <xf numFmtId="164" fontId="20" fillId="41" borderId="32" xfId="39" applyFont="true" applyBorder="true" applyAlignment="true" applyProtection="false">
      <alignment horizontal="justify" vertical="center" textRotation="0" wrapText="false" indent="0" shrinkToFit="false"/>
      <protection locked="true" hidden="false"/>
    </xf>
    <xf numFmtId="187" fontId="15" fillId="41" borderId="33" xfId="47" applyFont="true" applyBorder="true" applyAlignment="true" applyProtection="false">
      <alignment horizontal="right" vertical="bottom" textRotation="0" wrapText="false" indent="0" shrinkToFit="false"/>
      <protection locked="true" hidden="false"/>
    </xf>
    <xf numFmtId="172" fontId="20" fillId="23" borderId="21" xfId="39" applyFont="true" applyBorder="true" applyAlignment="false" applyProtection="false">
      <alignment horizontal="general" vertical="bottom" textRotation="0" wrapText="false" indent="0" shrinkToFit="false"/>
      <protection locked="true" hidden="false"/>
    </xf>
    <xf numFmtId="172" fontId="20" fillId="36" borderId="21" xfId="39" applyFont="true" applyBorder="true" applyAlignment="false" applyProtection="false">
      <alignment horizontal="general" vertical="bottom" textRotation="0" wrapText="false" indent="0" shrinkToFit="false"/>
      <protection locked="true" hidden="false"/>
    </xf>
    <xf numFmtId="172" fontId="20" fillId="2" borderId="21" xfId="39" applyFont="true" applyBorder="true" applyAlignment="false" applyProtection="false">
      <alignment horizontal="general" vertical="bottom" textRotation="0" wrapText="false" indent="0" shrinkToFit="false"/>
      <protection locked="true" hidden="false"/>
    </xf>
    <xf numFmtId="172" fontId="20" fillId="7" borderId="21" xfId="39" applyFont="true" applyBorder="true" applyAlignment="false" applyProtection="false">
      <alignment horizontal="general" vertical="bottom" textRotation="0" wrapText="false" indent="0" shrinkToFit="false"/>
      <protection locked="true" hidden="false"/>
    </xf>
    <xf numFmtId="172" fontId="17" fillId="0" borderId="0" xfId="39" applyFont="true" applyBorder="false" applyAlignment="true" applyProtection="false">
      <alignment horizontal="general" vertical="bottom" textRotation="0" wrapText="true" indent="0" shrinkToFit="false"/>
      <protection locked="true" hidden="false"/>
    </xf>
    <xf numFmtId="172" fontId="17" fillId="36" borderId="21" xfId="39" applyFont="true" applyBorder="true" applyAlignment="false" applyProtection="false">
      <alignment horizontal="general" vertical="bottom" textRotation="0" wrapText="false" indent="0" shrinkToFit="false"/>
      <protection locked="true" hidden="false"/>
    </xf>
    <xf numFmtId="164" fontId="91" fillId="0" borderId="0" xfId="39" applyFont="true" applyBorder="false" applyAlignment="true" applyProtection="false">
      <alignment horizontal="right" vertical="bottom" textRotation="0" wrapText="false" indent="0" shrinkToFit="false"/>
      <protection locked="true" hidden="false"/>
    </xf>
    <xf numFmtId="172" fontId="90" fillId="2" borderId="21" xfId="39" applyFont="true" applyBorder="true" applyAlignment="false" applyProtection="false">
      <alignment horizontal="general" vertical="bottom" textRotation="0" wrapText="false" indent="0" shrinkToFit="false"/>
      <protection locked="true" hidden="false"/>
    </xf>
    <xf numFmtId="164" fontId="92" fillId="0" borderId="0" xfId="39" applyFont="true" applyBorder="false" applyAlignment="false" applyProtection="false">
      <alignment horizontal="general" vertical="bottom" textRotation="0" wrapText="false" indent="0" shrinkToFit="false"/>
      <protection locked="true" hidden="false"/>
    </xf>
    <xf numFmtId="187" fontId="93" fillId="41" borderId="44" xfId="47" applyFont="true" applyBorder="true" applyAlignment="true" applyProtection="false">
      <alignment horizontal="right" vertical="bottom" textRotation="0" wrapText="false" indent="0" shrinkToFit="false"/>
      <protection locked="true" hidden="false"/>
    </xf>
    <xf numFmtId="172" fontId="94" fillId="23" borderId="21" xfId="39" applyFont="true" applyBorder="true" applyAlignment="false" applyProtection="false">
      <alignment horizontal="general" vertical="bottom" textRotation="0" wrapText="false" indent="0" shrinkToFit="false"/>
      <protection locked="true" hidden="false"/>
    </xf>
    <xf numFmtId="172" fontId="72" fillId="36" borderId="21" xfId="39" applyFont="true" applyBorder="tru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4" fillId="42" borderId="0" xfId="39" applyFont="true" applyBorder="true" applyAlignment="true" applyProtection="false">
      <alignment horizontal="center" vertical="center" textRotation="0" wrapText="false" indent="0" shrinkToFit="false"/>
      <protection locked="true" hidden="false"/>
    </xf>
    <xf numFmtId="164" fontId="4" fillId="15" borderId="0" xfId="39" applyFont="true" applyBorder="true" applyAlignment="true" applyProtection="false">
      <alignment horizontal="center" vertical="center" textRotation="0" wrapText="false" indent="0" shrinkToFit="false"/>
      <protection locked="true" hidden="false"/>
    </xf>
    <xf numFmtId="164" fontId="4" fillId="33" borderId="0" xfId="39" applyFont="true" applyBorder="true" applyAlignment="true" applyProtection="false">
      <alignment horizontal="center" vertical="center" textRotation="0" wrapText="false" indent="0" shrinkToFit="false"/>
      <protection locked="true" hidden="false"/>
    </xf>
    <xf numFmtId="164" fontId="4" fillId="42" borderId="0" xfId="39" applyFont="true" applyBorder="false" applyAlignment="false" applyProtection="false">
      <alignment horizontal="general" vertical="bottom" textRotation="0" wrapText="false" indent="0" shrinkToFit="false"/>
      <protection locked="true" hidden="false"/>
    </xf>
    <xf numFmtId="164" fontId="4" fillId="15" borderId="0" xfId="39" applyFont="true" applyBorder="false" applyAlignment="false" applyProtection="false">
      <alignment horizontal="general" vertical="bottom" textRotation="0" wrapText="false" indent="0" shrinkToFit="false"/>
      <protection locked="true" hidden="false"/>
    </xf>
    <xf numFmtId="164" fontId="4" fillId="7" borderId="0" xfId="39" applyFont="true" applyBorder="false" applyAlignment="true" applyProtection="false">
      <alignment horizontal="general" vertical="bottom" textRotation="0" wrapText="false" indent="0" shrinkToFit="false"/>
      <protection locked="true" hidden="false"/>
    </xf>
    <xf numFmtId="164" fontId="20" fillId="7" borderId="0" xfId="39" applyFont="true" applyBorder="false" applyAlignment="false" applyProtection="false">
      <alignment horizontal="general" vertical="bottom" textRotation="0" wrapText="false" indent="0" shrinkToFit="false"/>
      <protection locked="true" hidden="false"/>
    </xf>
    <xf numFmtId="170" fontId="4" fillId="24" borderId="0" xfId="39" applyFont="false" applyBorder="false" applyAlignment="false" applyProtection="false">
      <alignment horizontal="general" vertical="bottom" textRotation="0" wrapText="false" indent="0" shrinkToFit="false"/>
      <protection locked="true" hidden="false"/>
    </xf>
    <xf numFmtId="170" fontId="4" fillId="43" borderId="0" xfId="39" applyFont="false" applyBorder="false" applyAlignment="false" applyProtection="false">
      <alignment horizontal="general" vertical="bottom" textRotation="0" wrapText="false" indent="0" shrinkToFit="false"/>
      <protection locked="true" hidden="false"/>
    </xf>
    <xf numFmtId="164" fontId="4" fillId="43" borderId="0" xfId="39" applyFont="false" applyBorder="false" applyAlignment="false" applyProtection="false">
      <alignment horizontal="general" vertical="bottom" textRotation="0" wrapText="false" indent="0" shrinkToFit="false"/>
      <protection locked="true" hidden="false"/>
    </xf>
    <xf numFmtId="164" fontId="4" fillId="2" borderId="0" xfId="39" applyFont="false" applyBorder="false" applyAlignment="false" applyProtection="false">
      <alignment horizontal="general" vertical="bottom" textRotation="0" wrapText="false" indent="0" shrinkToFit="false"/>
      <protection locked="true" hidden="false"/>
    </xf>
    <xf numFmtId="164" fontId="37" fillId="0" borderId="0" xfId="39" applyFont="true" applyBorder="false" applyAlignment="false" applyProtection="false">
      <alignment horizontal="general" vertical="bottom" textRotation="0" wrapText="false" indent="0" shrinkToFit="false"/>
      <protection locked="true" hidden="false"/>
    </xf>
    <xf numFmtId="184" fontId="84" fillId="7" borderId="0" xfId="37" applyFont="true" applyBorder="true" applyAlignment="true" applyProtection="true">
      <alignment horizontal="right" vertical="bottom" textRotation="0" wrapText="false" indent="0" shrinkToFit="false"/>
      <protection locked="true" hidden="false"/>
    </xf>
    <xf numFmtId="164" fontId="72" fillId="0" borderId="0" xfId="39" applyFont="true" applyBorder="false" applyAlignment="false" applyProtection="false">
      <alignment horizontal="general" vertical="bottom" textRotation="0" wrapText="false" indent="0" shrinkToFit="false"/>
      <protection locked="true" hidden="false"/>
    </xf>
    <xf numFmtId="180" fontId="4" fillId="0" borderId="58" xfId="39" applyFont="false" applyBorder="true" applyAlignment="false" applyProtection="false">
      <alignment horizontal="general" vertical="bottom" textRotation="0" wrapText="false" indent="0" shrinkToFit="false"/>
      <protection locked="true" hidden="false"/>
    </xf>
    <xf numFmtId="170" fontId="4" fillId="7" borderId="58" xfId="39" applyFont="false" applyBorder="true" applyAlignment="false" applyProtection="false">
      <alignment horizontal="general" vertical="bottom" textRotation="0" wrapText="false" indent="0" shrinkToFit="false"/>
      <protection locked="true" hidden="false"/>
    </xf>
    <xf numFmtId="170" fontId="4" fillId="24" borderId="58" xfId="39" applyFont="false" applyBorder="true" applyAlignment="false" applyProtection="false">
      <alignment horizontal="general" vertical="bottom" textRotation="0" wrapText="false" indent="0" shrinkToFit="false"/>
      <protection locked="true" hidden="false"/>
    </xf>
    <xf numFmtId="172" fontId="70" fillId="0" borderId="0" xfId="39" applyFont="true" applyBorder="false" applyAlignment="true" applyProtection="false">
      <alignment horizontal="general" vertical="bottom" textRotation="0" wrapText="true" indent="0" shrinkToFit="false"/>
      <protection locked="true" hidden="false"/>
    </xf>
    <xf numFmtId="170" fontId="4" fillId="38" borderId="0" xfId="39" applyFont="false" applyBorder="false" applyAlignment="false" applyProtection="false">
      <alignment horizontal="general" vertical="bottom" textRotation="0" wrapText="false" indent="0" shrinkToFit="false"/>
      <protection locked="true" hidden="false"/>
    </xf>
    <xf numFmtId="172" fontId="4" fillId="7" borderId="0" xfId="39" applyFont="false" applyBorder="false" applyAlignment="false" applyProtection="false">
      <alignment horizontal="general" vertical="bottom" textRotation="0" wrapText="false" indent="0" shrinkToFit="false"/>
      <protection locked="true" hidden="false"/>
    </xf>
    <xf numFmtId="172" fontId="4" fillId="24" borderId="0" xfId="39" applyFont="false" applyBorder="false" applyAlignment="false" applyProtection="false">
      <alignment horizontal="general" vertical="bottom" textRotation="0" wrapText="false" indent="0" shrinkToFit="false"/>
      <protection locked="true" hidden="false"/>
    </xf>
    <xf numFmtId="172" fontId="4" fillId="2" borderId="0" xfId="39" applyFont="false" applyBorder="false" applyAlignment="false" applyProtection="false">
      <alignment horizontal="general" vertical="bottom" textRotation="0" wrapText="false" indent="0" shrinkToFit="false"/>
      <protection locked="true" hidden="false"/>
    </xf>
    <xf numFmtId="172" fontId="4" fillId="0" borderId="0" xfId="39" applyFont="false" applyBorder="false" applyAlignment="true" applyProtection="false">
      <alignment horizontal="center" vertical="bottom" textRotation="0" wrapText="false" indent="0" shrinkToFit="false"/>
      <protection locked="true" hidden="false"/>
    </xf>
    <xf numFmtId="164" fontId="4" fillId="0" borderId="0" xfId="39" applyFont="true" applyBorder="true" applyAlignment="true" applyProtection="false">
      <alignment horizontal="justify" vertical="center" textRotation="0" wrapText="false" indent="0" shrinkToFit="false"/>
      <protection locked="true" hidden="false"/>
    </xf>
    <xf numFmtId="172" fontId="4" fillId="43" borderId="0" xfId="39" applyFont="false" applyBorder="false" applyAlignment="false" applyProtection="false">
      <alignment horizontal="general" vertical="bottom" textRotation="0" wrapText="false" indent="0" shrinkToFit="false"/>
      <protection locked="true" hidden="false"/>
    </xf>
    <xf numFmtId="172" fontId="4" fillId="7" borderId="0" xfId="39" applyFont="true" applyBorder="false" applyAlignment="false" applyProtection="false">
      <alignment horizontal="general" vertical="bottom" textRotation="0" wrapText="false" indent="0" shrinkToFit="false"/>
      <protection locked="true" hidden="false"/>
    </xf>
    <xf numFmtId="176" fontId="11" fillId="0" borderId="0" xfId="47" applyFont="true" applyBorder="false" applyAlignment="false" applyProtection="false">
      <alignment horizontal="general" vertical="bottom" textRotation="0" wrapText="false" indent="0" shrinkToFit="false"/>
      <protection locked="true" hidden="false"/>
    </xf>
    <xf numFmtId="164" fontId="4" fillId="0" borderId="0" xfId="39" applyFont="false" applyBorder="false" applyAlignment="true" applyProtection="false">
      <alignment horizontal="justify" vertical="bottom" textRotation="0" wrapText="false" indent="0" shrinkToFit="false"/>
      <protection locked="true" hidden="false"/>
    </xf>
    <xf numFmtId="172" fontId="4" fillId="2" borderId="0" xfId="39" applyFont="true" applyBorder="false" applyAlignment="false" applyProtection="false">
      <alignment horizontal="general" vertical="bottom" textRotation="0" wrapText="false" indent="0" shrinkToFit="false"/>
      <protection locked="true" hidden="false"/>
    </xf>
    <xf numFmtId="172" fontId="4" fillId="38" borderId="0" xfId="39" applyFont="false" applyBorder="false" applyAlignment="false" applyProtection="false">
      <alignment horizontal="general" vertical="bottom" textRotation="0" wrapText="false" indent="0" shrinkToFit="false"/>
      <protection locked="true" hidden="false"/>
    </xf>
    <xf numFmtId="172" fontId="84" fillId="7" borderId="0" xfId="37" applyFont="true" applyBorder="true" applyAlignment="true" applyProtection="true">
      <alignment horizontal="right" vertical="bottom" textRotation="0" wrapText="false" indent="0" shrinkToFit="false"/>
      <protection locked="true" hidden="false"/>
    </xf>
    <xf numFmtId="164" fontId="4" fillId="38" borderId="0" xfId="39" applyFont="false" applyBorder="false" applyAlignment="false" applyProtection="false">
      <alignment horizontal="general" vertical="bottom" textRotation="0" wrapText="false" indent="0" shrinkToFit="false"/>
      <protection locked="true" hidden="false"/>
    </xf>
    <xf numFmtId="172" fontId="86" fillId="10" borderId="0" xfId="0" applyFont="true" applyBorder="false" applyAlignment="true" applyProtection="false">
      <alignment horizontal="right" vertical="bottom" textRotation="0" wrapText="true" indent="0" shrinkToFit="false"/>
      <protection locked="true" hidden="false"/>
    </xf>
    <xf numFmtId="164" fontId="86" fillId="10" borderId="0" xfId="0" applyFont="true" applyBorder="false" applyAlignment="true" applyProtection="false">
      <alignment horizontal="left" vertical="bottom" textRotation="0" wrapText="true" indent="0" shrinkToFit="false"/>
      <protection locked="true" hidden="false"/>
    </xf>
    <xf numFmtId="172" fontId="4" fillId="0" borderId="0" xfId="39" applyFont="true" applyBorder="false" applyAlignment="false" applyProtection="false">
      <alignment horizontal="general" vertical="bottom" textRotation="0" wrapText="false" indent="0" shrinkToFit="false"/>
      <protection locked="true" hidden="false"/>
    </xf>
    <xf numFmtId="172" fontId="62" fillId="0" borderId="0" xfId="0" applyFont="true" applyBorder="false" applyAlignment="true" applyProtection="false">
      <alignment horizontal="right" vertical="bottom" textRotation="0" wrapText="true" indent="0" shrinkToFit="false"/>
      <protection locked="true" hidden="false"/>
    </xf>
    <xf numFmtId="172" fontId="86" fillId="0" borderId="0" xfId="0" applyFont="true" applyBorder="false" applyAlignment="true" applyProtection="false">
      <alignment horizontal="right" vertical="bottom" textRotation="0" wrapText="true" indent="0" shrinkToFit="false"/>
      <protection locked="true" hidden="false"/>
    </xf>
    <xf numFmtId="172" fontId="86" fillId="44" borderId="0" xfId="0" applyFont="true" applyBorder="false" applyAlignment="true" applyProtection="false">
      <alignment horizontal="right" vertical="bottom" textRotation="0" wrapText="true" indent="0" shrinkToFit="false"/>
      <protection locked="true" hidden="false"/>
    </xf>
    <xf numFmtId="172" fontId="86" fillId="7" borderId="0" xfId="0" applyFont="true" applyBorder="false" applyAlignment="true" applyProtection="false">
      <alignment horizontal="right" vertical="bottom" textRotation="0" wrapText="true" indent="0" shrinkToFit="false"/>
      <protection locked="true" hidden="false"/>
    </xf>
    <xf numFmtId="172" fontId="86" fillId="45" borderId="0" xfId="39" applyFont="true" applyBorder="false" applyAlignment="true" applyProtection="false">
      <alignment horizontal="right" vertical="bottom" textRotation="0" wrapText="false" indent="0" shrinkToFit="false"/>
      <protection locked="true" hidden="false"/>
    </xf>
    <xf numFmtId="164" fontId="86" fillId="45" borderId="0" xfId="39" applyFont="true" applyBorder="false" applyAlignment="false" applyProtection="false">
      <alignment horizontal="general" vertical="bottom" textRotation="0" wrapText="false" indent="0" shrinkToFit="false"/>
      <protection locked="true" hidden="false"/>
    </xf>
    <xf numFmtId="172" fontId="62" fillId="0" borderId="0" xfId="39" applyFont="true" applyBorder="false" applyAlignment="true" applyProtection="false">
      <alignment horizontal="right" vertical="bottom" textRotation="0" wrapText="false" indent="0" shrinkToFit="false"/>
      <protection locked="true" hidden="false"/>
    </xf>
    <xf numFmtId="172" fontId="86" fillId="0" borderId="0" xfId="39" applyFont="true" applyBorder="false" applyAlignment="true" applyProtection="false">
      <alignment horizontal="right" vertical="bottom" textRotation="0" wrapText="false" indent="0" shrinkToFit="false"/>
      <protection locked="true" hidden="false"/>
    </xf>
    <xf numFmtId="172" fontId="86" fillId="32" borderId="0" xfId="39" applyFont="true" applyBorder="false" applyAlignment="true" applyProtection="false">
      <alignment horizontal="right" vertical="bottom" textRotation="0" wrapText="false" indent="0" shrinkToFit="false"/>
      <protection locked="true" hidden="false"/>
    </xf>
    <xf numFmtId="172" fontId="86" fillId="7" borderId="0" xfId="39" applyFont="true" applyBorder="false" applyAlignment="true" applyProtection="false">
      <alignment horizontal="right" vertical="bottom" textRotation="0" wrapText="false" indent="0" shrinkToFit="false"/>
      <protection locked="true" hidden="false"/>
    </xf>
    <xf numFmtId="164" fontId="4" fillId="30" borderId="0" xfId="39" applyFont="false" applyBorder="false" applyAlignment="false" applyProtection="false">
      <alignment horizontal="general" vertical="bottom" textRotation="0" wrapText="false" indent="0" shrinkToFit="false"/>
      <protection locked="true" hidden="false"/>
    </xf>
    <xf numFmtId="172" fontId="86" fillId="10" borderId="0" xfId="39" applyFont="true" applyBorder="false" applyAlignment="true" applyProtection="false">
      <alignment horizontal="right" vertical="bottom" textRotation="0" wrapText="false" indent="0" shrinkToFit="false"/>
      <protection locked="true" hidden="false"/>
    </xf>
    <xf numFmtId="172" fontId="86" fillId="29" borderId="0" xfId="39" applyFont="true" applyBorder="false" applyAlignment="true" applyProtection="false">
      <alignment horizontal="right" vertical="bottom" textRotation="0" wrapText="false" indent="0" shrinkToFit="false"/>
      <protection locked="true" hidden="false"/>
    </xf>
    <xf numFmtId="164" fontId="0" fillId="46" borderId="0" xfId="0" applyFont="false" applyBorder="false" applyAlignment="false" applyProtection="false">
      <alignment horizontal="general" vertical="bottom" textRotation="0" wrapText="false" indent="0" shrinkToFit="false"/>
      <protection locked="true" hidden="false"/>
    </xf>
    <xf numFmtId="164" fontId="0" fillId="46" borderId="0" xfId="0" applyFont="true" applyBorder="false" applyAlignment="true" applyProtection="false">
      <alignment horizontal="general" vertical="bottom" textRotation="0" wrapText="true" indent="0" shrinkToFit="false"/>
      <protection locked="true" hidden="false"/>
    </xf>
    <xf numFmtId="164" fontId="0" fillId="47" borderId="0" xfId="0" applyFont="false" applyBorder="false" applyAlignment="true" applyProtection="false">
      <alignment horizontal="general" vertical="bottom" textRotation="0" wrapText="true" indent="0" shrinkToFit="false"/>
      <protection locked="true" hidden="false"/>
    </xf>
    <xf numFmtId="164" fontId="0" fillId="34" borderId="0" xfId="0" applyFont="false" applyBorder="false" applyAlignment="false" applyProtection="false">
      <alignment horizontal="general" vertical="bottom" textRotation="0" wrapText="false" indent="0" shrinkToFit="false"/>
      <protection locked="true" hidden="false"/>
    </xf>
    <xf numFmtId="168" fontId="0" fillId="34" borderId="0" xfId="19" applyFont="true" applyBorder="true" applyAlignment="true" applyProtection="true">
      <alignment horizontal="general" vertical="bottom" textRotation="0" wrapText="false" indent="0" shrinkToFit="false"/>
      <protection locked="true" hidden="false"/>
    </xf>
    <xf numFmtId="186" fontId="0" fillId="34" borderId="0" xfId="0" applyFont="false" applyBorder="false" applyAlignment="false" applyProtection="false">
      <alignment horizontal="general" vertical="bottom" textRotation="0" wrapText="false" indent="0" shrinkToFit="false"/>
      <protection locked="true" hidden="false"/>
    </xf>
    <xf numFmtId="164" fontId="0" fillId="48" borderId="0" xfId="0" applyFont="false" applyBorder="false" applyAlignment="false" applyProtection="false">
      <alignment horizontal="general" vertical="bottom" textRotation="0" wrapText="false" indent="0" shrinkToFit="false"/>
      <protection locked="true" hidden="false"/>
    </xf>
    <xf numFmtId="193" fontId="0" fillId="48" borderId="0" xfId="19" applyFont="true" applyBorder="true" applyAlignment="true" applyProtection="true">
      <alignment horizontal="general" vertical="bottom" textRotation="0" wrapText="false" indent="0" shrinkToFit="false"/>
      <protection locked="true" hidden="false"/>
    </xf>
    <xf numFmtId="180" fontId="0" fillId="7" borderId="0" xfId="0" applyFont="false" applyBorder="false" applyAlignment="false" applyProtection="false">
      <alignment horizontal="general" vertical="bottom" textRotation="0" wrapText="false" indent="0" shrinkToFit="false"/>
      <protection locked="true" hidden="false"/>
    </xf>
    <xf numFmtId="168" fontId="0" fillId="7" borderId="0" xfId="19" applyFont="true" applyBorder="true" applyAlignment="true" applyProtection="true">
      <alignment horizontal="general" vertical="bottom" textRotation="0" wrapText="false" indent="0" shrinkToFit="false"/>
      <protection locked="true" hidden="false"/>
    </xf>
    <xf numFmtId="186" fontId="0" fillId="7" borderId="0" xfId="0" applyFont="false" applyBorder="false" applyAlignment="false" applyProtection="false">
      <alignment horizontal="general" vertical="bottom" textRotation="0" wrapText="false" indent="0" shrinkToFit="false"/>
      <protection locked="true" hidden="false"/>
    </xf>
    <xf numFmtId="193" fontId="0" fillId="7" borderId="0" xfId="19" applyFont="true" applyBorder="true" applyAlignment="true" applyProtection="tru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4" fontId="0" fillId="49" borderId="0" xfId="0" applyFont="false" applyBorder="false" applyAlignment="false" applyProtection="false">
      <alignment horizontal="general" vertical="bottom" textRotation="0" wrapText="false" indent="0" shrinkToFit="false"/>
      <protection locked="true" hidden="false"/>
    </xf>
    <xf numFmtId="170" fontId="0" fillId="49" borderId="0" xfId="0" applyFont="false" applyBorder="false" applyAlignment="true" applyProtection="false">
      <alignment horizontal="general" vertical="bottom" textRotation="0" wrapText="true" indent="0" shrinkToFit="false"/>
      <protection locked="true" hidden="false"/>
    </xf>
    <xf numFmtId="180" fontId="0" fillId="49" borderId="0" xfId="0" applyFont="false" applyBorder="false" applyAlignment="true" applyProtection="false">
      <alignment horizontal="general" vertical="bottom" textRotation="0" wrapText="true" indent="0" shrinkToFit="false"/>
      <protection locked="true" hidden="false"/>
    </xf>
    <xf numFmtId="164" fontId="0" fillId="50" borderId="0" xfId="0" applyFont="false" applyBorder="false" applyAlignment="false" applyProtection="false">
      <alignment horizontal="general" vertical="bottom" textRotation="0" wrapText="false" indent="0" shrinkToFit="false"/>
      <protection locked="true" hidden="false"/>
    </xf>
    <xf numFmtId="170" fontId="0" fillId="50" borderId="0" xfId="0" applyFont="false" applyBorder="false" applyAlignment="false" applyProtection="false">
      <alignment horizontal="general" vertical="bottom" textRotation="0" wrapText="false" indent="0" shrinkToFit="false"/>
      <protection locked="true" hidden="false"/>
    </xf>
    <xf numFmtId="170" fontId="0" fillId="7" borderId="0" xfId="0" applyFont="fals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87" fontId="110" fillId="35" borderId="32" xfId="39" applyFont="true" applyBorder="true" applyAlignment="true" applyProtection="false">
      <alignment horizontal="justify" vertical="center" textRotation="0" wrapText="false" indent="0" shrinkToFit="false"/>
      <protection locked="true" hidden="false"/>
    </xf>
    <xf numFmtId="164" fontId="110" fillId="35" borderId="32" xfId="39" applyFont="true" applyBorder="true" applyAlignment="true" applyProtection="false">
      <alignment horizontal="justify" vertical="center" textRotation="0" wrapText="false" indent="0" shrinkToFit="false"/>
      <protection locked="true" hidden="false"/>
    </xf>
    <xf numFmtId="164" fontId="110" fillId="35" borderId="32" xfId="39" applyFont="true" applyBorder="true" applyAlignment="true" applyProtection="false">
      <alignment horizontal="center" vertical="bottom" textRotation="0" wrapText="true" indent="0" shrinkToFit="false"/>
      <protection locked="true" hidden="false"/>
    </xf>
    <xf numFmtId="180" fontId="52" fillId="49" borderId="32" xfId="39" applyFont="true" applyBorder="true" applyAlignment="true" applyProtection="false">
      <alignment horizontal="justify" vertical="center" textRotation="0" wrapText="false" indent="0" shrinkToFit="false"/>
      <protection locked="true" hidden="false"/>
    </xf>
    <xf numFmtId="164" fontId="4" fillId="8" borderId="0" xfId="39" applyFont="true" applyBorder="false" applyAlignment="true" applyProtection="false">
      <alignment horizontal="general" vertical="bottom" textRotation="0" wrapText="true" indent="0" shrinkToFit="false"/>
      <protection locked="true" hidden="false"/>
    </xf>
    <xf numFmtId="164" fontId="15" fillId="35" borderId="33" xfId="47" applyFont="true" applyBorder="true" applyAlignment="true" applyProtection="false">
      <alignment horizontal="right" vertical="bottom" textRotation="0" wrapText="false" indent="0" shrinkToFit="false"/>
      <protection locked="true" hidden="false"/>
    </xf>
    <xf numFmtId="172" fontId="7" fillId="32" borderId="21" xfId="48" applyFont="false" applyBorder="true" applyAlignment="true" applyProtection="true">
      <alignment horizontal="general" vertical="bottom" textRotation="0" wrapText="false" indent="0" shrinkToFit="false"/>
      <protection locked="true" hidden="false"/>
    </xf>
    <xf numFmtId="164" fontId="38" fillId="49" borderId="32" xfId="39" applyFont="true" applyBorder="true" applyAlignment="true" applyProtection="false">
      <alignment horizontal="justify" vertical="center" textRotation="0" wrapText="false" indent="0" shrinkToFit="false"/>
      <protection locked="true" hidden="false"/>
    </xf>
    <xf numFmtId="172" fontId="7" fillId="51" borderId="21" xfId="48" applyFont="false" applyBorder="true" applyAlignment="true" applyProtection="true">
      <alignment horizontal="general" vertical="bottom" textRotation="0" wrapText="false" indent="0" shrinkToFit="false"/>
      <protection locked="true" hidden="false"/>
    </xf>
    <xf numFmtId="193" fontId="4" fillId="0" borderId="0" xfId="19" applyFont="true" applyBorder="true" applyAlignment="true" applyProtection="true">
      <alignment horizontal="general" vertical="bottom" textRotation="0" wrapText="false" indent="0" shrinkToFit="false"/>
      <protection locked="true" hidden="false"/>
    </xf>
    <xf numFmtId="193" fontId="4" fillId="0" borderId="0" xfId="39" applyFont="false" applyBorder="false" applyAlignment="false" applyProtection="false">
      <alignment horizontal="general" vertical="bottom" textRotation="0" wrapText="false" indent="0" shrinkToFit="false"/>
      <protection locked="true" hidden="false"/>
    </xf>
    <xf numFmtId="172" fontId="7" fillId="7" borderId="21" xfId="48" applyFont="false" applyBorder="true" applyAlignment="true" applyProtection="true">
      <alignment horizontal="general" vertical="bottom" textRotation="0" wrapText="false" indent="0" shrinkToFit="false"/>
      <protection locked="true" hidden="false"/>
    </xf>
    <xf numFmtId="164" fontId="38" fillId="49" borderId="21" xfId="39" applyFont="true" applyBorder="true" applyAlignment="true" applyProtection="false">
      <alignment horizontal="justify" vertical="center" textRotation="0" wrapText="false" indent="0" shrinkToFit="false"/>
      <protection locked="true" hidden="false"/>
    </xf>
    <xf numFmtId="172" fontId="4" fillId="0" borderId="0" xfId="19" applyFont="true" applyBorder="true" applyAlignment="true" applyProtection="true">
      <alignment horizontal="general" vertical="bottom" textRotation="0" wrapText="false" indent="0" shrinkToFit="false"/>
      <protection locked="true" hidden="false"/>
    </xf>
    <xf numFmtId="164" fontId="4" fillId="52" borderId="0" xfId="39" applyFont="false" applyBorder="false" applyAlignment="false" applyProtection="false">
      <alignment horizontal="general" vertical="bottom" textRotation="0" wrapText="false" indent="0" shrinkToFit="false"/>
      <protection locked="true" hidden="false"/>
    </xf>
    <xf numFmtId="193" fontId="4" fillId="52" borderId="0" xfId="19" applyFont="true" applyBorder="true" applyAlignment="true" applyProtection="true">
      <alignment horizontal="general" vertical="bottom" textRotation="0" wrapText="false" indent="0" shrinkToFit="false"/>
      <protection locked="true" hidden="false"/>
    </xf>
    <xf numFmtId="193" fontId="4" fillId="52" borderId="0" xfId="39" applyFont="false" applyBorder="false" applyAlignment="false" applyProtection="false">
      <alignment horizontal="general" vertical="bottom" textRotation="0" wrapText="false" indent="0" shrinkToFit="false"/>
      <protection locked="true" hidden="false"/>
    </xf>
    <xf numFmtId="193" fontId="111" fillId="52" borderId="0" xfId="39" applyFont="true" applyBorder="false" applyAlignment="false" applyProtection="false">
      <alignment horizontal="general" vertical="bottom" textRotation="0" wrapText="false" indent="0" shrinkToFit="false"/>
      <protection locked="true" hidden="false"/>
    </xf>
    <xf numFmtId="164" fontId="52" fillId="49" borderId="32" xfId="39" applyFont="true" applyBorder="true" applyAlignment="true" applyProtection="false">
      <alignment horizontal="general" vertical="center" textRotation="0" wrapText="false" indent="0" shrinkToFit="false"/>
      <protection locked="true" hidden="false"/>
    </xf>
    <xf numFmtId="187" fontId="110" fillId="35" borderId="32" xfId="39" applyFont="true" applyBorder="true" applyAlignment="true" applyProtection="false">
      <alignment horizontal="general" vertical="center" textRotation="0" wrapText="false" indent="0" shrinkToFit="false"/>
      <protection locked="true" hidden="false"/>
    </xf>
    <xf numFmtId="187" fontId="37" fillId="0" borderId="61" xfId="47" applyFont="true" applyBorder="true" applyAlignment="true" applyProtection="false">
      <alignment horizontal="justify" vertical="center" textRotation="0" wrapText="false" indent="0" shrinkToFit="false"/>
      <protection locked="true" hidden="false"/>
    </xf>
    <xf numFmtId="187" fontId="37" fillId="0" borderId="32" xfId="47" applyFont="true" applyBorder="true" applyAlignment="true" applyProtection="false">
      <alignment horizontal="justify" vertical="center" textRotation="0" wrapText="false" indent="0" shrinkToFit="false"/>
      <protection locked="true" hidden="false"/>
    </xf>
    <xf numFmtId="193" fontId="7" fillId="51" borderId="21" xfId="48" applyFont="false" applyBorder="true" applyAlignment="true" applyProtection="true">
      <alignment horizontal="general" vertical="bottom" textRotation="0" wrapText="false" indent="0" shrinkToFit="false"/>
      <protection locked="true" hidden="false"/>
    </xf>
    <xf numFmtId="193" fontId="116" fillId="51" borderId="21" xfId="48" applyFont="true" applyBorder="true" applyAlignment="true" applyProtection="true">
      <alignment horizontal="general" vertical="bottom" textRotation="0" wrapText="false" indent="0" shrinkToFit="false"/>
      <protection locked="true" hidden="false"/>
    </xf>
    <xf numFmtId="193" fontId="7" fillId="7" borderId="21" xfId="48" applyFont="false" applyBorder="true" applyAlignment="true" applyProtection="true">
      <alignment horizontal="general" vertical="bottom" textRotation="0" wrapText="false" indent="0" shrinkToFit="false"/>
      <protection locked="true" hidden="false"/>
    </xf>
    <xf numFmtId="193" fontId="116" fillId="7" borderId="21" xfId="48" applyFont="true" applyBorder="true" applyAlignment="true" applyProtection="tru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110" fillId="35" borderId="32" xfId="39" applyFont="true" applyBorder="true" applyAlignment="true" applyProtection="false">
      <alignment horizontal="left" vertical="bottom" textRotation="0" wrapText="true" indent="0" shrinkToFit="false"/>
      <protection locked="true" hidden="false"/>
    </xf>
  </cellXfs>
  <cellStyles count="36">
    <cellStyle name="Normal" xfId="0" builtinId="0"/>
    <cellStyle name="Comma" xfId="15" builtinId="3"/>
    <cellStyle name="Comma [0]" xfId="16" builtinId="6"/>
    <cellStyle name="Currency" xfId="17" builtinId="4"/>
    <cellStyle name="Currency [0]" xfId="18" builtinId="7"/>
    <cellStyle name="Percent" xfId="19" builtinId="5"/>
    <cellStyle name="ANCLAS,REZONES Y SUS PARTES,DE FUNDICION,DE HIERRO O DE ACERO" xfId="21"/>
    <cellStyle name="F2" xfId="22"/>
    <cellStyle name="F2 2" xfId="23"/>
    <cellStyle name="F3" xfId="24"/>
    <cellStyle name="F3 2" xfId="25"/>
    <cellStyle name="F4" xfId="26"/>
    <cellStyle name="F4 2" xfId="27"/>
    <cellStyle name="F5" xfId="28"/>
    <cellStyle name="F5 2" xfId="29"/>
    <cellStyle name="F6" xfId="30"/>
    <cellStyle name="F6 2" xfId="31"/>
    <cellStyle name="F7" xfId="32"/>
    <cellStyle name="F7 2" xfId="33"/>
    <cellStyle name="F8" xfId="34"/>
    <cellStyle name="F8 2" xfId="35"/>
    <cellStyle name="Millares 2" xfId="36"/>
    <cellStyle name="Millares [0]_aifes" xfId="37"/>
    <cellStyle name="Millares_Apctasnacionles" xfId="38"/>
    <cellStyle name="Normal 2" xfId="39"/>
    <cellStyle name="Normal 2 2" xfId="40"/>
    <cellStyle name="Normal 2 3" xfId="41"/>
    <cellStyle name="Normal 3" xfId="42"/>
    <cellStyle name="Normal 4" xfId="43"/>
    <cellStyle name="Normal 5" xfId="44"/>
    <cellStyle name="Normal 6" xfId="45"/>
    <cellStyle name="Normal 7" xfId="46"/>
    <cellStyle name="Normal_resu-2-com.ext" xfId="47"/>
    <cellStyle name="Porcentaje 2" xfId="48"/>
    <cellStyle name="*unknown*" xfId="20" builtinId="8"/>
    <cellStyle name="Excel Built-in Explanatory Text" xfId="49"/>
  </cellStyles>
  <colors>
    <indexedColors>
      <rgbColor rgb="FF000000"/>
      <rgbColor rgb="FFFFFFFF"/>
      <rgbColor rgb="FFFF0000"/>
      <rgbColor rgb="FF00FF00"/>
      <rgbColor rgb="FF0000FF"/>
      <rgbColor rgb="FFFFFF00"/>
      <rgbColor rgb="FFFF00FF"/>
      <rgbColor rgb="FF00FFFF"/>
      <rgbColor rgb="FF800000"/>
      <rgbColor rgb="FF92D050"/>
      <rgbColor rgb="FF0000BB"/>
      <rgbColor rgb="FF808000"/>
      <rgbColor rgb="FF800080"/>
      <rgbColor rgb="FF008080"/>
      <rgbColor rgb="FFC5CAC2"/>
      <rgbColor rgb="FF808080"/>
      <rgbColor rgb="FF9999FF"/>
      <rgbColor rgb="FF993366"/>
      <rgbColor rgb="FFFFFFCC"/>
      <rgbColor rgb="FFCCFFFF"/>
      <rgbColor rgb="FF660066"/>
      <rgbColor rgb="FFFF8080"/>
      <rgbColor rgb="FF035ADA"/>
      <rgbColor rgb="FFCCCCFF"/>
      <rgbColor rgb="FFFFF2CC"/>
      <rgbColor rgb="FFD9D9D9"/>
      <rgbColor rgb="FFFFC000"/>
      <rgbColor rgb="FF66CCFF"/>
      <rgbColor rgb="FFBDD7EE"/>
      <rgbColor rgb="FFFFE699"/>
      <rgbColor rgb="FF487EE7"/>
      <rgbColor rgb="FFE2F0D9"/>
      <rgbColor rgb="FF00CCFF"/>
      <rgbColor rgb="FFE6F0EA"/>
      <rgbColor rgb="FFCCFFCC"/>
      <rgbColor rgb="FFFFFF97"/>
      <rgbColor rgb="FF99CCFF"/>
      <rgbColor rgb="FFFF99CC"/>
      <rgbColor rgb="FFB4C7E7"/>
      <rgbColor rgb="FFFFCA9E"/>
      <rgbColor rgb="FF3366FF"/>
      <rgbColor rgb="FF33CCCC"/>
      <rgbColor rgb="FF99CC00"/>
      <rgbColor rgb="FFFFCC00"/>
      <rgbColor rgb="FFF07E29"/>
      <rgbColor rgb="FFFF6400"/>
      <rgbColor rgb="FF666699"/>
      <rgbColor rgb="FFA6A6A6"/>
      <rgbColor rgb="FF003366"/>
      <rgbColor rgb="FF70A43E"/>
      <rgbColor rgb="FF003300"/>
      <rgbColor rgb="FF363607"/>
      <rgbColor rgb="FF993300"/>
      <rgbColor rgb="FF595959"/>
      <rgbColor rgb="FF353ED0"/>
      <rgbColor rgb="FF35547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externalLink" Target="externalLinks/externalLink2.xml"/><Relationship Id="rId13" Type="http://schemas.openxmlformats.org/officeDocument/2006/relationships/sharedStrings" Target="sharedStrings.xml"/>
</Relationships>
</file>

<file path=xl/charts/chart6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300" spc="-1" strike="noStrike">
                <a:solidFill>
                  <a:srgbClr val="000000"/>
                </a:solidFill>
                <a:latin typeface="Arial"/>
                <a:ea typeface="Arial"/>
              </a:defRPr>
            </a:pPr>
            <a:r>
              <a:rPr b="0" lang="es-AR" sz="1300" spc="-1" strike="noStrike">
                <a:solidFill>
                  <a:srgbClr val="000000"/>
                </a:solidFill>
                <a:latin typeface="Arial"/>
                <a:ea typeface="Arial"/>
              </a:rPr>
              <a:t>Cuentas ANSES 1993-2015 , definiciones varias
sub-title
sub-title</a:t>
            </a:r>
          </a:p>
        </c:rich>
      </c:tx>
      <c:layout>
        <c:manualLayout>
          <c:xMode val="edge"/>
          <c:yMode val="edge"/>
          <c:x val="0.380793460326984"/>
          <c:y val="0.138351498637602"/>
        </c:manualLayout>
      </c:layout>
      <c:overlay val="0"/>
      <c:spPr>
        <a:noFill/>
        <a:ln w="25560">
          <a:noFill/>
        </a:ln>
      </c:spPr>
    </c:title>
    <c:autoTitleDeleted val="0"/>
    <c:plotArea>
      <c:layout>
        <c:manualLayout>
          <c:layoutTarget val="inner"/>
          <c:xMode val="edge"/>
          <c:yMode val="edge"/>
          <c:x val="0.185728213589321"/>
          <c:y val="0.670095367847411"/>
          <c:w val="0.318809059547023"/>
          <c:h val="0.265531335149864"/>
        </c:manualLayout>
      </c:layout>
      <c:lineChart>
        <c:grouping val="standard"/>
        <c:varyColors val="0"/>
        <c:ser>
          <c:idx val="0"/>
          <c:order val="0"/>
          <c:tx>
            <c:strRef>
              <c:f>'Cuenta Ahorro-Inversión-Financi'!$AD$40:$AD$41</c:f>
              <c:strCache>
                <c:ptCount val="1"/>
                <c:pt idx="0">
                  <c:v>Resultado económico ahorro-desahorro, % PIB sin coparticipación</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Ahorro-Inversión-Financi'!$AC$42:$AC$64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Ahorro-Inversión-Financi'!$AD$42:$AD$64</c:f>
              <c:numCache>
                <c:formatCode>General</c:formatCode>
                <c:ptCount val="23"/>
                <c:pt idx="0">
                  <c:v>-0.000554452600679711</c:v>
                </c:pt>
                <c:pt idx="1">
                  <c:v>-0.00701923207058701</c:v>
                </c:pt>
                <c:pt idx="2">
                  <c:v>-0.00277686082771296</c:v>
                </c:pt>
                <c:pt idx="3">
                  <c:v>-0.00969995963704045</c:v>
                </c:pt>
                <c:pt idx="4">
                  <c:v>-0.00144873720454982</c:v>
                </c:pt>
                <c:pt idx="5">
                  <c:v>-0.00849283222489954</c:v>
                </c:pt>
                <c:pt idx="6">
                  <c:v>-0.0136392591954492</c:v>
                </c:pt>
                <c:pt idx="7">
                  <c:v>-0.0126860703571837</c:v>
                </c:pt>
                <c:pt idx="8">
                  <c:v>-0.0161939366295456</c:v>
                </c:pt>
                <c:pt idx="9">
                  <c:v>-0.0159789898191716</c:v>
                </c:pt>
                <c:pt idx="10">
                  <c:v>-0.00993357124530309</c:v>
                </c:pt>
                <c:pt idx="11">
                  <c:v>-0.00326072523666775</c:v>
                </c:pt>
                <c:pt idx="12">
                  <c:v>-0.000413025410312309</c:v>
                </c:pt>
                <c:pt idx="13">
                  <c:v>0.00132851902591188</c:v>
                </c:pt>
                <c:pt idx="14">
                  <c:v>0.00288396546107233</c:v>
                </c:pt>
                <c:pt idx="15">
                  <c:v>-0.000148969044911074</c:v>
                </c:pt>
                <c:pt idx="16">
                  <c:v>0.00697013530984235</c:v>
                </c:pt>
                <c:pt idx="17">
                  <c:v>0.00596264086444469</c:v>
                </c:pt>
                <c:pt idx="18">
                  <c:v>0.00657395296942401</c:v>
                </c:pt>
                <c:pt idx="19">
                  <c:v>0.00622385094743566</c:v>
                </c:pt>
                <c:pt idx="20">
                  <c:v>0.005034346431865</c:v>
                </c:pt>
                <c:pt idx="21">
                  <c:v>0.00553198190989185</c:v>
                </c:pt>
                <c:pt idx="22">
                  <c:v>-0.000125937015975991</c:v>
                </c:pt>
              </c:numCache>
            </c:numRef>
          </c:val>
          <c:smooth val="0"/>
        </c:ser>
        <c:ser>
          <c:idx val="1"/>
          <c:order val="1"/>
          <c:tx>
            <c:strRef>
              <c:f>'Cuenta Ahorro-Inversión-Financi'!$AE$40:$AE$41</c:f>
              <c:strCache>
                <c:ptCount val="1"/>
                <c:pt idx="0">
                  <c:v>Contribuciones – prestaciones, seguridad social,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Ahorro-Inversión-Financi'!$AC$42:$AC$64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Ahorro-Inversión-Financi'!$AE$42:$AE$64</c:f>
              <c:numCache>
                <c:formatCode>General</c:formatCode>
                <c:ptCount val="23"/>
                <c:pt idx="0">
                  <c:v>-0.00728426027850915</c:v>
                </c:pt>
                <c:pt idx="1">
                  <c:v>-0.0152237851502048</c:v>
                </c:pt>
                <c:pt idx="2">
                  <c:v>-0.0169283861734595</c:v>
                </c:pt>
                <c:pt idx="3">
                  <c:v>-0.0167775767787595</c:v>
                </c:pt>
                <c:pt idx="4">
                  <c:v>-0.0151078067079432</c:v>
                </c:pt>
                <c:pt idx="5">
                  <c:v>-0.0226938336245115</c:v>
                </c:pt>
                <c:pt idx="6">
                  <c:v>-0.0268441256524153</c:v>
                </c:pt>
                <c:pt idx="7">
                  <c:v>-0.0282302534992974</c:v>
                </c:pt>
                <c:pt idx="8">
                  <c:v>-0.0286456611917298</c:v>
                </c:pt>
                <c:pt idx="9">
                  <c:v>-0.0238909631043166</c:v>
                </c:pt>
                <c:pt idx="10">
                  <c:v>-0.0209428359338012</c:v>
                </c:pt>
                <c:pt idx="11">
                  <c:v>-0.0168470530276568</c:v>
                </c:pt>
                <c:pt idx="12">
                  <c:v>-0.0131256135077062</c:v>
                </c:pt>
                <c:pt idx="13">
                  <c:v>-0.0115842993718065</c:v>
                </c:pt>
                <c:pt idx="14">
                  <c:v>-0.0104760592304761</c:v>
                </c:pt>
                <c:pt idx="15">
                  <c:v>-0.0115256697440803</c:v>
                </c:pt>
                <c:pt idx="16">
                  <c:v>-0.00604613737509297</c:v>
                </c:pt>
                <c:pt idx="17">
                  <c:v>-0.00268501366084307</c:v>
                </c:pt>
                <c:pt idx="18">
                  <c:v>-0.00436840339564363</c:v>
                </c:pt>
                <c:pt idx="19">
                  <c:v>-0.0081794091642628</c:v>
                </c:pt>
                <c:pt idx="20">
                  <c:v>-0.00892039172352486</c:v>
                </c:pt>
                <c:pt idx="21">
                  <c:v>-0.0103461159612132</c:v>
                </c:pt>
                <c:pt idx="22">
                  <c:v>-0.0163607603736264</c:v>
                </c:pt>
              </c:numCache>
            </c:numRef>
          </c:val>
          <c:smooth val="0"/>
        </c:ser>
        <c:ser>
          <c:idx val="2"/>
          <c:order val="2"/>
          <c:tx>
            <c:strRef>
              <c:f>'Cuenta Ahorro-Inversión-Financi'!$AF$40:$AF$41</c:f>
              <c:strCache>
                <c:ptCount val="1"/>
                <c:pt idx="0">
                  <c:v>Ingresos extra FGS – gastos excluyendo PAMI, % PIB, sin coparticipación</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Ahorro-Inversión-Financi'!$AC$42:$AC$64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Ahorro-Inversión-Financi'!$AF$42:$AF$64</c:f>
              <c:numCache>
                <c:formatCode>General</c:formatCode>
                <c:ptCount val="23"/>
                <c:pt idx="0">
                  <c:v>-0.00899031527928557</c:v>
                </c:pt>
                <c:pt idx="1">
                  <c:v>-0.0167191456816909</c:v>
                </c:pt>
                <c:pt idx="2">
                  <c:v>-0.0113642352751916</c:v>
                </c:pt>
                <c:pt idx="3">
                  <c:v>-0.00981648291178092</c:v>
                </c:pt>
                <c:pt idx="4">
                  <c:v>-0.00833321221526041</c:v>
                </c:pt>
                <c:pt idx="5">
                  <c:v>-0.00723115636417857</c:v>
                </c:pt>
                <c:pt idx="6">
                  <c:v>-0.0121460716327388</c:v>
                </c:pt>
                <c:pt idx="7">
                  <c:v>-0.0115681220527518</c:v>
                </c:pt>
                <c:pt idx="8">
                  <c:v>-0.0141050791251311</c:v>
                </c:pt>
                <c:pt idx="9">
                  <c:v>-0.0142952749958618</c:v>
                </c:pt>
                <c:pt idx="10">
                  <c:v>-0.00993903095432011</c:v>
                </c:pt>
                <c:pt idx="11">
                  <c:v>-0.00328381333366368</c:v>
                </c:pt>
                <c:pt idx="12">
                  <c:v>-0.000479501261027359</c:v>
                </c:pt>
                <c:pt idx="13">
                  <c:v>0.000927090226480379</c:v>
                </c:pt>
                <c:pt idx="14">
                  <c:v>0.00214603664388874</c:v>
                </c:pt>
                <c:pt idx="15">
                  <c:v>-0.00112094959527569</c:v>
                </c:pt>
                <c:pt idx="16">
                  <c:v>0.000169178306669476</c:v>
                </c:pt>
                <c:pt idx="17">
                  <c:v>0.000718241871746038</c:v>
                </c:pt>
                <c:pt idx="18">
                  <c:v>0.00150807089142546</c:v>
                </c:pt>
                <c:pt idx="19">
                  <c:v>-0.000353045713039486</c:v>
                </c:pt>
                <c:pt idx="20">
                  <c:v>-0.00179690031997486</c:v>
                </c:pt>
                <c:pt idx="21">
                  <c:v>-0.00285043336122248</c:v>
                </c:pt>
                <c:pt idx="22">
                  <c:v>-0.0090571463408632</c:v>
                </c:pt>
              </c:numCache>
            </c:numRef>
          </c:val>
          <c:smooth val="0"/>
        </c:ser>
        <c:ser>
          <c:idx val="3"/>
          <c:order val="3"/>
          <c:tx>
            <c:strRef>
              <c:f>'Cuenta Ahorro-Inversión-Financi'!$AG$40:$AG$41</c:f>
              <c:strCache>
                <c:ptCount val="1"/>
                <c:pt idx="0">
                  <c:v>Resultado económico ahorro-desahorro corregido PAMI, % PIB sin coparticipación</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Ahorro-Inversión-Financi'!$AC$42:$AC$64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Ahorro-Inversión-Financi'!$AG$42:$AG$64</c:f>
              <c:numCache>
                <c:formatCode>General</c:formatCode>
                <c:ptCount val="23"/>
                <c:pt idx="0">
                  <c:v>-0.00763455641206984</c:v>
                </c:pt>
                <c:pt idx="1">
                  <c:v>-0.0166238261720029</c:v>
                </c:pt>
                <c:pt idx="2">
                  <c:v>-0.0113325377545191</c:v>
                </c:pt>
                <c:pt idx="3">
                  <c:v>-0.00969995963704045</c:v>
                </c:pt>
                <c:pt idx="4">
                  <c:v>-0.00822490831479743</c:v>
                </c:pt>
                <c:pt idx="5">
                  <c:v>-0.00718266005903036</c:v>
                </c:pt>
                <c:pt idx="6">
                  <c:v>-0.012137170742735</c:v>
                </c:pt>
                <c:pt idx="7">
                  <c:v>-0.011563041471358</c:v>
                </c:pt>
                <c:pt idx="8">
                  <c:v>-0.0141037996213311</c:v>
                </c:pt>
                <c:pt idx="9">
                  <c:v>-0.014278091906323</c:v>
                </c:pt>
                <c:pt idx="10">
                  <c:v>-0.00993357124530309</c:v>
                </c:pt>
                <c:pt idx="11">
                  <c:v>-0.00326072523666776</c:v>
                </c:pt>
                <c:pt idx="12">
                  <c:v>-0.000413025410312302</c:v>
                </c:pt>
                <c:pt idx="13">
                  <c:v>0.00132851902591188</c:v>
                </c:pt>
                <c:pt idx="14">
                  <c:v>0.00288396546107231</c:v>
                </c:pt>
                <c:pt idx="15">
                  <c:v>-0.000148969044911088</c:v>
                </c:pt>
                <c:pt idx="16">
                  <c:v>0.00697013530984234</c:v>
                </c:pt>
                <c:pt idx="17">
                  <c:v>0.00596264086444467</c:v>
                </c:pt>
                <c:pt idx="18">
                  <c:v>0.00657395296942401</c:v>
                </c:pt>
                <c:pt idx="19">
                  <c:v>0.00622385094743566</c:v>
                </c:pt>
                <c:pt idx="20">
                  <c:v>0.00503434643186503</c:v>
                </c:pt>
                <c:pt idx="21">
                  <c:v>0.00553198190989186</c:v>
                </c:pt>
                <c:pt idx="22">
                  <c:v>-0.000125937015975977</c:v>
                </c:pt>
              </c:numCache>
            </c:numRef>
          </c:val>
          <c:smooth val="0"/>
        </c:ser>
        <c:hiLowLines>
          <c:spPr>
            <a:ln>
              <a:noFill/>
            </a:ln>
          </c:spPr>
        </c:hiLowLines>
        <c:marker val="1"/>
        <c:axId val="30785091"/>
        <c:axId val="90785066"/>
      </c:lineChart>
      <c:catAx>
        <c:axId val="30785091"/>
        <c:scaling>
          <c:orientation val="minMax"/>
        </c:scaling>
        <c:delete val="0"/>
        <c:axPos val="b"/>
        <c:majorGridlines>
          <c:spPr>
            <a:ln w="3240">
              <a:solidFill>
                <a:srgbClr val="a7a7a7"/>
              </a:solidFill>
              <a:round/>
            </a:ln>
          </c:spPr>
        </c:majorGridlines>
        <c:numFmt formatCode="General"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90785066"/>
        <c:crosses val="autoZero"/>
        <c:auto val="1"/>
        <c:lblAlgn val="ctr"/>
        <c:lblOffset val="100"/>
      </c:catAx>
      <c:valAx>
        <c:axId val="90785066"/>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30785091"/>
        <c:crossesAt val="1"/>
        <c:crossBetween val="midCat"/>
      </c:valAx>
      <c:spPr>
        <a:noFill/>
        <a:ln w="3240">
          <a:solidFill>
            <a:srgbClr val="a7a7a7"/>
          </a:solidFill>
          <a:round/>
        </a:ln>
      </c:spPr>
    </c:plotArea>
    <c:legend>
      <c:layout>
        <c:manualLayout>
          <c:xMode val="edge"/>
          <c:yMode val="edge"/>
          <c:x val="0.149955002249888"/>
          <c:y val="0.360558583106267"/>
          <c:w val="0.713616079799003"/>
          <c:h val="0.0690101505552149"/>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6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
          <c:y val="0.227462404535076"/>
          <c:w val="0.498521473832434"/>
          <c:h val="0.65451539248878"/>
        </c:manualLayout>
      </c:layout>
      <c:lineChart>
        <c:grouping val="standard"/>
        <c:varyColors val="0"/>
        <c:ser>
          <c:idx val="0"/>
          <c:order val="0"/>
          <c:tx>
            <c:strRef>
              <c:f>'Cuenta Ahorro-Inversión-Financi'!$R$40:$R$41</c:f>
              <c:strCache>
                <c:ptCount val="1"/>
                <c:pt idx="0">
                  <c:v>Prestaciones de la seguridad social,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Ahorro-Inversión-Financi'!$Q$42:$Q$64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Ahorro-Inversión-Financi'!$R$42:$R$64</c:f>
              <c:numCache>
                <c:formatCode>General</c:formatCode>
                <c:ptCount val="23"/>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0.036705436096272</c:v>
                </c:pt>
                <c:pt idx="12">
                  <c:v>0.0345505912680116</c:v>
                </c:pt>
                <c:pt idx="13">
                  <c:v>0.0368418871162505</c:v>
                </c:pt>
                <c:pt idx="14">
                  <c:v>0.0489808558686249</c:v>
                </c:pt>
                <c:pt idx="15">
                  <c:v>0.0483764714177785</c:v>
                </c:pt>
                <c:pt idx="16">
                  <c:v>0.0568162745570319</c:v>
                </c:pt>
                <c:pt idx="17">
                  <c:v>0.0531723252388029</c:v>
                </c:pt>
                <c:pt idx="18">
                  <c:v>0.0559923504050296</c:v>
                </c:pt>
                <c:pt idx="19">
                  <c:v>0.0639576874295608</c:v>
                </c:pt>
                <c:pt idx="20">
                  <c:v>0.0665922944987349</c:v>
                </c:pt>
                <c:pt idx="21">
                  <c:v>0.0645559228265026</c:v>
                </c:pt>
                <c:pt idx="22">
                  <c:v>0.0727904762035428</c:v>
                </c:pt>
              </c:numCache>
            </c:numRef>
          </c:val>
          <c:smooth val="0"/>
        </c:ser>
        <c:ser>
          <c:idx val="1"/>
          <c:order val="1"/>
          <c:tx>
            <c:strRef>
              <c:f>'Cuenta Ahorro-Inversión-Financi'!$T$40:$T$41</c:f>
              <c:strCache>
                <c:ptCount val="1"/>
                <c:pt idx="0">
                  <c:v>Transferencias corrientes sin las del PAMI,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Ahorro-Inversión-Financi'!$Q$42:$Q$64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Ahorro-Inversión-Financi'!$T$42:$T$64</c:f>
              <c:numCache>
                <c:formatCode>General</c:formatCode>
                <c:ptCount val="23"/>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0.00749095381892099</c:v>
                </c:pt>
                <c:pt idx="12">
                  <c:v>0.00852590691466118</c:v>
                </c:pt>
                <c:pt idx="13">
                  <c:v>0.00787102925233681</c:v>
                </c:pt>
                <c:pt idx="14">
                  <c:v>0.00739879187530181</c:v>
                </c:pt>
                <c:pt idx="15">
                  <c:v>0.00893501787658427</c:v>
                </c:pt>
                <c:pt idx="16">
                  <c:v>0.0123962475351313</c:v>
                </c:pt>
                <c:pt idx="17">
                  <c:v>0.0153052918080471</c:v>
                </c:pt>
                <c:pt idx="18">
                  <c:v>0.0129869169225331</c:v>
                </c:pt>
                <c:pt idx="19">
                  <c:v>0.0122469232596296</c:v>
                </c:pt>
                <c:pt idx="20">
                  <c:v>0.0131002920580577</c:v>
                </c:pt>
                <c:pt idx="21">
                  <c:v>0.0130023586657087</c:v>
                </c:pt>
                <c:pt idx="22">
                  <c:v>0.0142397374282983</c:v>
                </c:pt>
              </c:numCache>
            </c:numRef>
          </c:val>
          <c:smooth val="0"/>
        </c:ser>
        <c:ser>
          <c:idx val="2"/>
          <c:order val="2"/>
          <c:tx>
            <c:strRef>
              <c:f>'Cuenta Ahorro-Inversión-Financi'!$U$40:$U$41</c:f>
              <c:strCache>
                <c:ptCount val="1"/>
                <c:pt idx="0">
                  <c:v>Gastos corrientes sin el PAMI,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Ahorro-Inversión-Financi'!$Q$42:$Q$64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Ahorro-Inversión-Financi'!$U$42:$U$64</c:f>
              <c:numCache>
                <c:formatCode>General</c:formatCode>
                <c:ptCount val="23"/>
                <c:pt idx="0">
                  <c:v>0.0657693068832675</c:v>
                </c:pt>
                <c:pt idx="1">
                  <c:v>0.0700467053319257</c:v>
                </c:pt>
                <c:pt idx="2">
                  <c:v>0.0601927035550024</c:v>
                </c:pt>
                <c:pt idx="3">
                  <c:v>0.0608752908039948</c:v>
                </c:pt>
                <c:pt idx="4">
                  <c:v>0.0566005957718935</c:v>
                </c:pt>
                <c:pt idx="5">
                  <c:v>0.0549855186352841</c:v>
                </c:pt>
                <c:pt idx="6">
                  <c:v>0.0584819665329902</c:v>
                </c:pt>
                <c:pt idx="7">
                  <c:v>0.0587448693895881</c:v>
                </c:pt>
                <c:pt idx="8">
                  <c:v>0.0594267223921134</c:v>
                </c:pt>
                <c:pt idx="9">
                  <c:v>0.0518021958823888</c:v>
                </c:pt>
                <c:pt idx="10">
                  <c:v>0.0502672923467887</c:v>
                </c:pt>
                <c:pt idx="11">
                  <c:v>0.0448165647494005</c:v>
                </c:pt>
                <c:pt idx="12">
                  <c:v>0.0438517744121476</c:v>
                </c:pt>
                <c:pt idx="13">
                  <c:v>0.0455503006322098</c:v>
                </c:pt>
                <c:pt idx="14">
                  <c:v>0.0573140814102419</c:v>
                </c:pt>
                <c:pt idx="15">
                  <c:v>0.0584126184319631</c:v>
                </c:pt>
                <c:pt idx="16">
                  <c:v>0.0709937465458173</c:v>
                </c:pt>
                <c:pt idx="17">
                  <c:v>0.0704103509264721</c:v>
                </c:pt>
                <c:pt idx="18">
                  <c:v>0.0711714016656091</c:v>
                </c:pt>
                <c:pt idx="19">
                  <c:v>0.0785714228908752</c:v>
                </c:pt>
                <c:pt idx="20">
                  <c:v>0.0818006561264896</c:v>
                </c:pt>
                <c:pt idx="21">
                  <c:v>0.0796396153072454</c:v>
                </c:pt>
                <c:pt idx="22">
                  <c:v>0.0891294674359281</c:v>
                </c:pt>
              </c:numCache>
            </c:numRef>
          </c:val>
          <c:smooth val="0"/>
        </c:ser>
        <c:hiLowLines>
          <c:spPr>
            <a:ln>
              <a:noFill/>
            </a:ln>
          </c:spPr>
        </c:hiLowLines>
        <c:marker val="1"/>
        <c:axId val="88129411"/>
        <c:axId val="9068357"/>
      </c:lineChart>
      <c:catAx>
        <c:axId val="88129411"/>
        <c:scaling>
          <c:orientation val="minMax"/>
        </c:scaling>
        <c:delete val="0"/>
        <c:axPos val="b"/>
        <c:numFmt formatCode="General"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9068357"/>
        <c:crosses val="autoZero"/>
        <c:auto val="1"/>
        <c:lblAlgn val="ctr"/>
        <c:lblOffset val="100"/>
      </c:catAx>
      <c:valAx>
        <c:axId val="9068357"/>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88129411"/>
        <c:crossesAt val="1"/>
        <c:crossBetween val="midCat"/>
      </c:valAx>
      <c:spPr>
        <a:noFill/>
        <a:ln w="3240">
          <a:solidFill>
            <a:srgbClr val="a7a7a7"/>
          </a:solidFill>
          <a:round/>
        </a:ln>
      </c:spPr>
    </c:plotArea>
    <c:legend>
      <c:layout>
        <c:manualLayout>
          <c:xMode val="edge"/>
          <c:yMode val="edge"/>
          <c:x val="0.19464914339357"/>
          <c:y val="0.149200850326746"/>
          <c:w val="0.726342470897484"/>
          <c:h val="0.0797637795275591"/>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6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86731750610162"/>
          <c:y val="0.262184072484502"/>
          <c:w val="0.510894164632793"/>
          <c:h val="0.604196471149261"/>
        </c:manualLayout>
      </c:layout>
      <c:lineChart>
        <c:grouping val="standard"/>
        <c:varyColors val="0"/>
        <c:ser>
          <c:idx val="0"/>
          <c:order val="0"/>
          <c:tx>
            <c:strRef>
              <c:f>'Cuenta Ahorro-Inversión-Financi'!$F$40:$F$41</c:f>
              <c:strCache>
                <c:ptCount val="1"/>
                <c:pt idx="0">
                  <c:v>Contribuciones a la seguridad social excluyendo al PAMI,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Ahorro-Inversión-Financi'!$F$42:$F$64</c:f>
              <c:numCache>
                <c:formatCode>General</c:formatCode>
                <c:ptCount val="23"/>
                <c:pt idx="0">
                  <c:v>0.045352832912549</c:v>
                </c:pt>
                <c:pt idx="1">
                  <c:v>0.0412406410701487</c:v>
                </c:pt>
                <c:pt idx="2">
                  <c:v>0.0367162842262927</c:v>
                </c:pt>
                <c:pt idx="3">
                  <c:v>0.0363846758844649</c:v>
                </c:pt>
                <c:pt idx="4">
                  <c:v>0.0349581599781242</c:v>
                </c:pt>
                <c:pt idx="5">
                  <c:v>0.0264965219233464</c:v>
                </c:pt>
                <c:pt idx="6">
                  <c:v>0.0249055646687138</c:v>
                </c:pt>
                <c:pt idx="7">
                  <c:v>0.0236198765665383</c:v>
                </c:pt>
                <c:pt idx="8">
                  <c:v>0.0238758696338049</c:v>
                </c:pt>
                <c:pt idx="9">
                  <c:v>0.0204511996433966</c:v>
                </c:pt>
                <c:pt idx="10">
                  <c:v>0.0204726739831029</c:v>
                </c:pt>
                <c:pt idx="11">
                  <c:v>0.0198583830686151</c:v>
                </c:pt>
                <c:pt idx="12">
                  <c:v>0.0214249777603053</c:v>
                </c:pt>
                <c:pt idx="13">
                  <c:v>0.0252575877444441</c:v>
                </c:pt>
                <c:pt idx="14">
                  <c:v>0.0385047966381489</c:v>
                </c:pt>
                <c:pt idx="15">
                  <c:v>0.0368508016736982</c:v>
                </c:pt>
                <c:pt idx="16">
                  <c:v>0.0507701371819389</c:v>
                </c:pt>
                <c:pt idx="17">
                  <c:v>0.0504873115779599</c:v>
                </c:pt>
                <c:pt idx="18">
                  <c:v>0.051623947009386</c:v>
                </c:pt>
                <c:pt idx="19">
                  <c:v>0.055778278265298</c:v>
                </c:pt>
                <c:pt idx="20">
                  <c:v>0.0576719027752101</c:v>
                </c:pt>
                <c:pt idx="21">
                  <c:v>0.0542098068652894</c:v>
                </c:pt>
                <c:pt idx="22">
                  <c:v>0.0564297158299164</c:v>
                </c:pt>
              </c:numCache>
            </c:numRef>
          </c:val>
          <c:smooth val="0"/>
        </c:ser>
        <c:ser>
          <c:idx val="1"/>
          <c:order val="1"/>
          <c:tx>
            <c:strRef>
              <c:f>'Cuenta Ahorro-Inversión-Financi'!$G$40:$G$41</c:f>
              <c:strCache>
                <c:ptCount val="1"/>
                <c:pt idx="0">
                  <c:v>Ingresos tributarios y no tributarios,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Ahorro-Inversión-Financi'!$G$42:$G$64</c:f>
              <c:numCache>
                <c:formatCode>General</c:formatCode>
                <c:ptCount val="23"/>
                <c:pt idx="0">
                  <c:v>0.0114261586914329</c:v>
                </c:pt>
                <c:pt idx="1">
                  <c:v>0.0120869185800861</c:v>
                </c:pt>
                <c:pt idx="2">
                  <c:v>0.0121121840535182</c:v>
                </c:pt>
                <c:pt idx="3">
                  <c:v>0.0146741320077489</c:v>
                </c:pt>
                <c:pt idx="4">
                  <c:v>0.0200853946887565</c:v>
                </c:pt>
                <c:pt idx="5">
                  <c:v>0.0212578403477591</c:v>
                </c:pt>
                <c:pt idx="6">
                  <c:v>0.0214303302315375</c:v>
                </c:pt>
                <c:pt idx="7">
                  <c:v>0.023556870770298</c:v>
                </c:pt>
                <c:pt idx="8">
                  <c:v>0.0214457736331774</c:v>
                </c:pt>
                <c:pt idx="9">
                  <c:v>0.0170555199717405</c:v>
                </c:pt>
                <c:pt idx="10">
                  <c:v>0.0198553916144812</c:v>
                </c:pt>
                <c:pt idx="11">
                  <c:v>0.0216742076161843</c:v>
                </c:pt>
                <c:pt idx="12">
                  <c:v>0.0219471405894574</c:v>
                </c:pt>
                <c:pt idx="13">
                  <c:v>0.0212196799431274</c:v>
                </c:pt>
                <c:pt idx="14">
                  <c:v>0.0209548679959935</c:v>
                </c:pt>
                <c:pt idx="15">
                  <c:v>0.0204392279016501</c:v>
                </c:pt>
                <c:pt idx="16">
                  <c:v>0.0203921181346288</c:v>
                </c:pt>
                <c:pt idx="17">
                  <c:v>0.0206407631065506</c:v>
                </c:pt>
                <c:pt idx="18">
                  <c:v>0.0210555255476486</c:v>
                </c:pt>
                <c:pt idx="19">
                  <c:v>0.0224400989125377</c:v>
                </c:pt>
                <c:pt idx="20">
                  <c:v>0.0223318530313047</c:v>
                </c:pt>
                <c:pt idx="21">
                  <c:v>0.0225793750807335</c:v>
                </c:pt>
                <c:pt idx="22">
                  <c:v>0.0236426052651485</c:v>
                </c:pt>
              </c:numCache>
            </c:numRef>
          </c:val>
          <c:smooth val="0"/>
        </c:ser>
        <c:ser>
          <c:idx val="2"/>
          <c:order val="2"/>
          <c:tx>
            <c:strRef>
              <c:f>'Cuenta Ahorro-Inversión-Financi'!$H$40:$H$41</c:f>
              <c:strCache>
                <c:ptCount val="1"/>
                <c:pt idx="0">
                  <c:v>Rentas de la propiedad,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Ahorro-Inversión-Financi'!$H$42:$H$64</c:f>
              <c:numCache>
                <c:formatCode>General</c:formatCode>
                <c:ptCount val="23"/>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2.30880969959205E-005</c:v>
                </c:pt>
                <c:pt idx="12">
                  <c:v>6.64758507150565E-005</c:v>
                </c:pt>
                <c:pt idx="13">
                  <c:v>0.000401428799431498</c:v>
                </c:pt>
                <c:pt idx="14">
                  <c:v>0.000737928817183578</c:v>
                </c:pt>
                <c:pt idx="15">
                  <c:v>0.000971980550364607</c:v>
                </c:pt>
                <c:pt idx="16">
                  <c:v>0.00680095700317286</c:v>
                </c:pt>
                <c:pt idx="17">
                  <c:v>0.00524439899269864</c:v>
                </c:pt>
                <c:pt idx="18">
                  <c:v>0.00506588207799855</c:v>
                </c:pt>
                <c:pt idx="19">
                  <c:v>0.00657689666047515</c:v>
                </c:pt>
                <c:pt idx="20">
                  <c:v>0.00683124675183988</c:v>
                </c:pt>
                <c:pt idx="21">
                  <c:v>0.00838241527111434</c:v>
                </c:pt>
                <c:pt idx="22">
                  <c:v>0.00893120932488722</c:v>
                </c:pt>
              </c:numCache>
            </c:numRef>
          </c:val>
          <c:smooth val="0"/>
        </c:ser>
        <c:ser>
          <c:idx val="3"/>
          <c:order val="3"/>
          <c:tx>
            <c:strRef>
              <c:f>'Cuenta Ahorro-Inversión-Financi'!$I$40:$I$41</c:f>
              <c:strCache>
                <c:ptCount val="1"/>
                <c:pt idx="0">
                  <c:v>Ingresos corrientes sin el PAMI, % PIB</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Ahorro-Inversión-Financi'!$I$42:$I$64</c:f>
              <c:numCache>
                <c:formatCode>General</c:formatCode>
                <c:ptCount val="23"/>
                <c:pt idx="0">
                  <c:v>0.0581347504711977</c:v>
                </c:pt>
                <c:pt idx="1">
                  <c:v>0.0534228791599228</c:v>
                </c:pt>
                <c:pt idx="2">
                  <c:v>0.0488601658004833</c:v>
                </c:pt>
                <c:pt idx="3">
                  <c:v>0.0511753311669543</c:v>
                </c:pt>
                <c:pt idx="4">
                  <c:v>0.048375687457096</c:v>
                </c:pt>
                <c:pt idx="5">
                  <c:v>0.0478028585762537</c:v>
                </c:pt>
                <c:pt idx="6">
                  <c:v>0.0463447957902552</c:v>
                </c:pt>
                <c:pt idx="7">
                  <c:v>0.04718182791823</c:v>
                </c:pt>
                <c:pt idx="8">
                  <c:v>0.0453229227707823</c:v>
                </c:pt>
                <c:pt idx="9">
                  <c:v>0.0375241039760657</c:v>
                </c:pt>
                <c:pt idx="10">
                  <c:v>0.0403337211014856</c:v>
                </c:pt>
                <c:pt idx="11">
                  <c:v>0.0415558395127328</c:v>
                </c:pt>
                <c:pt idx="12">
                  <c:v>0.0434387490018353</c:v>
                </c:pt>
                <c:pt idx="13">
                  <c:v>0.0468788196581217</c:v>
                </c:pt>
                <c:pt idx="14">
                  <c:v>0.0601980468713142</c:v>
                </c:pt>
                <c:pt idx="15">
                  <c:v>0.0582636493870521</c:v>
                </c:pt>
                <c:pt idx="16">
                  <c:v>0.0779638818556597</c:v>
                </c:pt>
                <c:pt idx="17">
                  <c:v>0.0763729917909168</c:v>
                </c:pt>
                <c:pt idx="18">
                  <c:v>0.0777453546350332</c:v>
                </c:pt>
                <c:pt idx="19">
                  <c:v>0.0847952738383109</c:v>
                </c:pt>
                <c:pt idx="20">
                  <c:v>0.0868350025583547</c:v>
                </c:pt>
                <c:pt idx="21">
                  <c:v>0.0851715972171373</c:v>
                </c:pt>
                <c:pt idx="22">
                  <c:v>0.0890035304199522</c:v>
                </c:pt>
              </c:numCache>
            </c:numRef>
          </c:val>
          <c:smooth val="0"/>
        </c:ser>
        <c:hiLowLines>
          <c:spPr>
            <a:ln>
              <a:noFill/>
            </a:ln>
          </c:spPr>
        </c:hiLowLines>
        <c:marker val="1"/>
        <c:axId val="58245652"/>
        <c:axId val="47013310"/>
      </c:lineChart>
      <c:catAx>
        <c:axId val="58245652"/>
        <c:scaling>
          <c:orientation val="minMax"/>
        </c:scaling>
        <c:delete val="0"/>
        <c:axPos val="b"/>
        <c:numFmt formatCode="@"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47013310"/>
        <c:crosses val="autoZero"/>
        <c:auto val="1"/>
        <c:lblAlgn val="ctr"/>
        <c:lblOffset val="100"/>
      </c:catAx>
      <c:valAx>
        <c:axId val="47013310"/>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58245652"/>
        <c:crossesAt val="1"/>
        <c:crossBetween val="midCat"/>
      </c:valAx>
      <c:spPr>
        <a:noFill/>
        <a:ln w="3240">
          <a:solidFill>
            <a:srgbClr val="a7a7a7"/>
          </a:solidFill>
          <a:round/>
        </a:ln>
      </c:spPr>
    </c:plotArea>
    <c:legend>
      <c:layout>
        <c:manualLayout>
          <c:xMode val="edge"/>
          <c:yMode val="edge"/>
          <c:x val="0.191524295540271"/>
          <c:y val="0.178350023843586"/>
          <c:w val="0.761737818407739"/>
          <c:h val="0.0966234261732163"/>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6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63587803249499"/>
          <c:y val="0.247235254691689"/>
          <c:w val="0.524556717857408"/>
          <c:h val="0.676189678284182"/>
        </c:manualLayout>
      </c:layout>
      <c:lineChart>
        <c:grouping val="standard"/>
        <c:varyColors val="0"/>
        <c:ser>
          <c:idx val="0"/>
          <c:order val="0"/>
          <c:tx>
            <c:strRef>
              <c:f>'Cuenta Ahorro-Inversión-Financi'!$F$94:$F$95</c:f>
              <c:strCache>
                <c:ptCount val="1"/>
                <c:pt idx="0">
                  <c:v>Contribuciones a la seguridad social excluyendo al PAMI,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Ahorro-Inversión-Financi'!$F$96:$F$117</c:f>
              <c:numCache>
                <c:formatCode>General</c:formatCode>
                <c:ptCount val="22"/>
                <c:pt idx="0">
                  <c:v>0.045352832912549</c:v>
                </c:pt>
                <c:pt idx="1">
                  <c:v>0.0412406410701487</c:v>
                </c:pt>
                <c:pt idx="2">
                  <c:v>0.0367162842262927</c:v>
                </c:pt>
                <c:pt idx="3">
                  <c:v>0.0363846758844649</c:v>
                </c:pt>
                <c:pt idx="4">
                  <c:v>0.0349581599781242</c:v>
                </c:pt>
                <c:pt idx="5">
                  <c:v>0.0264965219233464</c:v>
                </c:pt>
                <c:pt idx="6">
                  <c:v>0.0249055646687138</c:v>
                </c:pt>
                <c:pt idx="7">
                  <c:v>0.0236198765665383</c:v>
                </c:pt>
                <c:pt idx="8">
                  <c:v>0.0238758696338049</c:v>
                </c:pt>
                <c:pt idx="9">
                  <c:v>0.0204511996433966</c:v>
                </c:pt>
                <c:pt idx="10">
                  <c:v>0.0204726739831029</c:v>
                </c:pt>
                <c:pt idx="11">
                  <c:v>0.0198583910397535</c:v>
                </c:pt>
                <c:pt idx="12">
                  <c:v>0.0213435359056264</c:v>
                </c:pt>
                <c:pt idx="13">
                  <c:v>0.0251468100764333</c:v>
                </c:pt>
                <c:pt idx="14">
                  <c:v>0.0383311349846289</c:v>
                </c:pt>
                <c:pt idx="15">
                  <c:v>0.0366905292941694</c:v>
                </c:pt>
                <c:pt idx="16">
                  <c:v>0.0505403546231782</c:v>
                </c:pt>
                <c:pt idx="17">
                  <c:v>0.0502160307510873</c:v>
                </c:pt>
                <c:pt idx="18">
                  <c:v>0.0513298952994492</c:v>
                </c:pt>
                <c:pt idx="19">
                  <c:v>0.0554780570561336</c:v>
                </c:pt>
                <c:pt idx="20">
                  <c:v>0.0574500419620414</c:v>
                </c:pt>
                <c:pt idx="21">
                  <c:v>0.0538609514609617</c:v>
                </c:pt>
              </c:numCache>
            </c:numRef>
          </c:val>
          <c:smooth val="0"/>
        </c:ser>
        <c:ser>
          <c:idx val="1"/>
          <c:order val="1"/>
          <c:tx>
            <c:strRef>
              <c:f>'Cuenta Ahorro-Inversión-Financi'!$G$94:$G$95</c:f>
              <c:strCache>
                <c:ptCount val="1"/>
                <c:pt idx="0">
                  <c:v>Rentas de la propiedad,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Ahorro-Inversión-Financi'!$G$96:$G$117</c:f>
              <c:numCache>
                <c:formatCode>General</c:formatCode>
                <c:ptCount val="22"/>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2.30881062634633E-005</c:v>
                </c:pt>
                <c:pt idx="12">
                  <c:v>6.62231588973957E-005</c:v>
                </c:pt>
                <c:pt idx="13">
                  <c:v>0.00039966816628144</c:v>
                </c:pt>
                <c:pt idx="14">
                  <c:v>0.000734600661998748</c:v>
                </c:pt>
                <c:pt idx="15">
                  <c:v>0.000967753189531536</c:v>
                </c:pt>
                <c:pt idx="16">
                  <c:v>0.00677017628464514</c:v>
                </c:pt>
                <c:pt idx="17">
                  <c:v>0.0052162195382828</c:v>
                </c:pt>
                <c:pt idx="18">
                  <c:v>0.00503702664609787</c:v>
                </c:pt>
                <c:pt idx="19">
                  <c:v>0.00654149714780885</c:v>
                </c:pt>
                <c:pt idx="20">
                  <c:v>0.00680496730055792</c:v>
                </c:pt>
                <c:pt idx="21">
                  <c:v>0.00832847206345979</c:v>
                </c:pt>
              </c:numCache>
            </c:numRef>
          </c:val>
          <c:smooth val="0"/>
        </c:ser>
        <c:ser>
          <c:idx val="2"/>
          <c:order val="2"/>
          <c:tx>
            <c:strRef>
              <c:f>'Cuenta Ahorro-Inversión-Financi'!$H$94:$H$95</c:f>
              <c:strCache>
                <c:ptCount val="1"/>
                <c:pt idx="0">
                  <c:v>Ingresos corrientes sin el PAMI,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Ahorro-Inversión-Financi'!$H$96:$H$117</c:f>
              <c:numCache>
                <c:formatCode>General</c:formatCode>
                <c:ptCount val="22"/>
                <c:pt idx="0">
                  <c:v>0.0581347504711977</c:v>
                </c:pt>
                <c:pt idx="1">
                  <c:v>0.0534228791599228</c:v>
                </c:pt>
                <c:pt idx="2">
                  <c:v>0.0488601658004833</c:v>
                </c:pt>
                <c:pt idx="3">
                  <c:v>0.0511753311669543</c:v>
                </c:pt>
                <c:pt idx="4">
                  <c:v>0.048375687457096</c:v>
                </c:pt>
                <c:pt idx="5">
                  <c:v>0.0478028585762537</c:v>
                </c:pt>
                <c:pt idx="6">
                  <c:v>0.0463447957902552</c:v>
                </c:pt>
                <c:pt idx="7">
                  <c:v>0.04718182791823</c:v>
                </c:pt>
                <c:pt idx="8">
                  <c:v>0.0453229227707823</c:v>
                </c:pt>
                <c:pt idx="9">
                  <c:v>0.0375241039760657</c:v>
                </c:pt>
                <c:pt idx="10">
                  <c:v>0.0403337211014856</c:v>
                </c:pt>
                <c:pt idx="11">
                  <c:v>0.0415558561932119</c:v>
                </c:pt>
                <c:pt idx="12">
                  <c:v>0.0432736271369158</c:v>
                </c:pt>
                <c:pt idx="13">
                  <c:v>0.0466732130747311</c:v>
                </c:pt>
                <c:pt idx="14">
                  <c:v>0.0599265458306365</c:v>
                </c:pt>
                <c:pt idx="15">
                  <c:v>0.0580102477430396</c:v>
                </c:pt>
                <c:pt idx="16">
                  <c:v>0.0776110220593681</c:v>
                </c:pt>
                <c:pt idx="17">
                  <c:v>0.0759626207943985</c:v>
                </c:pt>
                <c:pt idx="18">
                  <c:v>0.0773025145231387</c:v>
                </c:pt>
                <c:pt idx="19">
                  <c:v>0.0843388714459301</c:v>
                </c:pt>
                <c:pt idx="20">
                  <c:v>0.0865009528157236</c:v>
                </c:pt>
                <c:pt idx="21">
                  <c:v>0.0846234939549682</c:v>
                </c:pt>
              </c:numCache>
            </c:numRef>
          </c:val>
          <c:smooth val="0"/>
        </c:ser>
        <c:ser>
          <c:idx val="3"/>
          <c:order val="3"/>
          <c:tx>
            <c:strRef>
              <c:f>'Cuenta Ahorro-Inversión-Financi'!$I$94:$I$95</c:f>
              <c:strCache>
                <c:ptCount val="1"/>
                <c:pt idx="0">
                  <c:v>Prestaciones de la seguridad social, % PIB</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Ahorro-Inversión-Financi'!$I$96:$I$117</c:f>
              <c:numCache>
                <c:formatCode>General</c:formatCode>
                <c:ptCount val="22"/>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0.0367054508298032</c:v>
                </c:pt>
                <c:pt idx="12">
                  <c:v>0.0344192555782106</c:v>
                </c:pt>
                <c:pt idx="13">
                  <c:v>0.036680301679781</c:v>
                </c:pt>
                <c:pt idx="14">
                  <c:v>0.0487599458219909</c:v>
                </c:pt>
                <c:pt idx="15">
                  <c:v>0.0481660713223888</c:v>
                </c:pt>
                <c:pt idx="16">
                  <c:v>0.0565591275475569</c:v>
                </c:pt>
                <c:pt idx="17">
                  <c:v>0.0528866171686624</c:v>
                </c:pt>
                <c:pt idx="18">
                  <c:v>0.0556734161248401</c:v>
                </c:pt>
                <c:pt idx="19">
                  <c:v>0.0636134413385622</c:v>
                </c:pt>
                <c:pt idx="20">
                  <c:v>0.0663361174021365</c:v>
                </c:pt>
                <c:pt idx="21">
                  <c:v>0.0641404872464543</c:v>
                </c:pt>
              </c:numCache>
            </c:numRef>
          </c:val>
          <c:smooth val="0"/>
        </c:ser>
        <c:ser>
          <c:idx val="4"/>
          <c:order val="4"/>
          <c:tx>
            <c:strRef>
              <c:f>'Cuenta Ahorro-Inversión-Financi'!$J$94:$J$95</c:f>
              <c:strCache>
                <c:ptCount val="1"/>
                <c:pt idx="0">
                  <c:v>Transferencias corrientes sin las del PAMI, % PIB</c:v>
                </c:pt>
              </c:strCache>
            </c:strRef>
          </c:tx>
          <c:spPr>
            <a:solidFill>
              <a:srgbClr val="1a0a14"/>
            </a:solidFill>
            <a:ln w="38160">
              <a:solidFill>
                <a:srgbClr val="1a0a14"/>
              </a:solidFill>
              <a:round/>
            </a:ln>
          </c:spPr>
          <c:marker>
            <c:symbol val="triangle"/>
            <c:size val="6"/>
            <c:spPr>
              <a:solidFill>
                <a:srgbClr val="1a0a14"/>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Ahorro-Inversión-Financi'!$J$96:$J$117</c:f>
              <c:numCache>
                <c:formatCode>General</c:formatCode>
                <c:ptCount val="22"/>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0.00749095682578358</c:v>
                </c:pt>
                <c:pt idx="12">
                  <c:v>0.00849349774813984</c:v>
                </c:pt>
                <c:pt idx="13">
                  <c:v>0.00783650757614824</c:v>
                </c:pt>
                <c:pt idx="14">
                  <c:v>0.00736542235920776</c:v>
                </c:pt>
                <c:pt idx="15">
                  <c:v>0.00889615748519055</c:v>
                </c:pt>
                <c:pt idx="16">
                  <c:v>0.0123401428713317</c:v>
                </c:pt>
                <c:pt idx="17">
                  <c:v>0.0152230526852369</c:v>
                </c:pt>
                <c:pt idx="18">
                  <c:v>0.0129129430141222</c:v>
                </c:pt>
                <c:pt idx="19">
                  <c:v>0.0121810053750355</c:v>
                </c:pt>
                <c:pt idx="20">
                  <c:v>0.0130498959152414</c:v>
                </c:pt>
                <c:pt idx="21">
                  <c:v>0.0136468880197234</c:v>
                </c:pt>
              </c:numCache>
            </c:numRef>
          </c:val>
          <c:smooth val="0"/>
        </c:ser>
        <c:ser>
          <c:idx val="5"/>
          <c:order val="5"/>
          <c:tx>
            <c:strRef>
              <c:f>'Cuenta Ahorro-Inversión-Financi'!$K$94:$K$95</c:f>
              <c:strCache>
                <c:ptCount val="1"/>
                <c:pt idx="0">
                  <c:v>Gastos corrientes sin el PAMI, % PIB</c:v>
                </c:pt>
              </c:strCache>
            </c:strRef>
          </c:tx>
          <c:spPr>
            <a:solidFill>
              <a:srgbClr val="99ccff"/>
            </a:solidFill>
            <a:ln w="38160">
              <a:solidFill>
                <a:srgbClr val="99ccff"/>
              </a:solidFill>
              <a:round/>
            </a:ln>
          </c:spPr>
          <c:marker>
            <c:symbol val="plus"/>
            <c:size val="6"/>
            <c:spPr>
              <a:solidFill>
                <a:srgbClr val="99ccff"/>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Ahorro-Inversión-Financi'!$K$96:$K$117</c:f>
              <c:numCache>
                <c:formatCode>General</c:formatCode>
                <c:ptCount val="22"/>
                <c:pt idx="0">
                  <c:v>0.0657693068832675</c:v>
                </c:pt>
                <c:pt idx="1">
                  <c:v>0.0700467053319257</c:v>
                </c:pt>
                <c:pt idx="2">
                  <c:v>0.0601927035550024</c:v>
                </c:pt>
                <c:pt idx="3">
                  <c:v>0.0608752908039948</c:v>
                </c:pt>
                <c:pt idx="4">
                  <c:v>0.0566005957718935</c:v>
                </c:pt>
                <c:pt idx="5">
                  <c:v>0.0549855186352841</c:v>
                </c:pt>
                <c:pt idx="6">
                  <c:v>0.0584819665329902</c:v>
                </c:pt>
                <c:pt idx="7">
                  <c:v>0.0587448693895881</c:v>
                </c:pt>
                <c:pt idx="8">
                  <c:v>0.0594267223921134</c:v>
                </c:pt>
                <c:pt idx="9">
                  <c:v>0.0518021958823888</c:v>
                </c:pt>
                <c:pt idx="10">
                  <c:v>0.0502672923467887</c:v>
                </c:pt>
                <c:pt idx="11">
                  <c:v>0.0448165827387321</c:v>
                </c:pt>
                <c:pt idx="12">
                  <c:v>0.0436850825313419</c:v>
                </c:pt>
                <c:pt idx="13">
                  <c:v>0.0453505208221868</c:v>
                </c:pt>
                <c:pt idx="14">
                  <c:v>0.0570555874298369</c:v>
                </c:pt>
                <c:pt idx="15">
                  <c:v>0.0581585688882519</c:v>
                </c:pt>
                <c:pt idx="16">
                  <c:v>0.0706724331587991</c:v>
                </c:pt>
                <c:pt idx="17">
                  <c:v>0.070032018675799</c:v>
                </c:pt>
                <c:pt idx="18">
                  <c:v>0.0707660070073014</c:v>
                </c:pt>
                <c:pt idx="19">
                  <c:v>0.0781485197766223</c:v>
                </c:pt>
                <c:pt idx="20">
                  <c:v>0.081485973252982</c:v>
                </c:pt>
                <c:pt idx="21">
                  <c:v>0.0798553151107926</c:v>
                </c:pt>
              </c:numCache>
            </c:numRef>
          </c:val>
          <c:smooth val="0"/>
        </c:ser>
        <c:ser>
          <c:idx val="6"/>
          <c:order val="6"/>
          <c:tx>
            <c:strRef>
              <c:f>'Cuenta Ahorro-Inversión-Financi'!$L$94:$L$95</c:f>
              <c:strCache>
                <c:ptCount val="1"/>
                <c:pt idx="0">
                  <c:v>Ingresos extra FGS – gastos excluyendo PAMI, % PIB</c:v>
                </c:pt>
              </c:strCache>
            </c:strRef>
          </c:tx>
          <c:spPr>
            <a:solidFill>
              <a:srgbClr val="33338b"/>
            </a:solidFill>
            <a:ln w="38160">
              <a:solidFill>
                <a:srgbClr val="33338b"/>
              </a:solidFill>
              <a:round/>
            </a:ln>
          </c:spPr>
          <c:marker>
            <c:symbol val="x"/>
            <c:size val="6"/>
            <c:spPr>
              <a:solidFill>
                <a:srgbClr val="33338b"/>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Ahorro-Inversión-Financi'!$L$96:$L$117</c:f>
              <c:numCache>
                <c:formatCode>General</c:formatCode>
                <c:ptCount val="22"/>
                <c:pt idx="0">
                  <c:v>-0.00899031527928553</c:v>
                </c:pt>
                <c:pt idx="1">
                  <c:v>-0.0167191456816908</c:v>
                </c:pt>
                <c:pt idx="2">
                  <c:v>-0.0113642352751916</c:v>
                </c:pt>
                <c:pt idx="3">
                  <c:v>-0.00981648291178097</c:v>
                </c:pt>
                <c:pt idx="4">
                  <c:v>-0.00833321221526048</c:v>
                </c:pt>
                <c:pt idx="5">
                  <c:v>-0.00723115636417861</c:v>
                </c:pt>
                <c:pt idx="6">
                  <c:v>-0.0121460716327388</c:v>
                </c:pt>
                <c:pt idx="7">
                  <c:v>-0.0115681220527519</c:v>
                </c:pt>
                <c:pt idx="8">
                  <c:v>-0.0141050791251311</c:v>
                </c:pt>
                <c:pt idx="9">
                  <c:v>-0.0142952749958619</c:v>
                </c:pt>
                <c:pt idx="10">
                  <c:v>-0.00993903095432012</c:v>
                </c:pt>
                <c:pt idx="11">
                  <c:v>-0.00328381465178366</c:v>
                </c:pt>
                <c:pt idx="12">
                  <c:v>-0.000477678553323493</c:v>
                </c:pt>
                <c:pt idx="13">
                  <c:v>0.000923024086262859</c:v>
                </c:pt>
                <c:pt idx="14">
                  <c:v>0.00213635773880085</c:v>
                </c:pt>
                <c:pt idx="15">
                  <c:v>-0.00111607433474384</c:v>
                </c:pt>
                <c:pt idx="16">
                  <c:v>0.000168412615923846</c:v>
                </c:pt>
                <c:pt idx="17">
                  <c:v>0.000714382580316697</c:v>
                </c:pt>
                <c:pt idx="18">
                  <c:v>0.00149948086973943</c:v>
                </c:pt>
                <c:pt idx="19">
                  <c:v>-0.000351145478501055</c:v>
                </c:pt>
                <c:pt idx="20">
                  <c:v>-0.00178998773781631</c:v>
                </c:pt>
                <c:pt idx="21">
                  <c:v>-0.00356029321928418</c:v>
                </c:pt>
              </c:numCache>
            </c:numRef>
          </c:val>
          <c:smooth val="0"/>
        </c:ser>
        <c:ser>
          <c:idx val="7"/>
          <c:order val="7"/>
          <c:tx>
            <c:strRef>
              <c:f>'Cuenta Ahorro-Inversión-Financi'!$M$94:$M$95</c:f>
              <c:strCache>
                <c:ptCount val="1"/>
                <c:pt idx="0">
                  <c:v>Resultado económico ahorro-desahorro corregido PAMI, % PIB</c:v>
                </c:pt>
              </c:strCache>
            </c:strRef>
          </c:tx>
          <c:spPr>
            <a:solidFill>
              <a:srgbClr val="99cc00"/>
            </a:solidFill>
            <a:ln w="38160">
              <a:solidFill>
                <a:srgbClr val="99cc00"/>
              </a:solidFill>
              <a:round/>
            </a:ln>
          </c:spPr>
          <c:marker>
            <c:symbol val="square"/>
            <c:size val="6"/>
            <c:spPr>
              <a:solidFill>
                <a:srgbClr val="99cc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Ahorro-Inversión-Financi'!$M$96:$M$117</c:f>
              <c:numCache>
                <c:formatCode>General</c:formatCode>
                <c:ptCount val="22"/>
                <c:pt idx="0">
                  <c:v>-0.0076345564120698</c:v>
                </c:pt>
                <c:pt idx="1">
                  <c:v>-0.0166238261720029</c:v>
                </c:pt>
                <c:pt idx="2">
                  <c:v>-0.0113325377545191</c:v>
                </c:pt>
                <c:pt idx="3">
                  <c:v>-0.0096999596370405</c:v>
                </c:pt>
                <c:pt idx="4">
                  <c:v>-0.0082249083147975</c:v>
                </c:pt>
                <c:pt idx="5">
                  <c:v>-0.0071826600590304</c:v>
                </c:pt>
                <c:pt idx="6">
                  <c:v>-0.012137170742735</c:v>
                </c:pt>
                <c:pt idx="7">
                  <c:v>-0.0115630414713581</c:v>
                </c:pt>
                <c:pt idx="8">
                  <c:v>-0.0141037996213311</c:v>
                </c:pt>
                <c:pt idx="9">
                  <c:v>-0.0142780919063231</c:v>
                </c:pt>
                <c:pt idx="10">
                  <c:v>-0.0099335712453031</c:v>
                </c:pt>
                <c:pt idx="11">
                  <c:v>-0.00326072654552019</c:v>
                </c:pt>
                <c:pt idx="12">
                  <c:v>-0.000411455394426098</c:v>
                </c:pt>
                <c:pt idx="13">
                  <c:v>0.0013226922525443</c:v>
                </c:pt>
                <c:pt idx="14">
                  <c:v>0.0028709584007996</c:v>
                </c:pt>
                <c:pt idx="15">
                  <c:v>-0.000148321145212302</c:v>
                </c:pt>
                <c:pt idx="16">
                  <c:v>0.00693858890056899</c:v>
                </c:pt>
                <c:pt idx="17">
                  <c:v>0.0059306021185995</c:v>
                </c:pt>
                <c:pt idx="18">
                  <c:v>0.0065365075158373</c:v>
                </c:pt>
                <c:pt idx="19">
                  <c:v>0.0061903516693078</c:v>
                </c:pt>
                <c:pt idx="20">
                  <c:v>0.00501497956274161</c:v>
                </c:pt>
                <c:pt idx="21">
                  <c:v>0.00476817884417561</c:v>
                </c:pt>
              </c:numCache>
            </c:numRef>
          </c:val>
          <c:smooth val="0"/>
        </c:ser>
        <c:hiLowLines>
          <c:spPr>
            <a:ln>
              <a:noFill/>
            </a:ln>
          </c:spPr>
        </c:hiLowLines>
        <c:marker val="1"/>
        <c:axId val="9521263"/>
        <c:axId val="36288056"/>
      </c:lineChart>
      <c:catAx>
        <c:axId val="9521263"/>
        <c:scaling>
          <c:orientation val="minMax"/>
        </c:scaling>
        <c:delete val="0"/>
        <c:axPos val="b"/>
        <c:numFmt formatCode="@"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36288056"/>
        <c:crosses val="autoZero"/>
        <c:auto val="1"/>
        <c:lblAlgn val="ctr"/>
        <c:lblOffset val="100"/>
      </c:catAx>
      <c:valAx>
        <c:axId val="36288056"/>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9521263"/>
        <c:crossesAt val="1"/>
        <c:crossBetween val="midCat"/>
      </c:valAx>
      <c:spPr>
        <a:noFill/>
        <a:ln w="3240">
          <a:solidFill>
            <a:srgbClr val="a7a7a7"/>
          </a:solidFill>
          <a:round/>
        </a:ln>
      </c:spPr>
    </c:plotArea>
    <c:legend>
      <c:layout>
        <c:manualLayout>
          <c:xMode val="edge"/>
          <c:yMode val="edge"/>
          <c:x val="0.154239928778099"/>
          <c:y val="0.161611930294906"/>
          <c:w val="0.747968987646993"/>
          <c:h val="0.161625471302891"/>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6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16712260631684"/>
          <c:y val="0.246738039478086"/>
          <c:w val="0.485948768962945"/>
          <c:h val="0.640849782535965"/>
        </c:manualLayout>
      </c:layout>
      <c:lineChart>
        <c:grouping val="standard"/>
        <c:varyColors val="0"/>
        <c:ser>
          <c:idx val="0"/>
          <c:order val="0"/>
          <c:tx>
            <c:strRef>
              <c:f>'Cuenta Ahorro-Inversión-Financi'!$F$94:$F$95</c:f>
              <c:strCache>
                <c:ptCount val="1"/>
                <c:pt idx="0">
                  <c:v>Contribuciones a la seguridad social excluyendo al PAMI,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Ahorro-Inversión-Financi'!$F$96:$F$117</c:f>
              <c:numCache>
                <c:formatCode>General</c:formatCode>
                <c:ptCount val="22"/>
                <c:pt idx="0">
                  <c:v>0.045352832912549</c:v>
                </c:pt>
                <c:pt idx="1">
                  <c:v>0.0412406410701487</c:v>
                </c:pt>
                <c:pt idx="2">
                  <c:v>0.0367162842262927</c:v>
                </c:pt>
                <c:pt idx="3">
                  <c:v>0.0363846758844649</c:v>
                </c:pt>
                <c:pt idx="4">
                  <c:v>0.0349581599781242</c:v>
                </c:pt>
                <c:pt idx="5">
                  <c:v>0.0264965219233464</c:v>
                </c:pt>
                <c:pt idx="6">
                  <c:v>0.0249055646687138</c:v>
                </c:pt>
                <c:pt idx="7">
                  <c:v>0.0236198765665383</c:v>
                </c:pt>
                <c:pt idx="8">
                  <c:v>0.0238758696338049</c:v>
                </c:pt>
                <c:pt idx="9">
                  <c:v>0.0204511996433966</c:v>
                </c:pt>
                <c:pt idx="10">
                  <c:v>0.0204726739831029</c:v>
                </c:pt>
                <c:pt idx="11">
                  <c:v>0.0198583910397535</c:v>
                </c:pt>
                <c:pt idx="12">
                  <c:v>0.0213435359056264</c:v>
                </c:pt>
                <c:pt idx="13">
                  <c:v>0.0251468100764333</c:v>
                </c:pt>
                <c:pt idx="14">
                  <c:v>0.0383311349846289</c:v>
                </c:pt>
                <c:pt idx="15">
                  <c:v>0.0366905292941694</c:v>
                </c:pt>
                <c:pt idx="16">
                  <c:v>0.0505403546231782</c:v>
                </c:pt>
                <c:pt idx="17">
                  <c:v>0.0502160307510873</c:v>
                </c:pt>
                <c:pt idx="18">
                  <c:v>0.0513298952994492</c:v>
                </c:pt>
                <c:pt idx="19">
                  <c:v>0.0554780570561336</c:v>
                </c:pt>
                <c:pt idx="20">
                  <c:v>0.0574500419620414</c:v>
                </c:pt>
                <c:pt idx="21">
                  <c:v>0.0538609514609617</c:v>
                </c:pt>
              </c:numCache>
            </c:numRef>
          </c:val>
          <c:smooth val="0"/>
        </c:ser>
        <c:ser>
          <c:idx val="1"/>
          <c:order val="1"/>
          <c:tx>
            <c:strRef>
              <c:f>'Cuenta Ahorro-Inversión-Financi'!$G$94:$G$95</c:f>
              <c:strCache>
                <c:ptCount val="1"/>
                <c:pt idx="0">
                  <c:v>Rentas de la propiedad,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Ahorro-Inversión-Financi'!$G$96:$G$117</c:f>
              <c:numCache>
                <c:formatCode>General</c:formatCode>
                <c:ptCount val="22"/>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2.30881062634633E-005</c:v>
                </c:pt>
                <c:pt idx="12">
                  <c:v>6.62231588973957E-005</c:v>
                </c:pt>
                <c:pt idx="13">
                  <c:v>0.00039966816628144</c:v>
                </c:pt>
                <c:pt idx="14">
                  <c:v>0.000734600661998748</c:v>
                </c:pt>
                <c:pt idx="15">
                  <c:v>0.000967753189531536</c:v>
                </c:pt>
                <c:pt idx="16">
                  <c:v>0.00677017628464514</c:v>
                </c:pt>
                <c:pt idx="17">
                  <c:v>0.0052162195382828</c:v>
                </c:pt>
                <c:pt idx="18">
                  <c:v>0.00503702664609787</c:v>
                </c:pt>
                <c:pt idx="19">
                  <c:v>0.00654149714780885</c:v>
                </c:pt>
                <c:pt idx="20">
                  <c:v>0.00680496730055792</c:v>
                </c:pt>
                <c:pt idx="21">
                  <c:v>0.00832847206345979</c:v>
                </c:pt>
              </c:numCache>
            </c:numRef>
          </c:val>
          <c:smooth val="0"/>
        </c:ser>
        <c:ser>
          <c:idx val="2"/>
          <c:order val="2"/>
          <c:tx>
            <c:strRef>
              <c:f>'Cuenta Ahorro-Inversión-Financi'!$H$94:$H$95</c:f>
              <c:strCache>
                <c:ptCount val="1"/>
                <c:pt idx="0">
                  <c:v>Ingresos corrientes sin el PAMI,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Ahorro-Inversión-Financi'!$H$96:$H$117</c:f>
              <c:numCache>
                <c:formatCode>General</c:formatCode>
                <c:ptCount val="22"/>
                <c:pt idx="0">
                  <c:v>0.0581347504711977</c:v>
                </c:pt>
                <c:pt idx="1">
                  <c:v>0.0534228791599228</c:v>
                </c:pt>
                <c:pt idx="2">
                  <c:v>0.0488601658004833</c:v>
                </c:pt>
                <c:pt idx="3">
                  <c:v>0.0511753311669543</c:v>
                </c:pt>
                <c:pt idx="4">
                  <c:v>0.048375687457096</c:v>
                </c:pt>
                <c:pt idx="5">
                  <c:v>0.0478028585762537</c:v>
                </c:pt>
                <c:pt idx="6">
                  <c:v>0.0463447957902552</c:v>
                </c:pt>
                <c:pt idx="7">
                  <c:v>0.04718182791823</c:v>
                </c:pt>
                <c:pt idx="8">
                  <c:v>0.0453229227707823</c:v>
                </c:pt>
                <c:pt idx="9">
                  <c:v>0.0375241039760657</c:v>
                </c:pt>
                <c:pt idx="10">
                  <c:v>0.0403337211014856</c:v>
                </c:pt>
                <c:pt idx="11">
                  <c:v>0.0415558561932119</c:v>
                </c:pt>
                <c:pt idx="12">
                  <c:v>0.0432736271369158</c:v>
                </c:pt>
                <c:pt idx="13">
                  <c:v>0.0466732130747311</c:v>
                </c:pt>
                <c:pt idx="14">
                  <c:v>0.0599265458306365</c:v>
                </c:pt>
                <c:pt idx="15">
                  <c:v>0.0580102477430396</c:v>
                </c:pt>
                <c:pt idx="16">
                  <c:v>0.0776110220593681</c:v>
                </c:pt>
                <c:pt idx="17">
                  <c:v>0.0759626207943985</c:v>
                </c:pt>
                <c:pt idx="18">
                  <c:v>0.0773025145231387</c:v>
                </c:pt>
                <c:pt idx="19">
                  <c:v>0.0843388714459301</c:v>
                </c:pt>
                <c:pt idx="20">
                  <c:v>0.0865009528157236</c:v>
                </c:pt>
                <c:pt idx="21">
                  <c:v>0.0846234939549682</c:v>
                </c:pt>
              </c:numCache>
            </c:numRef>
          </c:val>
          <c:smooth val="0"/>
        </c:ser>
        <c:ser>
          <c:idx val="3"/>
          <c:order val="3"/>
          <c:tx>
            <c:strRef>
              <c:f>'Cuenta Ahorro-Inversión-Financi'!$I$94:$I$95</c:f>
              <c:strCache>
                <c:ptCount val="1"/>
                <c:pt idx="0">
                  <c:v>Prestaciones de la seguridad social, % PIB</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Ahorro-Inversión-Financi'!$I$96:$I$117</c:f>
              <c:numCache>
                <c:formatCode>General</c:formatCode>
                <c:ptCount val="22"/>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0.0367054508298032</c:v>
                </c:pt>
                <c:pt idx="12">
                  <c:v>0.0344192555782106</c:v>
                </c:pt>
                <c:pt idx="13">
                  <c:v>0.036680301679781</c:v>
                </c:pt>
                <c:pt idx="14">
                  <c:v>0.0487599458219909</c:v>
                </c:pt>
                <c:pt idx="15">
                  <c:v>0.0481660713223888</c:v>
                </c:pt>
                <c:pt idx="16">
                  <c:v>0.0565591275475569</c:v>
                </c:pt>
                <c:pt idx="17">
                  <c:v>0.0528866171686624</c:v>
                </c:pt>
                <c:pt idx="18">
                  <c:v>0.0556734161248401</c:v>
                </c:pt>
                <c:pt idx="19">
                  <c:v>0.0636134413385622</c:v>
                </c:pt>
                <c:pt idx="20">
                  <c:v>0.0663361174021365</c:v>
                </c:pt>
                <c:pt idx="21">
                  <c:v>0.0641404872464543</c:v>
                </c:pt>
              </c:numCache>
            </c:numRef>
          </c:val>
          <c:smooth val="0"/>
        </c:ser>
        <c:ser>
          <c:idx val="4"/>
          <c:order val="4"/>
          <c:tx>
            <c:strRef>
              <c:f>'Cuenta Ahorro-Inversión-Financi'!$J$94:$J$95</c:f>
              <c:strCache>
                <c:ptCount val="1"/>
                <c:pt idx="0">
                  <c:v>Transferencias corrientes sin las del PAMI, % PIB</c:v>
                </c:pt>
              </c:strCache>
            </c:strRef>
          </c:tx>
          <c:spPr>
            <a:solidFill>
              <a:srgbClr val="1a0a14"/>
            </a:solidFill>
            <a:ln w="38160">
              <a:solidFill>
                <a:srgbClr val="1a0a14"/>
              </a:solidFill>
              <a:round/>
            </a:ln>
          </c:spPr>
          <c:marker>
            <c:symbol val="triangle"/>
            <c:size val="6"/>
            <c:spPr>
              <a:solidFill>
                <a:srgbClr val="1a0a14"/>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Ahorro-Inversión-Financi'!$J$96:$J$117</c:f>
              <c:numCache>
                <c:formatCode>General</c:formatCode>
                <c:ptCount val="22"/>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0.00749095682578358</c:v>
                </c:pt>
                <c:pt idx="12">
                  <c:v>0.00849349774813984</c:v>
                </c:pt>
                <c:pt idx="13">
                  <c:v>0.00783650757614824</c:v>
                </c:pt>
                <c:pt idx="14">
                  <c:v>0.00736542235920776</c:v>
                </c:pt>
                <c:pt idx="15">
                  <c:v>0.00889615748519055</c:v>
                </c:pt>
                <c:pt idx="16">
                  <c:v>0.0123401428713317</c:v>
                </c:pt>
                <c:pt idx="17">
                  <c:v>0.0152230526852369</c:v>
                </c:pt>
                <c:pt idx="18">
                  <c:v>0.0129129430141222</c:v>
                </c:pt>
                <c:pt idx="19">
                  <c:v>0.0121810053750355</c:v>
                </c:pt>
                <c:pt idx="20">
                  <c:v>0.0130498959152414</c:v>
                </c:pt>
                <c:pt idx="21">
                  <c:v>0.0136468880197234</c:v>
                </c:pt>
              </c:numCache>
            </c:numRef>
          </c:val>
          <c:smooth val="0"/>
        </c:ser>
        <c:ser>
          <c:idx val="5"/>
          <c:order val="5"/>
          <c:tx>
            <c:strRef>
              <c:f>'Cuenta Ahorro-Inversión-Financi'!$K$94:$K$95</c:f>
              <c:strCache>
                <c:ptCount val="1"/>
                <c:pt idx="0">
                  <c:v>Gastos corrientes sin el PAMI, % PIB</c:v>
                </c:pt>
              </c:strCache>
            </c:strRef>
          </c:tx>
          <c:spPr>
            <a:solidFill>
              <a:srgbClr val="99ccff"/>
            </a:solidFill>
            <a:ln w="38160">
              <a:solidFill>
                <a:srgbClr val="99ccff"/>
              </a:solidFill>
              <a:round/>
            </a:ln>
          </c:spPr>
          <c:marker>
            <c:symbol val="plus"/>
            <c:size val="6"/>
            <c:spPr>
              <a:solidFill>
                <a:srgbClr val="99ccff"/>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Ahorro-Inversión-Financi'!$K$96:$K$117</c:f>
              <c:numCache>
                <c:formatCode>General</c:formatCode>
                <c:ptCount val="22"/>
                <c:pt idx="0">
                  <c:v>0.0657693068832675</c:v>
                </c:pt>
                <c:pt idx="1">
                  <c:v>0.0700467053319257</c:v>
                </c:pt>
                <c:pt idx="2">
                  <c:v>0.0601927035550024</c:v>
                </c:pt>
                <c:pt idx="3">
                  <c:v>0.0608752908039948</c:v>
                </c:pt>
                <c:pt idx="4">
                  <c:v>0.0566005957718935</c:v>
                </c:pt>
                <c:pt idx="5">
                  <c:v>0.0549855186352841</c:v>
                </c:pt>
                <c:pt idx="6">
                  <c:v>0.0584819665329902</c:v>
                </c:pt>
                <c:pt idx="7">
                  <c:v>0.0587448693895881</c:v>
                </c:pt>
                <c:pt idx="8">
                  <c:v>0.0594267223921134</c:v>
                </c:pt>
                <c:pt idx="9">
                  <c:v>0.0518021958823888</c:v>
                </c:pt>
                <c:pt idx="10">
                  <c:v>0.0502672923467887</c:v>
                </c:pt>
                <c:pt idx="11">
                  <c:v>0.0448165827387321</c:v>
                </c:pt>
                <c:pt idx="12">
                  <c:v>0.0436850825313419</c:v>
                </c:pt>
                <c:pt idx="13">
                  <c:v>0.0453505208221868</c:v>
                </c:pt>
                <c:pt idx="14">
                  <c:v>0.0570555874298369</c:v>
                </c:pt>
                <c:pt idx="15">
                  <c:v>0.0581585688882519</c:v>
                </c:pt>
                <c:pt idx="16">
                  <c:v>0.0706724331587991</c:v>
                </c:pt>
                <c:pt idx="17">
                  <c:v>0.070032018675799</c:v>
                </c:pt>
                <c:pt idx="18">
                  <c:v>0.0707660070073014</c:v>
                </c:pt>
                <c:pt idx="19">
                  <c:v>0.0781485197766223</c:v>
                </c:pt>
                <c:pt idx="20">
                  <c:v>0.081485973252982</c:v>
                </c:pt>
                <c:pt idx="21">
                  <c:v>0.0798553151107926</c:v>
                </c:pt>
              </c:numCache>
            </c:numRef>
          </c:val>
          <c:smooth val="0"/>
        </c:ser>
        <c:hiLowLines>
          <c:spPr>
            <a:ln>
              <a:noFill/>
            </a:ln>
          </c:spPr>
        </c:hiLowLines>
        <c:marker val="1"/>
        <c:axId val="39635425"/>
        <c:axId val="28567097"/>
      </c:lineChart>
      <c:catAx>
        <c:axId val="39635425"/>
        <c:scaling>
          <c:orientation val="minMax"/>
        </c:scaling>
        <c:delete val="0"/>
        <c:axPos val="b"/>
        <c:numFmt formatCode="@"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28567097"/>
        <c:crosses val="autoZero"/>
        <c:auto val="1"/>
        <c:lblAlgn val="ctr"/>
        <c:lblOffset val="100"/>
      </c:catAx>
      <c:valAx>
        <c:axId val="28567097"/>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39635425"/>
        <c:crossesAt val="1"/>
        <c:crossBetween val="midCat"/>
      </c:valAx>
      <c:spPr>
        <a:noFill/>
        <a:ln w="3240">
          <a:solidFill>
            <a:srgbClr val="a7a7a7"/>
          </a:solidFill>
          <a:round/>
        </a:ln>
      </c:spPr>
    </c:plotArea>
    <c:legend>
      <c:layout>
        <c:manualLayout>
          <c:xMode val="edge"/>
          <c:yMode val="edge"/>
          <c:x val="0.133200696344193"/>
          <c:y val="0.172382067581131"/>
          <c:w val="0.861221647433347"/>
          <c:h val="0.12538686741949"/>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6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200" spc="-1" strike="noStrike">
                <a:solidFill>
                  <a:srgbClr val="000000"/>
                </a:solidFill>
                <a:latin typeface="Arial"/>
                <a:ea typeface="Arial"/>
              </a:defRPr>
            </a:pPr>
            <a:r>
              <a:rPr b="0" lang="es-AR" sz="1200" spc="-1" strike="noStrike">
                <a:solidFill>
                  <a:srgbClr val="000000"/>
                </a:solidFill>
                <a:latin typeface="Arial"/>
                <a:ea typeface="Arial"/>
              </a:rPr>
              <a:t>Graphique 1: compte courant d'ANSES, % du PIB</a:t>
            </a:r>
          </a:p>
        </c:rich>
      </c:tx>
      <c:layout>
        <c:manualLayout>
          <c:xMode val="edge"/>
          <c:yMode val="edge"/>
          <c:x val="0.36"/>
          <c:y val="0.292133572389063"/>
        </c:manualLayout>
      </c:layout>
      <c:overlay val="0"/>
      <c:spPr>
        <a:noFill/>
        <a:ln w="25560">
          <a:noFill/>
        </a:ln>
      </c:spPr>
    </c:title>
    <c:autoTitleDeleted val="0"/>
    <c:plotArea>
      <c:layout>
        <c:manualLayout>
          <c:layoutTarget val="inner"/>
          <c:xMode val="edge"/>
          <c:yMode val="edge"/>
          <c:x val="0.250200927357032"/>
          <c:y val="0.57003585835948"/>
          <c:w val="0.689273570324575"/>
          <c:h val="0.308718063648588"/>
        </c:manualLayout>
      </c:layout>
      <c:lineChart>
        <c:grouping val="standard"/>
        <c:varyColors val="0"/>
        <c:ser>
          <c:idx val="0"/>
          <c:order val="0"/>
          <c:tx>
            <c:strRef>
              <c:f>'Cuenta Ahorro-Inversión-Financi'!$AA$94:$AA$95</c:f>
              <c:strCache>
                <c:ptCount val="1"/>
                <c:pt idx="0">
                  <c:v>Rentabilité du FGS exclue</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Ahorro-Inversión-Financi'!$Z$96:$Z$118</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Ahorro-Inversión-Financi'!$AA$96:$AA$118</c:f>
              <c:numCache>
                <c:formatCode>General</c:formatCode>
                <c:ptCount val="23"/>
                <c:pt idx="15">
                  <c:v>-0.00111607433474384</c:v>
                </c:pt>
                <c:pt idx="16">
                  <c:v>0.000168412615923846</c:v>
                </c:pt>
                <c:pt idx="17">
                  <c:v>0.000714382580316697</c:v>
                </c:pt>
                <c:pt idx="18">
                  <c:v>0.00149948086973943</c:v>
                </c:pt>
                <c:pt idx="19">
                  <c:v>-0.000351145478501055</c:v>
                </c:pt>
                <c:pt idx="20">
                  <c:v>-0.00178998773781631</c:v>
                </c:pt>
                <c:pt idx="21">
                  <c:v>-0.00356029321928418</c:v>
                </c:pt>
                <c:pt idx="22">
                  <c:v>-0.00905711423083884</c:v>
                </c:pt>
              </c:numCache>
            </c:numRef>
          </c:val>
          <c:smooth val="0"/>
        </c:ser>
        <c:ser>
          <c:idx val="1"/>
          <c:order val="1"/>
          <c:tx>
            <c:strRef>
              <c:f>'Cuenta Ahorro-Inversión-Financi'!$AB$94:$AB$95</c:f>
              <c:strCache>
                <c:ptCount val="1"/>
                <c:pt idx="0">
                  <c:v>Rentabilité du FGS inclue</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Ahorro-Inversión-Financi'!$Z$96:$Z$118</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Ahorro-Inversión-Financi'!$AB$96:$AB$118</c:f>
              <c:numCache>
                <c:formatCode>General</c:formatCode>
                <c:ptCount val="23"/>
                <c:pt idx="0">
                  <c:v>-0.0076345564120698</c:v>
                </c:pt>
                <c:pt idx="1">
                  <c:v>-0.0166238261720029</c:v>
                </c:pt>
                <c:pt idx="2">
                  <c:v>-0.0113325377545191</c:v>
                </c:pt>
                <c:pt idx="3">
                  <c:v>-0.0096999596370405</c:v>
                </c:pt>
                <c:pt idx="4">
                  <c:v>-0.0082249083147975</c:v>
                </c:pt>
                <c:pt idx="5">
                  <c:v>-0.0071826600590304</c:v>
                </c:pt>
                <c:pt idx="6">
                  <c:v>-0.012137170742735</c:v>
                </c:pt>
                <c:pt idx="7">
                  <c:v>-0.0115630414713581</c:v>
                </c:pt>
                <c:pt idx="8">
                  <c:v>-0.0141037996213311</c:v>
                </c:pt>
                <c:pt idx="9">
                  <c:v>-0.0142780919063231</c:v>
                </c:pt>
                <c:pt idx="10">
                  <c:v>-0.0099335712453031</c:v>
                </c:pt>
                <c:pt idx="11">
                  <c:v>-0.00326072654552019</c:v>
                </c:pt>
                <c:pt idx="12">
                  <c:v>-0.000411455394426098</c:v>
                </c:pt>
                <c:pt idx="13">
                  <c:v>0.0013226922525443</c:v>
                </c:pt>
                <c:pt idx="14">
                  <c:v>0.0028709584007996</c:v>
                </c:pt>
                <c:pt idx="15">
                  <c:v>-0.000148321145212302</c:v>
                </c:pt>
                <c:pt idx="16">
                  <c:v>0.00693858890056899</c:v>
                </c:pt>
                <c:pt idx="17">
                  <c:v>0.0059306021185995</c:v>
                </c:pt>
                <c:pt idx="18">
                  <c:v>0.0065365075158373</c:v>
                </c:pt>
                <c:pt idx="19">
                  <c:v>0.0061903516693078</c:v>
                </c:pt>
                <c:pt idx="20">
                  <c:v>0.00501497956274161</c:v>
                </c:pt>
                <c:pt idx="21">
                  <c:v>0.00476817884417561</c:v>
                </c:pt>
                <c:pt idx="22">
                  <c:v>-0.000125904905951621</c:v>
                </c:pt>
              </c:numCache>
            </c:numRef>
          </c:val>
          <c:smooth val="0"/>
        </c:ser>
        <c:hiLowLines>
          <c:spPr>
            <a:ln>
              <a:noFill/>
            </a:ln>
          </c:spPr>
        </c:hiLowLines>
        <c:marker val="1"/>
        <c:axId val="72989916"/>
        <c:axId val="92828221"/>
      </c:lineChart>
      <c:catAx>
        <c:axId val="72989916"/>
        <c:scaling>
          <c:orientation val="minMax"/>
        </c:scaling>
        <c:delete val="0"/>
        <c:axPos val="b"/>
        <c:numFmt formatCode="@" sourceLinked="1"/>
        <c:majorTickMark val="none"/>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92828221"/>
        <c:crosses val="autoZero"/>
        <c:auto val="1"/>
        <c:lblAlgn val="ctr"/>
        <c:lblOffset val="100"/>
      </c:catAx>
      <c:valAx>
        <c:axId val="92828221"/>
        <c:scaling>
          <c:orientation val="minMax"/>
        </c:scaling>
        <c:delete val="0"/>
        <c:axPos val="l"/>
        <c:majorGridlines>
          <c:spPr>
            <a:ln w="3240">
              <a:solidFill>
                <a:srgbClr val="a7a7a7"/>
              </a:solidFill>
              <a:round/>
            </a:ln>
          </c:spPr>
        </c:majorGridlines>
        <c:numFmt formatCode="0.00%" sourceLinked="0"/>
        <c:majorTickMark val="none"/>
        <c:minorTickMark val="none"/>
        <c:tickLblPos val="nextTo"/>
        <c:spPr>
          <a:ln w="6480">
            <a:noFill/>
          </a:ln>
        </c:spPr>
        <c:txPr>
          <a:bodyPr/>
          <a:lstStyle/>
          <a:p>
            <a:pPr>
              <a:defRPr b="0" lang="es-AR" sz="1000" spc="-1" strike="noStrike">
                <a:solidFill>
                  <a:srgbClr val="000000"/>
                </a:solidFill>
                <a:latin typeface="Arial"/>
                <a:ea typeface="Arial"/>
              </a:defRPr>
            </a:pPr>
          </a:p>
        </c:txPr>
        <c:crossAx val="72989916"/>
        <c:crossesAt val="1"/>
        <c:crossBetween val="midCat"/>
      </c:valAx>
      <c:spPr>
        <a:noFill/>
        <a:ln w="3240">
          <a:solidFill>
            <a:srgbClr val="a7a7a7"/>
          </a:solidFill>
          <a:round/>
        </a:ln>
      </c:spPr>
    </c:plotArea>
    <c:legend>
      <c:layout>
        <c:manualLayout>
          <c:xMode val="edge"/>
          <c:yMode val="edge"/>
          <c:x val="0.198825347758887"/>
          <c:y val="0.378193635141192"/>
          <c:w val="0.585012983801162"/>
          <c:h val="0.0627591617169114"/>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6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(1993-2018)</a:t>
            </a:r>
          </a:p>
        </c:rich>
      </c:tx>
      <c:overlay val="0"/>
      <c:spPr>
        <a:noFill/>
        <a:ln w="25560">
          <a:noFill/>
        </a:ln>
      </c:spPr>
    </c:title>
    <c:autoTitleDeleted val="0"/>
    <c:plotArea>
      <c:lineChart>
        <c:grouping val="standard"/>
        <c:varyColors val="0"/>
        <c:ser>
          <c:idx val="0"/>
          <c:order val="0"/>
          <c:tx>
            <c:strRef>
              <c:f>'Cuenta Ahorro-Inversión-Financi'!$AX$80</c:f>
              <c:strCache>
                <c:ptCount val="1"/>
                <c:pt idx="0">
                  <c:v>Resultado económico de ANSES</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Ahorro-Inversión-Financi'!$AV$81:$AV$106</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Ahorro-Inversión-Financi'!$AX$81:$AX$106</c:f>
              <c:numCache>
                <c:formatCode>General</c:formatCode>
                <c:ptCount val="26"/>
                <c:pt idx="0">
                  <c:v>-0.000446069275463893</c:v>
                </c:pt>
                <c:pt idx="1">
                  <c:v>-0.0130853294610615</c:v>
                </c:pt>
                <c:pt idx="2">
                  <c:v>-0.00637934959758819</c:v>
                </c:pt>
                <c:pt idx="3">
                  <c:v>-0.00528730473079139</c:v>
                </c:pt>
                <c:pt idx="4">
                  <c:v>-0.00315594528811225</c:v>
                </c:pt>
                <c:pt idx="5">
                  <c:v>-0.00266006212398561</c:v>
                </c:pt>
                <c:pt idx="6">
                  <c:v>-0.0077596880146275</c:v>
                </c:pt>
                <c:pt idx="7">
                  <c:v>-0.00673854445377408</c:v>
                </c:pt>
                <c:pt idx="8">
                  <c:v>-0.0101649287372602</c:v>
                </c:pt>
                <c:pt idx="9">
                  <c:v>-0.0114398617982835</c:v>
                </c:pt>
                <c:pt idx="10">
                  <c:v>-0.00492707399415027</c:v>
                </c:pt>
                <c:pt idx="11">
                  <c:v>0.00382133245719463</c:v>
                </c:pt>
                <c:pt idx="12">
                  <c:v>0.00757769102751198</c:v>
                </c:pt>
                <c:pt idx="13">
                  <c:v>0.00917791831736937</c:v>
                </c:pt>
                <c:pt idx="14">
                  <c:v>0.0108470293692913</c:v>
                </c:pt>
                <c:pt idx="15">
                  <c:v>0.0057024545724605</c:v>
                </c:pt>
                <c:pt idx="16">
                  <c:v>0.0102798035709593</c:v>
                </c:pt>
                <c:pt idx="17">
                  <c:v>0.00935675490863292</c:v>
                </c:pt>
                <c:pt idx="18">
                  <c:v>0.00832896113680864</c:v>
                </c:pt>
                <c:pt idx="19">
                  <c:v>0.00762851417076517</c:v>
                </c:pt>
                <c:pt idx="20">
                  <c:v>0.0058795781936787</c:v>
                </c:pt>
                <c:pt idx="21">
                  <c:v>0.00708955151514588</c:v>
                </c:pt>
                <c:pt idx="22">
                  <c:v>0.00142387626311401</c:v>
                </c:pt>
                <c:pt idx="23">
                  <c:v>-0.00773292798318479</c:v>
                </c:pt>
                <c:pt idx="24">
                  <c:v>-0.00614048285829008</c:v>
                </c:pt>
                <c:pt idx="25">
                  <c:v>0.00644074962286809</c:v>
                </c:pt>
              </c:numCache>
            </c:numRef>
          </c:val>
          <c:smooth val="0"/>
        </c:ser>
        <c:ser>
          <c:idx val="1"/>
          <c:order val="1"/>
          <c:tx>
            <c:strRef>
              <c:f>'Cuenta Ahorro-Inversión-Financi'!$AY$80</c:f>
              <c:strCache>
                <c:ptCount val="1"/>
                <c:pt idx="0">
                  <c:v>Resultado económico excluyendo rentabilidad del FGS</c:v>
                </c:pt>
              </c:strCache>
            </c:strRef>
          </c:tx>
          <c:spPr>
            <a:solidFill>
              <a:srgbClr val="a5a5a5"/>
            </a:solidFill>
            <a:ln w="19080">
              <a:solidFill>
                <a:srgbClr val="a5a5a5"/>
              </a:solidFill>
              <a:round/>
            </a:ln>
          </c:spPr>
          <c:marker>
            <c:symbol val="x"/>
            <c:size val="10"/>
            <c:spPr>
              <a:solidFill>
                <a:srgbClr val="a5a5a5"/>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Ahorro-Inversión-Financi'!$AV$81:$AV$106</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Ahorro-Inversión-Financi'!$AY$81:$AY$106</c:f>
              <c:numCache>
                <c:formatCode>General</c:formatCode>
                <c:ptCount val="26"/>
                <c:pt idx="15">
                  <c:v>0.00473047402209589</c:v>
                </c:pt>
                <c:pt idx="16">
                  <c:v>0.00347884656778641</c:v>
                </c:pt>
                <c:pt idx="17">
                  <c:v>0.00411235591593429</c:v>
                </c:pt>
                <c:pt idx="18">
                  <c:v>0.00326307905881009</c:v>
                </c:pt>
                <c:pt idx="19">
                  <c:v>0.00105161751029002</c:v>
                </c:pt>
                <c:pt idx="20">
                  <c:v>-0.000951668558161176</c:v>
                </c:pt>
                <c:pt idx="21">
                  <c:v>-0.00129286375596846</c:v>
                </c:pt>
                <c:pt idx="22">
                  <c:v>-0.00750733306177321</c:v>
                </c:pt>
                <c:pt idx="23">
                  <c:v>-0.016540512952781</c:v>
                </c:pt>
                <c:pt idx="24">
                  <c:v>-0.0165001703989284</c:v>
                </c:pt>
                <c:pt idx="25">
                  <c:v>-0.00613813731184667</c:v>
                </c:pt>
              </c:numCache>
            </c:numRef>
          </c:val>
          <c:smooth val="0"/>
        </c:ser>
        <c:ser>
          <c:idx val="2"/>
          <c:order val="2"/>
          <c:tx>
            <c:strRef>
              <c:f>'Cuenta Ahorro-Inversión-Financi'!$AZ$80</c:f>
              <c:strCache>
                <c:ptCount val="1"/>
                <c:pt idx="0">
                  <c:v>Resultado económico excluyendo rentabilidad FGS y asistencia financiera Ley 27.260</c:v>
                </c:pt>
              </c:strCache>
            </c:strRef>
          </c:tx>
          <c:spPr>
            <a:solidFill>
              <a:srgbClr val="ffc000"/>
            </a:solidFill>
            <a:ln w="19080">
              <a:solidFill>
                <a:srgbClr val="ffc000"/>
              </a:solidFill>
              <a:round/>
            </a:ln>
          </c:spPr>
          <c:marker>
            <c:symbol val="triangle"/>
            <c:size val="10"/>
            <c:spPr>
              <a:solidFill>
                <a:srgbClr val="ffc000"/>
              </a:solidFill>
            </c:spPr>
          </c:marker>
          <c:dLbls>
            <c:numFmt formatCode="General"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Ahorro-Inversión-Financi'!$AV$81:$AV$106</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Ahorro-Inversión-Financi'!$AZ$81:$AZ$106</c:f>
              <c:numCache>
                <c:formatCode>General</c:formatCode>
                <c:ptCount val="26"/>
                <c:pt idx="23">
                  <c:v>-0.0203467996958489</c:v>
                </c:pt>
                <c:pt idx="24">
                  <c:v>-0.0241047020081896</c:v>
                </c:pt>
                <c:pt idx="25">
                  <c:v>-0.0182717978002125</c:v>
                </c:pt>
              </c:numCache>
            </c:numRef>
          </c:val>
          <c:smooth val="0"/>
        </c:ser>
        <c:hiLowLines>
          <c:spPr>
            <a:ln>
              <a:noFill/>
            </a:ln>
          </c:spPr>
        </c:hiLowLines>
        <c:marker val="1"/>
        <c:axId val="52293232"/>
        <c:axId val="4854049"/>
      </c:lineChart>
      <c:catAx>
        <c:axId val="5229323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4854049"/>
        <c:crosses val="autoZero"/>
        <c:auto val="1"/>
        <c:lblAlgn val="ctr"/>
        <c:lblOffset val="100"/>
      </c:catAx>
      <c:valAx>
        <c:axId val="4854049"/>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52293232"/>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(1993-2018)</a:t>
            </a:r>
          </a:p>
        </c:rich>
      </c:tx>
      <c:overlay val="0"/>
      <c:spPr>
        <a:noFill/>
        <a:ln w="25560">
          <a:noFill/>
        </a:ln>
      </c:spPr>
    </c:title>
    <c:autoTitleDeleted val="0"/>
    <c:plotArea>
      <c:lineChart>
        <c:grouping val="standard"/>
        <c:varyColors val="0"/>
        <c:ser>
          <c:idx val="0"/>
          <c:order val="0"/>
          <c:tx>
            <c:strRef>
              <c:f>'Cuenta Ahorro-Inversión-Financi'!$AX$80</c:f>
              <c:strCache>
                <c:ptCount val="1"/>
                <c:pt idx="0">
                  <c:v>Resultado económico de ANSES</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Ahorro-Inversión-Financi'!$AV$81:$AV$106</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Ahorro-Inversión-Financi'!$AX$81:$AX$106</c:f>
              <c:numCache>
                <c:formatCode>General</c:formatCode>
                <c:ptCount val="26"/>
                <c:pt idx="0">
                  <c:v>-0.000446069275463893</c:v>
                </c:pt>
                <c:pt idx="1">
                  <c:v>-0.0130853294610615</c:v>
                </c:pt>
                <c:pt idx="2">
                  <c:v>-0.00637934959758819</c:v>
                </c:pt>
                <c:pt idx="3">
                  <c:v>-0.00528730473079139</c:v>
                </c:pt>
                <c:pt idx="4">
                  <c:v>-0.00315594528811225</c:v>
                </c:pt>
                <c:pt idx="5">
                  <c:v>-0.00266006212398561</c:v>
                </c:pt>
                <c:pt idx="6">
                  <c:v>-0.0077596880146275</c:v>
                </c:pt>
                <c:pt idx="7">
                  <c:v>-0.00673854445377408</c:v>
                </c:pt>
                <c:pt idx="8">
                  <c:v>-0.0101649287372602</c:v>
                </c:pt>
                <c:pt idx="9">
                  <c:v>-0.0114398617982835</c:v>
                </c:pt>
                <c:pt idx="10">
                  <c:v>-0.00492707399415027</c:v>
                </c:pt>
                <c:pt idx="11">
                  <c:v>0.00382133245719463</c:v>
                </c:pt>
                <c:pt idx="12">
                  <c:v>0.00757769102751198</c:v>
                </c:pt>
                <c:pt idx="13">
                  <c:v>0.00917791831736937</c:v>
                </c:pt>
                <c:pt idx="14">
                  <c:v>0.0108470293692913</c:v>
                </c:pt>
                <c:pt idx="15">
                  <c:v>0.0057024545724605</c:v>
                </c:pt>
                <c:pt idx="16">
                  <c:v>0.0102798035709593</c:v>
                </c:pt>
                <c:pt idx="17">
                  <c:v>0.00935675490863292</c:v>
                </c:pt>
                <c:pt idx="18">
                  <c:v>0.00832896113680864</c:v>
                </c:pt>
                <c:pt idx="19">
                  <c:v>0.00762851417076517</c:v>
                </c:pt>
                <c:pt idx="20">
                  <c:v>0.0058795781936787</c:v>
                </c:pt>
                <c:pt idx="21">
                  <c:v>0.00708955151514588</c:v>
                </c:pt>
                <c:pt idx="22">
                  <c:v>0.00142387626311401</c:v>
                </c:pt>
                <c:pt idx="23">
                  <c:v>-0.00773292798318479</c:v>
                </c:pt>
                <c:pt idx="24">
                  <c:v>-0.00614048285829008</c:v>
                </c:pt>
                <c:pt idx="25">
                  <c:v>0.00644074962286809</c:v>
                </c:pt>
              </c:numCache>
            </c:numRef>
          </c:val>
          <c:smooth val="0"/>
        </c:ser>
        <c:ser>
          <c:idx val="1"/>
          <c:order val="1"/>
          <c:tx>
            <c:strRef>
              <c:f>'Cuenta Ahorro-Inversión-Financi'!$AY$80</c:f>
              <c:strCache>
                <c:ptCount val="1"/>
                <c:pt idx="0">
                  <c:v>Resultado económico excluyendo rentabilidad del FGS</c:v>
                </c:pt>
              </c:strCache>
            </c:strRef>
          </c:tx>
          <c:spPr>
            <a:solidFill>
              <a:srgbClr val="a5a5a5"/>
            </a:solidFill>
            <a:ln w="19080">
              <a:solidFill>
                <a:srgbClr val="a5a5a5"/>
              </a:solidFill>
              <a:round/>
            </a:ln>
          </c:spPr>
          <c:marker>
            <c:symbol val="x"/>
            <c:size val="10"/>
            <c:spPr>
              <a:solidFill>
                <a:srgbClr val="a5a5a5"/>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Ahorro-Inversión-Financi'!$AV$81:$AV$106</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Ahorro-Inversión-Financi'!$AY$81:$AY$106</c:f>
              <c:numCache>
                <c:formatCode>General</c:formatCode>
                <c:ptCount val="26"/>
                <c:pt idx="15">
                  <c:v>0.00473047402209589</c:v>
                </c:pt>
                <c:pt idx="16">
                  <c:v>0.00347884656778641</c:v>
                </c:pt>
                <c:pt idx="17">
                  <c:v>0.00411235591593429</c:v>
                </c:pt>
                <c:pt idx="18">
                  <c:v>0.00326307905881009</c:v>
                </c:pt>
                <c:pt idx="19">
                  <c:v>0.00105161751029002</c:v>
                </c:pt>
                <c:pt idx="20">
                  <c:v>-0.000951668558161176</c:v>
                </c:pt>
                <c:pt idx="21">
                  <c:v>-0.00129286375596846</c:v>
                </c:pt>
                <c:pt idx="22">
                  <c:v>-0.00750733306177321</c:v>
                </c:pt>
                <c:pt idx="23">
                  <c:v>-0.016540512952781</c:v>
                </c:pt>
                <c:pt idx="24">
                  <c:v>-0.0165001703989284</c:v>
                </c:pt>
                <c:pt idx="25">
                  <c:v>-0.00613813731184667</c:v>
                </c:pt>
              </c:numCache>
            </c:numRef>
          </c:val>
          <c:smooth val="0"/>
        </c:ser>
        <c:ser>
          <c:idx val="2"/>
          <c:order val="2"/>
          <c:tx>
            <c:strRef>
              <c:f>'Cuenta Ahorro-Inversión-Financi'!$AZ$80</c:f>
              <c:strCache>
                <c:ptCount val="1"/>
                <c:pt idx="0">
                  <c:v>Resultado económico excluyendo rentabilidad FGS y asistencia financiera Ley 27.260</c:v>
                </c:pt>
              </c:strCache>
            </c:strRef>
          </c:tx>
          <c:spPr>
            <a:solidFill>
              <a:srgbClr val="ffc000"/>
            </a:solidFill>
            <a:ln w="19080">
              <a:solidFill>
                <a:srgbClr val="ffc000"/>
              </a:solidFill>
              <a:round/>
            </a:ln>
          </c:spPr>
          <c:marker>
            <c:symbol val="triangle"/>
            <c:size val="10"/>
            <c:spPr>
              <a:solidFill>
                <a:srgbClr val="ffc000"/>
              </a:solidFill>
            </c:spPr>
          </c:marker>
          <c:dLbls>
            <c:numFmt formatCode="General"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Ahorro-Inversión-Financi'!$AV$81:$AV$106</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Ahorro-Inversión-Financi'!$AZ$81:$AZ$106</c:f>
              <c:numCache>
                <c:formatCode>General</c:formatCode>
                <c:ptCount val="26"/>
                <c:pt idx="23">
                  <c:v>-0.0203467996958489</c:v>
                </c:pt>
                <c:pt idx="24">
                  <c:v>-0.0241047020081896</c:v>
                </c:pt>
                <c:pt idx="25">
                  <c:v>-0.0182717978002125</c:v>
                </c:pt>
              </c:numCache>
            </c:numRef>
          </c:val>
          <c:smooth val="0"/>
        </c:ser>
        <c:hiLowLines>
          <c:spPr>
            <a:ln>
              <a:noFill/>
            </a:ln>
          </c:spPr>
        </c:hiLowLines>
        <c:marker val="1"/>
        <c:axId val="5761060"/>
        <c:axId val="91620471"/>
      </c:lineChart>
      <c:catAx>
        <c:axId val="576106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91620471"/>
        <c:crosses val="autoZero"/>
        <c:auto val="1"/>
        <c:lblAlgn val="ctr"/>
        <c:lblOffset val="100"/>
      </c:catAx>
      <c:valAx>
        <c:axId val="91620471"/>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5761060"/>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ANSES: Cobertura jubilatoria, proporción de contribuyentes de edad activa y contribuyentes por jubilado, 1994-2018</a:t>
            </a:r>
          </a:p>
        </c:rich>
      </c:tx>
      <c:overlay val="0"/>
      <c:spPr>
        <a:noFill/>
        <a:ln>
          <a:noFill/>
        </a:ln>
      </c:spPr>
    </c:title>
    <c:autoTitleDeleted val="0"/>
    <c:plotArea>
      <c:lineChart>
        <c:grouping val="standard"/>
        <c:varyColors val="0"/>
        <c:ser>
          <c:idx val="0"/>
          <c:order val="0"/>
          <c:tx>
            <c:strRef>
              <c:f>'Cobertura y contribuyentes'!$D$3</c:f>
              <c:strCache>
                <c:ptCount val="1"/>
                <c:pt idx="0">
                  <c:v>Acceso a una jubilación (población en edad jubilatoria)</c:v>
                </c:pt>
              </c:strCache>
            </c:strRef>
          </c:tx>
          <c:spPr>
            <a:solidFill>
              <a:srgbClr val="5b9bd5"/>
            </a:solidFill>
            <a:ln w="28440">
              <a:solidFill>
                <a:srgbClr val="5b9bd5"/>
              </a:solidFill>
              <a:round/>
            </a:ln>
          </c:spPr>
          <c:marker>
            <c:symbol val="circle"/>
            <c:size val="5"/>
            <c:spPr>
              <a:solidFill>
                <a:srgbClr val="5b9bd5"/>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contribuyentes'!$D$4:$D$29</c:f>
              <c:numCache>
                <c:formatCode>General</c:formatCode>
                <c:ptCount val="26"/>
                <c:pt idx="1">
                  <c:v>0.510323801227695</c:v>
                </c:pt>
                <c:pt idx="2">
                  <c:v>0.514072237398752</c:v>
                </c:pt>
                <c:pt idx="3">
                  <c:v>0.474510072059151</c:v>
                </c:pt>
                <c:pt idx="4">
                  <c:v>0.491595366851715</c:v>
                </c:pt>
                <c:pt idx="5">
                  <c:v>0.471091741418777</c:v>
                </c:pt>
                <c:pt idx="6">
                  <c:v>0.450472001858193</c:v>
                </c:pt>
                <c:pt idx="7">
                  <c:v>0.434745013534998</c:v>
                </c:pt>
                <c:pt idx="8">
                  <c:v>0.418722196675673</c:v>
                </c:pt>
                <c:pt idx="9">
                  <c:v>0.405678565066775</c:v>
                </c:pt>
                <c:pt idx="10">
                  <c:v>0.390552011548444</c:v>
                </c:pt>
                <c:pt idx="11">
                  <c:v>0.37950052827156</c:v>
                </c:pt>
                <c:pt idx="12">
                  <c:v>0.409932272818653</c:v>
                </c:pt>
                <c:pt idx="13">
                  <c:v>0.63254954409942</c:v>
                </c:pt>
                <c:pt idx="15">
                  <c:v>0.705060614769156</c:v>
                </c:pt>
                <c:pt idx="16">
                  <c:v>0.786610589184852</c:v>
                </c:pt>
                <c:pt idx="17">
                  <c:v>0.80138193135938</c:v>
                </c:pt>
                <c:pt idx="18">
                  <c:v>0.799365838051898</c:v>
                </c:pt>
                <c:pt idx="19">
                  <c:v>0.787979673083566</c:v>
                </c:pt>
                <c:pt idx="20">
                  <c:v>0.777724938534277</c:v>
                </c:pt>
                <c:pt idx="21">
                  <c:v>0.768773320409193</c:v>
                </c:pt>
                <c:pt idx="22">
                  <c:v>0.833199646077662</c:v>
                </c:pt>
                <c:pt idx="23">
                  <c:v>0.863103308314818</c:v>
                </c:pt>
                <c:pt idx="24">
                  <c:v>0.870017671871194</c:v>
                </c:pt>
                <c:pt idx="25">
                  <c:v>0.868073462837484</c:v>
                </c:pt>
              </c:numCache>
            </c:numRef>
          </c:val>
          <c:smooth val="0"/>
        </c:ser>
        <c:ser>
          <c:idx val="1"/>
          <c:order val="1"/>
          <c:tx>
            <c:strRef>
              <c:f>'Cobertura y contribuyentes'!$E$3</c:f>
              <c:strCache>
                <c:ptCount val="1"/>
                <c:pt idx="0">
                  <c:v>Proporción de población en edad de trabajar que contribuye</c:v>
                </c:pt>
              </c:strCache>
            </c:strRef>
          </c:tx>
          <c:spPr>
            <a:solidFill>
              <a:srgbClr val="ed7d31"/>
            </a:solidFill>
            <a:ln w="28440">
              <a:solidFill>
                <a:srgbClr val="ed7d31"/>
              </a:solidFill>
              <a:round/>
            </a:ln>
          </c:spPr>
          <c:marker>
            <c:symbol val="circle"/>
            <c:size val="5"/>
            <c:spPr>
              <a:solidFill>
                <a:srgbClr val="ed7d31"/>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contribuyentes'!$E$4:$E$29</c:f>
              <c:numCache>
                <c:formatCode>General</c:formatCode>
                <c:ptCount val="26"/>
                <c:pt idx="1">
                  <c:v>0.250975964853961</c:v>
                </c:pt>
                <c:pt idx="2">
                  <c:v>0.257670801277916</c:v>
                </c:pt>
                <c:pt idx="3">
                  <c:v>0.264431702333848</c:v>
                </c:pt>
                <c:pt idx="4">
                  <c:v>0.278864473414839</c:v>
                </c:pt>
                <c:pt idx="5">
                  <c:v>0.271321875792289</c:v>
                </c:pt>
                <c:pt idx="6">
                  <c:v>0.276448468509888</c:v>
                </c:pt>
                <c:pt idx="7">
                  <c:v>0.249786520320761</c:v>
                </c:pt>
                <c:pt idx="8">
                  <c:v>0.233563070096019</c:v>
                </c:pt>
                <c:pt idx="9">
                  <c:v>0.251282804510864</c:v>
                </c:pt>
                <c:pt idx="10">
                  <c:v>0.283873904843088</c:v>
                </c:pt>
                <c:pt idx="11">
                  <c:v>0.310004910945473</c:v>
                </c:pt>
                <c:pt idx="12">
                  <c:v>0.335636017318812</c:v>
                </c:pt>
                <c:pt idx="13">
                  <c:v>0.356550153228881</c:v>
                </c:pt>
                <c:pt idx="15">
                  <c:v>0.366468763007239</c:v>
                </c:pt>
                <c:pt idx="16">
                  <c:v>0.36903840566531</c:v>
                </c:pt>
                <c:pt idx="17">
                  <c:v>0.380237684822312</c:v>
                </c:pt>
                <c:pt idx="18">
                  <c:v>0.39150767662946</c:v>
                </c:pt>
                <c:pt idx="19">
                  <c:v>0.391994461323093</c:v>
                </c:pt>
                <c:pt idx="20">
                  <c:v>0.401764904649651</c:v>
                </c:pt>
                <c:pt idx="21">
                  <c:v>0.398102162892115</c:v>
                </c:pt>
                <c:pt idx="22">
                  <c:v>0.399576055536816</c:v>
                </c:pt>
                <c:pt idx="23">
                  <c:v>0.398213610092985</c:v>
                </c:pt>
                <c:pt idx="24">
                  <c:v>0.400671972234934</c:v>
                </c:pt>
                <c:pt idx="25">
                  <c:v>0.391165444601637</c:v>
                </c:pt>
              </c:numCache>
            </c:numRef>
          </c:val>
          <c:smooth val="0"/>
        </c:ser>
        <c:hiLowLines>
          <c:spPr>
            <a:ln>
              <a:noFill/>
            </a:ln>
          </c:spPr>
        </c:hiLowLines>
        <c:marker val="1"/>
        <c:axId val="38250376"/>
        <c:axId val="31196731"/>
      </c:lineChart>
      <c:lineChart>
        <c:grouping val="standard"/>
        <c:varyColors val="0"/>
        <c:ser>
          <c:idx val="2"/>
          <c:order val="2"/>
          <c:tx>
            <c:strRef>
              <c:f>'Cobertura y contribuyentes'!$F$3</c:f>
              <c:strCache>
                <c:ptCount val="1"/>
                <c:pt idx="0">
                  <c:v>Contribuyentes por jubilado, pilar de reparto (eje derecho)</c:v>
                </c:pt>
              </c:strCache>
            </c:strRef>
          </c:tx>
          <c:spPr>
            <a:solidFill>
              <a:srgbClr val="a5a5a5"/>
            </a:solidFill>
            <a:ln w="28440">
              <a:solidFill>
                <a:srgbClr val="a5a5a5"/>
              </a:solidFill>
              <a:round/>
            </a:ln>
          </c:spPr>
          <c:marker>
            <c:symbol val="circle"/>
            <c:size val="5"/>
            <c:spPr>
              <a:solidFill>
                <a:srgbClr val="a5a5a5"/>
              </a:solidFill>
            </c:spPr>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contribuyentes'!$F$4:$F$29</c:f>
              <c:numCache>
                <c:formatCode>General</c:formatCode>
                <c:ptCount val="26"/>
                <c:pt idx="1">
                  <c:v>0.921359538738319</c:v>
                </c:pt>
                <c:pt idx="2">
                  <c:v>0.756782068048898</c:v>
                </c:pt>
                <c:pt idx="3">
                  <c:v>0.655074204790306</c:v>
                </c:pt>
                <c:pt idx="4">
                  <c:v>0.574293269318777</c:v>
                </c:pt>
                <c:pt idx="5">
                  <c:v>0.540702950702023</c:v>
                </c:pt>
                <c:pt idx="6">
                  <c:v>0.506009559279589</c:v>
                </c:pt>
                <c:pt idx="7">
                  <c:v>0.46468521449095</c:v>
                </c:pt>
                <c:pt idx="8">
                  <c:v>0.42253640151099</c:v>
                </c:pt>
                <c:pt idx="9">
                  <c:v>0.483439770656173</c:v>
                </c:pt>
                <c:pt idx="10">
                  <c:v>0.54958704029792</c:v>
                </c:pt>
                <c:pt idx="11">
                  <c:v>0.668035025076365</c:v>
                </c:pt>
                <c:pt idx="12">
                  <c:v>0.709768184641123</c:v>
                </c:pt>
                <c:pt idx="13">
                  <c:v>0.710857672399949</c:v>
                </c:pt>
                <c:pt idx="14">
                  <c:v>0.96887848326063</c:v>
                </c:pt>
                <c:pt idx="15">
                  <c:v>2.37190742537071</c:v>
                </c:pt>
              </c:numCache>
            </c:numRef>
          </c:val>
          <c:smooth val="0"/>
        </c:ser>
        <c:ser>
          <c:idx val="3"/>
          <c:order val="3"/>
          <c:tx>
            <c:strRef>
              <c:f>'Cobertura y contribuyentes'!$G$3</c:f>
              <c:strCache>
                <c:ptCount val="1"/>
                <c:pt idx="0">
                  <c:v>Contribuyentes por jubilado, SIJP/SIPA (eje derecho)</c:v>
                </c:pt>
              </c:strCache>
            </c:strRef>
          </c:tx>
          <c:spPr>
            <a:solidFill>
              <a:srgbClr val="ffc000"/>
            </a:solidFill>
            <a:ln w="28440">
              <a:solidFill>
                <a:srgbClr val="ffc000"/>
              </a:solidFill>
              <a:round/>
            </a:ln>
          </c:spPr>
          <c:marker>
            <c:symbol val="circle"/>
            <c:size val="5"/>
            <c:spPr>
              <a:solidFill>
                <a:srgbClr val="ffc000"/>
              </a:solidFill>
            </c:spPr>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contribuyentes'!$G$4:$G$29</c:f>
              <c:numCache>
                <c:formatCode>General</c:formatCode>
                <c:ptCount val="26"/>
                <c:pt idx="0">
                  <c:v>2.51333552026008</c:v>
                </c:pt>
                <c:pt idx="1">
                  <c:v>2.28195427118674</c:v>
                </c:pt>
                <c:pt idx="2">
                  <c:v>2.31921058174471</c:v>
                </c:pt>
                <c:pt idx="3">
                  <c:v>2.56924407035337</c:v>
                </c:pt>
                <c:pt idx="4">
                  <c:v>2.60735078905109</c:v>
                </c:pt>
                <c:pt idx="5">
                  <c:v>2.63116491647035</c:v>
                </c:pt>
                <c:pt idx="6">
                  <c:v>2.77943463763494</c:v>
                </c:pt>
                <c:pt idx="7">
                  <c:v>2.57311950630721</c:v>
                </c:pt>
                <c:pt idx="8">
                  <c:v>2.45844224547246</c:v>
                </c:pt>
                <c:pt idx="9">
                  <c:v>2.66574300155016</c:v>
                </c:pt>
                <c:pt idx="10">
                  <c:v>3.05852781452744</c:v>
                </c:pt>
                <c:pt idx="11">
                  <c:v>3.35931357455726</c:v>
                </c:pt>
                <c:pt idx="12">
                  <c:v>3.30801928431984</c:v>
                </c:pt>
                <c:pt idx="13">
                  <c:v>2.29416391153813</c:v>
                </c:pt>
                <c:pt idx="14">
                  <c:v>2.12580398991488</c:v>
                </c:pt>
                <c:pt idx="15">
                  <c:v>2.37190742537071</c:v>
                </c:pt>
                <c:pt idx="16">
                  <c:v>2.09483996077633</c:v>
                </c:pt>
                <c:pt idx="17">
                  <c:v>2.09728900478609</c:v>
                </c:pt>
                <c:pt idx="18">
                  <c:v>2.15631455397416</c:v>
                </c:pt>
                <c:pt idx="19">
                  <c:v>2.1706679950859</c:v>
                </c:pt>
                <c:pt idx="20">
                  <c:v>2.23705824874923</c:v>
                </c:pt>
                <c:pt idx="21">
                  <c:v>2.22414059939898</c:v>
                </c:pt>
                <c:pt idx="22">
                  <c:v>2.04226479570593</c:v>
                </c:pt>
                <c:pt idx="23">
                  <c:v>1.94270018693761</c:v>
                </c:pt>
                <c:pt idx="24">
                  <c:v>1.92252503252826</c:v>
                </c:pt>
                <c:pt idx="25">
                  <c:v>1.90605735985539</c:v>
                </c:pt>
              </c:numCache>
            </c:numRef>
          </c:val>
          <c:smooth val="0"/>
        </c:ser>
        <c:ser>
          <c:idx val="4"/>
          <c:order val="4"/>
          <c:tx>
            <c:strRef>
              <c:f>'Cobertura y contribuyentes'!$H$3</c:f>
              <c:strCache>
                <c:ptCount val="1"/>
                <c:pt idx="0">
                  <c:v>Contribuyentes autónomos y asalariados excl. casas particulares por jubilado, SIJP/SIPA (eje derecho)</c:v>
                </c:pt>
              </c:strCache>
            </c:strRef>
          </c:tx>
          <c:spPr>
            <a:solidFill>
              <a:srgbClr val="4472c4"/>
            </a:solidFill>
            <a:ln w="28440">
              <a:solidFill>
                <a:srgbClr val="4472c4"/>
              </a:solidFill>
              <a:round/>
            </a:ln>
          </c:spPr>
          <c:marker>
            <c:symbol val="circle"/>
            <c:size val="5"/>
            <c:spPr>
              <a:solidFill>
                <a:srgbClr val="4472c4"/>
              </a:solidFill>
            </c:spPr>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contribuyentes'!$H$4:$H$29</c:f>
              <c:numCache>
                <c:formatCode>General</c:formatCode>
                <c:ptCount val="26"/>
                <c:pt idx="0">
                  <c:v>2.51333552026008</c:v>
                </c:pt>
                <c:pt idx="1">
                  <c:v>2.28195427118674</c:v>
                </c:pt>
                <c:pt idx="2">
                  <c:v>2.31921058174471</c:v>
                </c:pt>
                <c:pt idx="3">
                  <c:v>2.56924407035337</c:v>
                </c:pt>
                <c:pt idx="4">
                  <c:v>2.36041247058067</c:v>
                </c:pt>
                <c:pt idx="5">
                  <c:v>2.36831727396947</c:v>
                </c:pt>
                <c:pt idx="6">
                  <c:v>2.42437305572375</c:v>
                </c:pt>
                <c:pt idx="7">
                  <c:v>2.25826104105868</c:v>
                </c:pt>
                <c:pt idx="8">
                  <c:v>2.17899775018279</c:v>
                </c:pt>
                <c:pt idx="9">
                  <c:v>2.36490785503472</c:v>
                </c:pt>
                <c:pt idx="10">
                  <c:v>2.62459035185066</c:v>
                </c:pt>
                <c:pt idx="11">
                  <c:v>2.85289131017769</c:v>
                </c:pt>
                <c:pt idx="12">
                  <c:v>2.74418776678254</c:v>
                </c:pt>
                <c:pt idx="13">
                  <c:v>1.89488364162643</c:v>
                </c:pt>
                <c:pt idx="14">
                  <c:v>1.73064396833894</c:v>
                </c:pt>
                <c:pt idx="15">
                  <c:v>1.9309998939933</c:v>
                </c:pt>
                <c:pt idx="16">
                  <c:v>1.68787830456227</c:v>
                </c:pt>
                <c:pt idx="17">
                  <c:v>1.68411186273806</c:v>
                </c:pt>
                <c:pt idx="18">
                  <c:v>1.72355323761796</c:v>
                </c:pt>
                <c:pt idx="19">
                  <c:v>1.71988233555304</c:v>
                </c:pt>
                <c:pt idx="20">
                  <c:v>1.72863446165932</c:v>
                </c:pt>
                <c:pt idx="21">
                  <c:v>1.71940339717116</c:v>
                </c:pt>
                <c:pt idx="22">
                  <c:v>1.57719696805286</c:v>
                </c:pt>
                <c:pt idx="23">
                  <c:v>1.48536581595343</c:v>
                </c:pt>
                <c:pt idx="24">
                  <c:v>1.45867999776781</c:v>
                </c:pt>
                <c:pt idx="25">
                  <c:v>1.44673032098148</c:v>
                </c:pt>
              </c:numCache>
            </c:numRef>
          </c:val>
          <c:smooth val="0"/>
        </c:ser>
        <c:hiLowLines>
          <c:spPr>
            <a:ln>
              <a:noFill/>
            </a:ln>
          </c:spPr>
        </c:hiLowLines>
        <c:marker val="1"/>
        <c:axId val="85479801"/>
        <c:axId val="72266689"/>
      </c:lineChart>
      <c:catAx>
        <c:axId val="3825037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31196731"/>
        <c:crosses val="autoZero"/>
        <c:auto val="1"/>
        <c:lblAlgn val="ctr"/>
        <c:lblOffset val="100"/>
      </c:catAx>
      <c:valAx>
        <c:axId val="31196731"/>
        <c:scaling>
          <c:orientation val="minMax"/>
          <c:min val="0.2"/>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38250376"/>
        <c:crosses val="autoZero"/>
        <c:crossBetween val="midCat"/>
      </c:valAx>
      <c:catAx>
        <c:axId val="85479801"/>
        <c:scaling>
          <c:orientation val="minMax"/>
        </c:scaling>
        <c:delete val="1"/>
        <c:axPos val="t"/>
        <c:numFmt formatCode="General" sourceLinked="1"/>
        <c:majorTickMark val="out"/>
        <c:minorTickMark val="none"/>
        <c:tickLblPos val="nextTo"/>
        <c:spPr>
          <a:ln w="6480">
            <a:solidFill>
              <a:srgbClr val="8b8b8b"/>
            </a:solidFill>
            <a:round/>
          </a:ln>
        </c:spPr>
        <c:txPr>
          <a:bodyPr/>
          <a:lstStyle/>
          <a:p>
            <a:pPr>
              <a:defRPr b="0" lang="es-AR" sz="1000" spc="-1" strike="noStrike">
                <a:solidFill>
                  <a:srgbClr val="000000"/>
                </a:solidFill>
                <a:latin typeface="Calibri"/>
              </a:defRPr>
            </a:pPr>
          </a:p>
        </c:txPr>
        <c:crossAx val="72266689"/>
        <c:auto val="1"/>
        <c:lblAlgn val="ctr"/>
        <c:lblOffset val="100"/>
      </c:catAx>
      <c:valAx>
        <c:axId val="72266689"/>
        <c:scaling>
          <c:orientation val="minMax"/>
        </c:scaling>
        <c:delete val="0"/>
        <c:axPos val="r"/>
        <c:numFmt formatCode="0.00" sourceLinked="0"/>
        <c:majorTickMark val="out"/>
        <c:minorTickMark val="none"/>
        <c:tickLblPos val="nextTo"/>
        <c:spPr>
          <a:ln w="6480">
            <a:noFill/>
          </a:ln>
        </c:spPr>
        <c:txPr>
          <a:bodyPr/>
          <a:lstStyle/>
          <a:p>
            <a:pPr>
              <a:defRPr b="0" lang="es-AR" sz="900" spc="-1" strike="noStrike">
                <a:solidFill>
                  <a:srgbClr val="595959"/>
                </a:solidFill>
                <a:latin typeface="Calibri"/>
              </a:defRPr>
            </a:pPr>
          </a:p>
        </c:txPr>
        <c:crossAx val="85479801"/>
        <c:crosses val="max"/>
        <c:crossBetween val="midCat"/>
      </c:valAx>
      <c:spPr>
        <a:noFill/>
        <a:ln>
          <a:noFill/>
        </a:ln>
      </c:spPr>
    </c:plotArea>
    <c:legend>
      <c:layout>
        <c:manualLayout>
          <c:xMode val="edge"/>
          <c:yMode val="edge"/>
          <c:x val="0.0591833897205358"/>
          <c:y val="0.755555555555556"/>
          <c:w val="0.884779384501298"/>
          <c:h val="0.227620087336245"/>
        </c:manualLayout>
      </c:layout>
      <c:spPr>
        <a:noFill/>
        <a:ln>
          <a:noFill/>
        </a:ln>
      </c:spPr>
      <c:txPr>
        <a:bodyPr/>
        <a:lstStyle/>
        <a:p>
          <a:pPr>
            <a:defRPr b="0" lang="es-AR" sz="900" spc="-1" strike="noStrike">
              <a:solidFill>
                <a:srgbClr val="595959"/>
              </a:solidFill>
              <a:latin typeface="Calibri"/>
            </a:defRPr>
          </a:pPr>
        </a:p>
      </c:txPr>
    </c:legend>
    <c:plotVisOnly val="1"/>
    <c:dispBlanksAs val="span"/>
  </c:chart>
  <c:spPr>
    <a:solidFill>
      <a:srgbClr val="ffffff"/>
    </a:solidFill>
    <a:ln w="9360">
      <a:solidFill>
        <a:srgbClr val="d9d9d9"/>
      </a:solidFill>
      <a:round/>
    </a:ln>
  </c:spPr>
</c:chartSpace>
</file>

<file path=xl/charts/chart7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Menores con acceso a una asignación familiar de ANSES</a:t>
            </a:r>
          </a:p>
        </c:rich>
      </c:tx>
      <c:overlay val="0"/>
      <c:spPr>
        <a:noFill/>
        <a:ln>
          <a:noFill/>
        </a:ln>
      </c:spPr>
    </c:title>
    <c:autoTitleDeleted val="0"/>
    <c:plotArea>
      <c:barChart>
        <c:barDir val="col"/>
        <c:grouping val="stacked"/>
        <c:varyColors val="0"/>
        <c:ser>
          <c:idx val="0"/>
          <c:order val="0"/>
          <c:tx>
            <c:strRef>
              <c:f>'Cobertura y contribuyentes'!$K$3</c:f>
              <c:strCache>
                <c:ptCount val="1"/>
                <c:pt idx="0">
                  <c:v>Menores con acceso a una asignación contributiva de ANSES</c:v>
                </c:pt>
              </c:strCache>
            </c:strRef>
          </c:tx>
          <c:spPr>
            <a:solidFill>
              <a:srgbClr val="5b9bd5"/>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'Cobertura y contribuyentes'!$J$5:$J$28</c:f>
              <c:strCach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strCache>
            </c:strRef>
          </c:cat>
          <c:val>
            <c:numRef>
              <c:f>'Cobertura y contribuyentes'!$K$5:$K$28</c:f>
              <c:numCache>
                <c:formatCode>General</c:formatCode>
                <c:ptCount val="24"/>
                <c:pt idx="0">
                  <c:v>0.005913270776601</c:v>
                </c:pt>
                <c:pt idx="1">
                  <c:v>0.0130317738288995</c:v>
                </c:pt>
                <c:pt idx="2">
                  <c:v>0.037343572537092</c:v>
                </c:pt>
                <c:pt idx="3">
                  <c:v>0.0360905688677892</c:v>
                </c:pt>
                <c:pt idx="4">
                  <c:v>0.0364917974245971</c:v>
                </c:pt>
                <c:pt idx="5">
                  <c:v>0.0424826193315992</c:v>
                </c:pt>
                <c:pt idx="6">
                  <c:v>0.0407753237947181</c:v>
                </c:pt>
                <c:pt idx="7">
                  <c:v>0.0527550950336396</c:v>
                </c:pt>
                <c:pt idx="8">
                  <c:v>0.0447118584621405</c:v>
                </c:pt>
                <c:pt idx="9">
                  <c:v>0.0570531931956199</c:v>
                </c:pt>
                <c:pt idx="10">
                  <c:v>0.0933237171146911</c:v>
                </c:pt>
                <c:pt idx="11">
                  <c:v>0.127012058907103</c:v>
                </c:pt>
                <c:pt idx="12">
                  <c:v>0.154027801449047</c:v>
                </c:pt>
                <c:pt idx="13">
                  <c:v>0.184085966027222</c:v>
                </c:pt>
                <c:pt idx="14">
                  <c:v>0.242310545647974</c:v>
                </c:pt>
                <c:pt idx="15">
                  <c:v>0.259920416015888</c:v>
                </c:pt>
                <c:pt idx="16">
                  <c:v>0.283533164030937</c:v>
                </c:pt>
                <c:pt idx="17">
                  <c:v>0.256303561618946</c:v>
                </c:pt>
                <c:pt idx="18">
                  <c:v>0.298280426889674</c:v>
                </c:pt>
                <c:pt idx="19">
                  <c:v>0.327569516434364</c:v>
                </c:pt>
                <c:pt idx="20">
                  <c:v>0.295267369774937</c:v>
                </c:pt>
                <c:pt idx="21">
                  <c:v>0.347544212007722</c:v>
                </c:pt>
                <c:pt idx="22">
                  <c:v>0.377740339976755</c:v>
                </c:pt>
                <c:pt idx="23">
                  <c:v>0.386530208370114</c:v>
                </c:pt>
              </c:numCache>
            </c:numRef>
          </c:val>
        </c:ser>
        <c:ser>
          <c:idx val="1"/>
          <c:order val="1"/>
          <c:tx>
            <c:strRef>
              <c:f>'Cobertura y contribuyentes'!$L$3</c:f>
              <c:strCache>
                <c:ptCount val="1"/>
                <c:pt idx="0">
                  <c:v>Menores con acceso a la AUH</c:v>
                </c:pt>
              </c:strCache>
            </c:strRef>
          </c:tx>
          <c:spPr>
            <a:solidFill>
              <a:srgbClr val="ed7d31"/>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'Cobertura y contribuyentes'!$J$5:$J$28</c:f>
              <c:strCach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strCache>
            </c:strRef>
          </c:cat>
          <c:val>
            <c:numRef>
              <c:f>'Cobertura y contribuyentes'!$L$5:$L$28</c:f>
              <c:numCache>
                <c:formatCode>General</c:formatCode>
                <c:ptCount val="24"/>
                <c:pt idx="14">
                  <c:v>0.265905834578891</c:v>
                </c:pt>
                <c:pt idx="15">
                  <c:v>0.274917580193644</c:v>
                </c:pt>
                <c:pt idx="16">
                  <c:v>0.277432403195845</c:v>
                </c:pt>
                <c:pt idx="17">
                  <c:v>0.265419840607358</c:v>
                </c:pt>
                <c:pt idx="18">
                  <c:v>0.260316413846619</c:v>
                </c:pt>
                <c:pt idx="19">
                  <c:v>0.265648822789121</c:v>
                </c:pt>
                <c:pt idx="20">
                  <c:v>0.275595845412197</c:v>
                </c:pt>
                <c:pt idx="21">
                  <c:v>0.298096864169474</c:v>
                </c:pt>
                <c:pt idx="22">
                  <c:v>0.299303500751424</c:v>
                </c:pt>
                <c:pt idx="23">
                  <c:v>0.301193002122483</c:v>
                </c:pt>
              </c:numCache>
            </c:numRef>
          </c:val>
        </c:ser>
        <c:gapWidth val="150"/>
        <c:overlap val="100"/>
        <c:axId val="7021138"/>
        <c:axId val="48753776"/>
      </c:barChart>
      <c:catAx>
        <c:axId val="702113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48753776"/>
        <c:crosses val="autoZero"/>
        <c:auto val="1"/>
        <c:lblAlgn val="ctr"/>
        <c:lblOffset val="100"/>
      </c:catAx>
      <c:valAx>
        <c:axId val="48753776"/>
        <c:scaling>
          <c:orientation val="minMax"/>
          <c:max val="0.7"/>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7021138"/>
        <c:crosses val="autoZero"/>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AR" sz="1600" spc="97" strike="noStrike">
                <a:solidFill>
                  <a:srgbClr val="595959"/>
                </a:solidFill>
                <a:latin typeface="Calibri"/>
              </a:defRPr>
            </a:pPr>
            <a:r>
              <a:rPr b="1" lang="es-AR" sz="1600" spc="97" strike="noStrike">
                <a:solidFill>
                  <a:srgbClr val="595959"/>
                </a:solidFill>
                <a:latin typeface="Calibri"/>
              </a:rPr>
              <a:t>Aportantes al SIJP/SIPA por relación laboral, 1994-2018 </a:t>
            </a:r>
          </a:p>
        </c:rich>
      </c:tx>
      <c:overlay val="0"/>
      <c:spPr>
        <a:noFill/>
        <a:ln>
          <a:noFill/>
        </a:ln>
      </c:spPr>
    </c:title>
    <c:autoTitleDeleted val="0"/>
    <c:plotArea>
      <c:layout>
        <c:manualLayout>
          <c:layoutTarget val="inner"/>
          <c:xMode val="edge"/>
          <c:yMode val="edge"/>
          <c:x val="0.10292664386165"/>
          <c:y val="0.142557044549076"/>
          <c:w val="0.876548840744964"/>
          <c:h val="0.692864904020283"/>
        </c:manualLayout>
      </c:layout>
      <c:lineChart>
        <c:grouping val="standard"/>
        <c:varyColors val="0"/>
        <c:ser>
          <c:idx val="0"/>
          <c:order val="0"/>
          <c:tx>
            <c:strRef>
              <c:f>'Cobertura y contribuyentes'!$K$31</c:f>
              <c:strCache>
                <c:ptCount val="1"/>
                <c:pt idx="0">
                  <c:v>Total de aportantes(1)</c:v>
                </c:pt>
              </c:strCache>
            </c:strRef>
          </c:tx>
          <c:spPr>
            <a:solidFill>
              <a:srgbClr val="5b9bd5"/>
            </a:solidFill>
            <a:ln w="15840">
              <a:solidFill>
                <a:srgbClr val="5b9bd5"/>
              </a:solidFill>
              <a:round/>
            </a:ln>
          </c:spPr>
          <c:marker>
            <c:symbol val="diamond"/>
            <c:size val="9"/>
            <c:spPr>
              <a:solidFill>
                <a:srgbClr val="5b9bd5"/>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contribuyentes'!$K$32:$K$56</c:f>
              <c:numCache>
                <c:formatCode>General</c:formatCode>
                <c:ptCount val="25"/>
                <c:pt idx="0">
                  <c:v>5133337</c:v>
                </c:pt>
                <c:pt idx="1">
                  <c:v>4706946</c:v>
                </c:pt>
                <c:pt idx="2">
                  <c:v>4910831</c:v>
                </c:pt>
                <c:pt idx="3">
                  <c:v>5123196</c:v>
                </c:pt>
                <c:pt idx="4">
                  <c:v>5492389</c:v>
                </c:pt>
                <c:pt idx="5">
                  <c:v>5430679</c:v>
                </c:pt>
                <c:pt idx="6">
                  <c:v>5619684</c:v>
                </c:pt>
                <c:pt idx="7">
                  <c:v>5153611</c:v>
                </c:pt>
                <c:pt idx="8">
                  <c:v>4888873</c:v>
                </c:pt>
                <c:pt idx="9">
                  <c:v>5334381</c:v>
                </c:pt>
                <c:pt idx="10">
                  <c:v>6110177</c:v>
                </c:pt>
                <c:pt idx="11">
                  <c:v>6764381</c:v>
                </c:pt>
                <c:pt idx="12">
                  <c:v>7423536</c:v>
                </c:pt>
                <c:pt idx="13">
                  <c:v>7992422</c:v>
                </c:pt>
                <c:pt idx="14">
                  <c:v>8323526</c:v>
                </c:pt>
                <c:pt idx="15">
                  <c:v>8490198</c:v>
                </c:pt>
                <c:pt idx="16">
                  <c:v>8857445</c:v>
                </c:pt>
                <c:pt idx="17">
                  <c:v>9230788</c:v>
                </c:pt>
                <c:pt idx="18">
                  <c:v>9351697</c:v>
                </c:pt>
                <c:pt idx="19">
                  <c:v>9695337</c:v>
                </c:pt>
                <c:pt idx="20">
                  <c:v>9714843</c:v>
                </c:pt>
                <c:pt idx="21">
                  <c:v>9857400</c:v>
                </c:pt>
                <c:pt idx="22">
                  <c:v>9927705</c:v>
                </c:pt>
                <c:pt idx="23">
                  <c:v>10091261</c:v>
                </c:pt>
                <c:pt idx="24">
                  <c:v>9950337.66666667</c:v>
                </c:pt>
              </c:numCache>
            </c:numRef>
          </c:val>
          <c:smooth val="0"/>
        </c:ser>
        <c:ser>
          <c:idx val="1"/>
          <c:order val="1"/>
          <c:tx>
            <c:strRef>
              <c:f>'Cobertura y contribuyentes'!$L$31</c:f>
              <c:strCache>
                <c:ptCount val="1"/>
                <c:pt idx="0">
                  <c:v>Relación de
dependencia</c:v>
                </c:pt>
              </c:strCache>
            </c:strRef>
          </c:tx>
          <c:spPr>
            <a:solidFill>
              <a:srgbClr val="ed7d31"/>
            </a:solidFill>
            <a:ln w="15840">
              <a:solidFill>
                <a:srgbClr val="ed7d31"/>
              </a:solidFill>
              <a:round/>
            </a:ln>
          </c:spPr>
          <c:marker>
            <c:symbol val="square"/>
            <c:size val="9"/>
            <c:spPr>
              <a:solidFill>
                <a:srgbClr val="ed7d31"/>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contribuyentes'!$L$32:$L$56</c:f>
              <c:numCache>
                <c:formatCode>General</c:formatCode>
                <c:ptCount val="25"/>
                <c:pt idx="0">
                  <c:v>3700589</c:v>
                </c:pt>
                <c:pt idx="1">
                  <c:v>3481583</c:v>
                </c:pt>
                <c:pt idx="2">
                  <c:v>3929008</c:v>
                </c:pt>
                <c:pt idx="3">
                  <c:v>4250090</c:v>
                </c:pt>
                <c:pt idx="4">
                  <c:v>4428527</c:v>
                </c:pt>
                <c:pt idx="5">
                  <c:v>4426683</c:v>
                </c:pt>
                <c:pt idx="6">
                  <c:v>4500218</c:v>
                </c:pt>
                <c:pt idx="7">
                  <c:v>4206056</c:v>
                </c:pt>
                <c:pt idx="8">
                  <c:v>4028297</c:v>
                </c:pt>
                <c:pt idx="9">
                  <c:v>4424825</c:v>
                </c:pt>
                <c:pt idx="10">
                  <c:v>4879470</c:v>
                </c:pt>
                <c:pt idx="11">
                  <c:v>5389343</c:v>
                </c:pt>
                <c:pt idx="12">
                  <c:v>5801523</c:v>
                </c:pt>
                <c:pt idx="13">
                  <c:v>6246984</c:v>
                </c:pt>
                <c:pt idx="14">
                  <c:v>6414915</c:v>
                </c:pt>
                <c:pt idx="15">
                  <c:v>6474374</c:v>
                </c:pt>
                <c:pt idx="16">
                  <c:v>6732665</c:v>
                </c:pt>
                <c:pt idx="17">
                  <c:v>6986246</c:v>
                </c:pt>
                <c:pt idx="18">
                  <c:v>7002490</c:v>
                </c:pt>
                <c:pt idx="19">
                  <c:v>7070532</c:v>
                </c:pt>
                <c:pt idx="20">
                  <c:v>7094528</c:v>
                </c:pt>
                <c:pt idx="21">
                  <c:v>7201832</c:v>
                </c:pt>
                <c:pt idx="22">
                  <c:v>7167657</c:v>
                </c:pt>
                <c:pt idx="23">
                  <c:v>7246488</c:v>
                </c:pt>
                <c:pt idx="24">
                  <c:v>7195407.16666667</c:v>
                </c:pt>
              </c:numCache>
            </c:numRef>
          </c:val>
          <c:smooth val="0"/>
        </c:ser>
        <c:ser>
          <c:idx val="2"/>
          <c:order val="2"/>
          <c:tx>
            <c:strRef>
              <c:f>'Cobertura y contribuyentes'!$M$31</c:f>
              <c:strCache>
                <c:ptCount val="1"/>
                <c:pt idx="0">
                  <c:v>Casas Particulares</c:v>
                </c:pt>
              </c:strCache>
            </c:strRef>
          </c:tx>
          <c:spPr>
            <a:solidFill>
              <a:srgbClr val="a5a5a5"/>
            </a:solidFill>
            <a:ln w="15840">
              <a:solidFill>
                <a:srgbClr val="a5a5a5"/>
              </a:solidFill>
              <a:round/>
            </a:ln>
          </c:spPr>
          <c:marker>
            <c:symbol val="triangle"/>
            <c:size val="9"/>
            <c:spPr>
              <a:solidFill>
                <a:srgbClr val="a5a5a5"/>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contribuyentes'!$M$32:$M$56</c:f>
              <c:numCache>
                <c:formatCode>General</c:formatCode>
                <c:ptCount val="25"/>
                <c:pt idx="0">
                  <c:v>0</c:v>
                </c:pt>
                <c:pt idx="1">
                  <c:v>0</c:v>
                </c:pt>
                <c:pt idx="2">
                  <c:v>0</c:v>
                </c:pt>
                <c:pt idx="3">
                  <c:v>0</c:v>
                </c:pt>
                <c:pt idx="4">
                  <c:v>0</c:v>
                </c:pt>
                <c:pt idx="5">
                  <c:v>29408</c:v>
                </c:pt>
                <c:pt idx="6">
                  <c:v>228443</c:v>
                </c:pt>
                <c:pt idx="7">
                  <c:v>206202</c:v>
                </c:pt>
                <c:pt idx="8">
                  <c:v>154862</c:v>
                </c:pt>
                <c:pt idx="9">
                  <c:v>116073</c:v>
                </c:pt>
                <c:pt idx="10">
                  <c:v>87718</c:v>
                </c:pt>
                <c:pt idx="11">
                  <c:v>133458</c:v>
                </c:pt>
                <c:pt idx="12">
                  <c:v>239800</c:v>
                </c:pt>
                <c:pt idx="13">
                  <c:v>295405</c:v>
                </c:pt>
                <c:pt idx="14">
                  <c:v>337756</c:v>
                </c:pt>
                <c:pt idx="15">
                  <c:v>367171</c:v>
                </c:pt>
                <c:pt idx="16">
                  <c:v>368967</c:v>
                </c:pt>
                <c:pt idx="17">
                  <c:v>359525</c:v>
                </c:pt>
                <c:pt idx="18">
                  <c:v>370095</c:v>
                </c:pt>
                <c:pt idx="19">
                  <c:v>435877</c:v>
                </c:pt>
                <c:pt idx="20">
                  <c:v>403386</c:v>
                </c:pt>
                <c:pt idx="21">
                  <c:v>415030</c:v>
                </c:pt>
                <c:pt idx="22">
                  <c:v>433905</c:v>
                </c:pt>
                <c:pt idx="23">
                  <c:v>440285</c:v>
                </c:pt>
                <c:pt idx="24">
                  <c:v>435632.5</c:v>
                </c:pt>
              </c:numCache>
            </c:numRef>
          </c:val>
          <c:smooth val="0"/>
        </c:ser>
        <c:ser>
          <c:idx val="3"/>
          <c:order val="3"/>
          <c:tx>
            <c:strRef>
              <c:f>'Cobertura y contribuyentes'!$N$31</c:f>
              <c:strCache>
                <c:ptCount val="1"/>
                <c:pt idx="0">
                  <c:v>Autónomos</c:v>
                </c:pt>
              </c:strCache>
            </c:strRef>
          </c:tx>
          <c:spPr>
            <a:solidFill>
              <a:srgbClr val="ffc000"/>
            </a:solidFill>
            <a:ln w="15840">
              <a:solidFill>
                <a:srgbClr val="ffc000"/>
              </a:solidFill>
              <a:round/>
            </a:ln>
          </c:spPr>
          <c:marker>
            <c:symbol val="x"/>
            <c:size val="9"/>
            <c:spPr>
              <a:solidFill>
                <a:srgbClr val="ffc000"/>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contribuyentes'!$N$32:$N$56</c:f>
              <c:numCache>
                <c:formatCode>General</c:formatCode>
                <c:ptCount val="25"/>
                <c:pt idx="0">
                  <c:v>1530834</c:v>
                </c:pt>
                <c:pt idx="1">
                  <c:v>1313960</c:v>
                </c:pt>
                <c:pt idx="2">
                  <c:v>1061710</c:v>
                </c:pt>
                <c:pt idx="3">
                  <c:v>947318</c:v>
                </c:pt>
                <c:pt idx="4">
                  <c:v>640733</c:v>
                </c:pt>
                <c:pt idx="5">
                  <c:v>550873</c:v>
                </c:pt>
                <c:pt idx="6">
                  <c:v>483737</c:v>
                </c:pt>
                <c:pt idx="7">
                  <c:v>382867</c:v>
                </c:pt>
                <c:pt idx="8">
                  <c:v>365312</c:v>
                </c:pt>
                <c:pt idx="9">
                  <c:v>376555</c:v>
                </c:pt>
                <c:pt idx="10">
                  <c:v>439787</c:v>
                </c:pt>
                <c:pt idx="11">
                  <c:v>440819</c:v>
                </c:pt>
                <c:pt idx="12">
                  <c:v>454273</c:v>
                </c:pt>
                <c:pt idx="13">
                  <c:v>454473</c:v>
                </c:pt>
                <c:pt idx="14">
                  <c:v>470958</c:v>
                </c:pt>
                <c:pt idx="15">
                  <c:v>475396</c:v>
                </c:pt>
                <c:pt idx="16">
                  <c:v>487435</c:v>
                </c:pt>
                <c:pt idx="17">
                  <c:v>508622</c:v>
                </c:pt>
                <c:pt idx="18">
                  <c:v>523613</c:v>
                </c:pt>
                <c:pt idx="19">
                  <c:v>545582</c:v>
                </c:pt>
                <c:pt idx="20">
                  <c:v>535911</c:v>
                </c:pt>
                <c:pt idx="21">
                  <c:v>541906</c:v>
                </c:pt>
                <c:pt idx="22">
                  <c:v>551932</c:v>
                </c:pt>
                <c:pt idx="23">
                  <c:v>531204</c:v>
                </c:pt>
                <c:pt idx="24">
                  <c:v>507878.5</c:v>
                </c:pt>
              </c:numCache>
            </c:numRef>
          </c:val>
          <c:smooth val="0"/>
        </c:ser>
        <c:ser>
          <c:idx val="4"/>
          <c:order val="4"/>
          <c:tx>
            <c:strRef>
              <c:f>'Cobertura y contribuyentes'!$O$31</c:f>
              <c:strCache>
                <c:ptCount val="1"/>
                <c:pt idx="0">
                  <c:v>Monotributo(2)</c:v>
                </c:pt>
              </c:strCache>
            </c:strRef>
          </c:tx>
          <c:spPr>
            <a:solidFill>
              <a:srgbClr val="4472c4"/>
            </a:solidFill>
            <a:ln w="15840">
              <a:solidFill>
                <a:srgbClr val="4472c4"/>
              </a:solidFill>
              <a:round/>
            </a:ln>
          </c:spPr>
          <c:marker>
            <c:symbol val="square"/>
            <c:size val="9"/>
            <c:spPr>
              <a:solidFill>
                <a:srgbClr val="4472c4"/>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contribuyentes'!$O$32:$O$56</c:f>
              <c:numCache>
                <c:formatCode>General</c:formatCode>
                <c:ptCount val="25"/>
                <c:pt idx="0">
                  <c:v>0</c:v>
                </c:pt>
                <c:pt idx="1">
                  <c:v>0</c:v>
                </c:pt>
                <c:pt idx="2">
                  <c:v>0</c:v>
                </c:pt>
                <c:pt idx="3">
                  <c:v>0</c:v>
                </c:pt>
                <c:pt idx="4">
                  <c:v>520176</c:v>
                </c:pt>
                <c:pt idx="5">
                  <c:v>513105</c:v>
                </c:pt>
                <c:pt idx="6">
                  <c:v>489449</c:v>
                </c:pt>
                <c:pt idx="7">
                  <c:v>424417</c:v>
                </c:pt>
                <c:pt idx="8">
                  <c:v>400843</c:v>
                </c:pt>
                <c:pt idx="9">
                  <c:v>485924</c:v>
                </c:pt>
                <c:pt idx="10">
                  <c:v>779181</c:v>
                </c:pt>
                <c:pt idx="11">
                  <c:v>886284</c:v>
                </c:pt>
                <c:pt idx="12">
                  <c:v>1025496</c:v>
                </c:pt>
                <c:pt idx="13">
                  <c:v>1095610</c:v>
                </c:pt>
                <c:pt idx="14">
                  <c:v>1209482</c:v>
                </c:pt>
                <c:pt idx="15">
                  <c:v>1282208</c:v>
                </c:pt>
                <c:pt idx="16">
                  <c:v>1375997</c:v>
                </c:pt>
                <c:pt idx="17">
                  <c:v>1493047</c:v>
                </c:pt>
                <c:pt idx="18">
                  <c:v>1571985</c:v>
                </c:pt>
                <c:pt idx="19">
                  <c:v>1767615</c:v>
                </c:pt>
                <c:pt idx="20">
                  <c:v>1801260</c:v>
                </c:pt>
                <c:pt idx="21">
                  <c:v>1829713</c:v>
                </c:pt>
                <c:pt idx="22">
                  <c:v>1903193</c:v>
                </c:pt>
                <c:pt idx="23">
                  <c:v>1994420</c:v>
                </c:pt>
                <c:pt idx="24">
                  <c:v>1925394</c:v>
                </c:pt>
              </c:numCache>
            </c:numRef>
          </c:val>
          <c:smooth val="0"/>
        </c:ser>
        <c:ser>
          <c:idx val="5"/>
          <c:order val="5"/>
          <c:tx>
            <c:strRef>
              <c:f>'Cobertura y contribuyentes'!$P$31</c:f>
              <c:strCache>
                <c:ptCount val="1"/>
                <c:pt idx="0">
                  <c:v>Pilar privado</c:v>
                </c:pt>
              </c:strCache>
            </c:strRef>
          </c:tx>
          <c:spPr>
            <a:solidFill>
              <a:srgbClr val="70ad47"/>
            </a:solidFill>
            <a:ln w="22320">
              <a:solidFill>
                <a:srgbClr val="70ad47"/>
              </a:solidFill>
              <a:round/>
            </a:ln>
          </c:spPr>
          <c:marker>
            <c:symbol val="circle"/>
            <c:size val="9"/>
            <c:spPr>
              <a:solidFill>
                <a:srgbClr val="70ad47"/>
              </a:solidFill>
            </c:spPr>
          </c:marker>
          <c:dPt>
            <c:idx val="14"/>
            <c:marker>
              <c:symbol val="circle"/>
              <c:size val="9"/>
              <c:spPr>
                <a:solidFill>
                  <a:srgbClr val="70ad47"/>
                </a:solidFill>
              </c:spPr>
            </c:marker>
          </c:dPt>
          <c:dLbls>
            <c:numFmt formatCode="General" sourceLinked="1"/>
            <c:dLbl>
              <c:idx val="14"/>
              <c:numFmt formatCode="General"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dLbl>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contribuyentes'!$P$32:$P$56</c:f>
              <c:numCache>
                <c:formatCode>General</c:formatCode>
                <c:ptCount val="25"/>
                <c:pt idx="0">
                  <c:v>2600000</c:v>
                </c:pt>
                <c:pt idx="1">
                  <c:v>2900000</c:v>
                </c:pt>
                <c:pt idx="2">
                  <c:v>3500000</c:v>
                </c:pt>
                <c:pt idx="3">
                  <c:v>4100000</c:v>
                </c:pt>
                <c:pt idx="4">
                  <c:v>4400000</c:v>
                </c:pt>
                <c:pt idx="5">
                  <c:v>4500000</c:v>
                </c:pt>
                <c:pt idx="6">
                  <c:v>4500000</c:v>
                </c:pt>
                <c:pt idx="7">
                  <c:v>4200000</c:v>
                </c:pt>
                <c:pt idx="8">
                  <c:v>4000000</c:v>
                </c:pt>
                <c:pt idx="9">
                  <c:v>4500000</c:v>
                </c:pt>
                <c:pt idx="10">
                  <c:v>5100000</c:v>
                </c:pt>
                <c:pt idx="11">
                  <c:v>5500000</c:v>
                </c:pt>
                <c:pt idx="12">
                  <c:v>5900000</c:v>
                </c:pt>
                <c:pt idx="13">
                  <c:v>5600000</c:v>
                </c:pt>
                <c:pt idx="14">
                  <c:v>4800000</c:v>
                </c:pt>
              </c:numCache>
            </c:numRef>
          </c:val>
          <c:smooth val="0"/>
        </c:ser>
        <c:hiLowLines>
          <c:spPr>
            <a:ln>
              <a:noFill/>
            </a:ln>
          </c:spPr>
        </c:hiLowLines>
        <c:marker val="1"/>
        <c:axId val="39758852"/>
        <c:axId val="42195340"/>
      </c:lineChart>
      <c:catAx>
        <c:axId val="39758852"/>
        <c:scaling>
          <c:orientation val="minMax"/>
        </c:scaling>
        <c:delete val="0"/>
        <c:axPos val="b"/>
        <c:majorGridlines>
          <c:spPr>
            <a:ln w="9360">
              <a:solidFill>
                <a:srgbClr val="d9d9d9"/>
              </a:solidFill>
              <a:round/>
            </a:ln>
          </c:spPr>
        </c:majorGridlines>
        <c:numFmt formatCode="General" sourceLinked="1"/>
        <c:majorTickMark val="none"/>
        <c:minorTickMark val="none"/>
        <c:tickLblPos val="nextTo"/>
        <c:spPr>
          <a:ln w="9360">
            <a:solidFill>
              <a:srgbClr val="d9d9d9"/>
            </a:solidFill>
            <a:round/>
          </a:ln>
        </c:spPr>
        <c:txPr>
          <a:bodyPr rot="-5400000"/>
          <a:lstStyle/>
          <a:p>
            <a:pPr>
              <a:defRPr b="0" lang="es-AR" sz="800" spc="97" strike="noStrike">
                <a:solidFill>
                  <a:srgbClr val="595959"/>
                </a:solidFill>
                <a:latin typeface="Calibri"/>
              </a:defRPr>
            </a:pPr>
          </a:p>
        </c:txPr>
        <c:crossAx val="42195340"/>
        <c:crosses val="autoZero"/>
        <c:auto val="1"/>
        <c:lblAlgn val="ctr"/>
        <c:lblOffset val="100"/>
      </c:catAx>
      <c:valAx>
        <c:axId val="42195340"/>
        <c:scaling>
          <c:orientation val="minMax"/>
          <c:max val="11000000"/>
        </c:scaling>
        <c:delete val="0"/>
        <c:axPos val="l"/>
        <c:numFmt formatCode="#,##0" sourceLinked="0"/>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39758852"/>
        <c:crosses val="autoZero"/>
        <c:crossBetween val="midCat"/>
        <c:majorUnit val="1000000"/>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Ingresos corrientes de ANSES, % PIB (1993-2018)</a:t>
            </a:r>
          </a:p>
        </c:rich>
      </c:tx>
      <c:overlay val="0"/>
      <c:spPr>
        <a:noFill/>
        <a:ln>
          <a:noFill/>
        </a:ln>
      </c:spPr>
    </c:title>
    <c:autoTitleDeleted val="0"/>
    <c:plotArea>
      <c:barChart>
        <c:barDir val="col"/>
        <c:grouping val="stacked"/>
        <c:varyColors val="0"/>
        <c:ser>
          <c:idx val="0"/>
          <c:order val="0"/>
          <c:tx>
            <c:strRef>
              <c:f>'Resultado ANSES por etapas'!$B$3:$B$4</c:f>
              <c:strCache>
                <c:ptCount val="1"/>
                <c:pt idx="0">
                  <c:v>Contribuciones a la seguridad social</c:v>
                </c:pt>
              </c:strCache>
            </c:strRef>
          </c:tx>
          <c:spPr>
            <a:solidFill>
              <a:srgbClr val="5b9bd5"/>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etapas'!$B$5:$B$30</c:f>
              <c:numCache>
                <c:formatCode>General</c:formatCode>
                <c:ptCount val="26"/>
                <c:pt idx="0">
                  <c:v>0.045352832912549</c:v>
                </c:pt>
                <c:pt idx="1">
                  <c:v>0.0412406410701487</c:v>
                </c:pt>
                <c:pt idx="2">
                  <c:v>0.0367162842262927</c:v>
                </c:pt>
                <c:pt idx="3">
                  <c:v>0.0363846758844649</c:v>
                </c:pt>
                <c:pt idx="4">
                  <c:v>0.0281819888678765</c:v>
                </c:pt>
                <c:pt idx="5">
                  <c:v>0.0264965219233464</c:v>
                </c:pt>
                <c:pt idx="6">
                  <c:v>0.0249055646687138</c:v>
                </c:pt>
                <c:pt idx="7">
                  <c:v>0.0236198765665383</c:v>
                </c:pt>
                <c:pt idx="8">
                  <c:v>0.0238758696338049</c:v>
                </c:pt>
                <c:pt idx="9">
                  <c:v>0.0204511996433966</c:v>
                </c:pt>
                <c:pt idx="10">
                  <c:v>0.0204726739831029</c:v>
                </c:pt>
                <c:pt idx="11">
                  <c:v>0.0198583830686151</c:v>
                </c:pt>
                <c:pt idx="12">
                  <c:v>0.0214249777603053</c:v>
                </c:pt>
                <c:pt idx="13">
                  <c:v>0.0252575877444441</c:v>
                </c:pt>
                <c:pt idx="14">
                  <c:v>0.0385047966381489</c:v>
                </c:pt>
                <c:pt idx="15">
                  <c:v>0.0368508016736982</c:v>
                </c:pt>
                <c:pt idx="16">
                  <c:v>0.0507701371819389</c:v>
                </c:pt>
                <c:pt idx="17">
                  <c:v>0.0504873115779599</c:v>
                </c:pt>
                <c:pt idx="18">
                  <c:v>0.051623947009386</c:v>
                </c:pt>
                <c:pt idx="19">
                  <c:v>0.055778278265298</c:v>
                </c:pt>
                <c:pt idx="20">
                  <c:v>0.0576719027752101</c:v>
                </c:pt>
                <c:pt idx="21">
                  <c:v>0.0542098068652894</c:v>
                </c:pt>
                <c:pt idx="22">
                  <c:v>0.0564297158299164</c:v>
                </c:pt>
                <c:pt idx="23">
                  <c:v>0.0546875274954749</c:v>
                </c:pt>
                <c:pt idx="24">
                  <c:v>0.055590096056665</c:v>
                </c:pt>
                <c:pt idx="25">
                  <c:v>0.0507048464919942</c:v>
                </c:pt>
              </c:numCache>
            </c:numRef>
          </c:val>
        </c:ser>
        <c:ser>
          <c:idx val="1"/>
          <c:order val="1"/>
          <c:tx>
            <c:strRef>
              <c:f>'Resultado ANSES por etapas'!$C$3:$C$4</c:f>
              <c:strCache>
                <c:ptCount val="1"/>
                <c:pt idx="0">
                  <c:v>Ingresos tributarios no extraordinarios</c:v>
                </c:pt>
              </c:strCache>
            </c:strRef>
          </c:tx>
          <c:spPr>
            <a:solidFill>
              <a:srgbClr val="ed7d31"/>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etapas'!$C$5:$C$30</c:f>
              <c:numCache>
                <c:formatCode>General</c:formatCode>
                <c:ptCount val="26"/>
                <c:pt idx="0">
                  <c:v>0.0114261586914329</c:v>
                </c:pt>
                <c:pt idx="1">
                  <c:v>0.0120869185800861</c:v>
                </c:pt>
                <c:pt idx="2">
                  <c:v>0.0121121840535182</c:v>
                </c:pt>
                <c:pt idx="3">
                  <c:v>0.0146741320077489</c:v>
                </c:pt>
                <c:pt idx="4">
                  <c:v>0.0200853946887565</c:v>
                </c:pt>
                <c:pt idx="5">
                  <c:v>0.0212578403477591</c:v>
                </c:pt>
                <c:pt idx="6">
                  <c:v>0.0214303302315375</c:v>
                </c:pt>
                <c:pt idx="7">
                  <c:v>0.023556870770298</c:v>
                </c:pt>
                <c:pt idx="8">
                  <c:v>0.0214457736331774</c:v>
                </c:pt>
                <c:pt idx="9">
                  <c:v>0.0170555199717405</c:v>
                </c:pt>
                <c:pt idx="10">
                  <c:v>0.0198553916144812</c:v>
                </c:pt>
                <c:pt idx="11">
                  <c:v>0.0216742076161843</c:v>
                </c:pt>
                <c:pt idx="12">
                  <c:v>0.0219471405894574</c:v>
                </c:pt>
                <c:pt idx="13">
                  <c:v>0.0212196799431274</c:v>
                </c:pt>
                <c:pt idx="14">
                  <c:v>0.0209548679959935</c:v>
                </c:pt>
                <c:pt idx="15">
                  <c:v>0.0204392279016501</c:v>
                </c:pt>
                <c:pt idx="16">
                  <c:v>0.0203921181346288</c:v>
                </c:pt>
                <c:pt idx="17">
                  <c:v>0.0206407631065506</c:v>
                </c:pt>
                <c:pt idx="18">
                  <c:v>0.0210555255476486</c:v>
                </c:pt>
                <c:pt idx="19">
                  <c:v>0.0224400989125377</c:v>
                </c:pt>
                <c:pt idx="20">
                  <c:v>0.0223318530313047</c:v>
                </c:pt>
                <c:pt idx="21">
                  <c:v>0.0225793750807335</c:v>
                </c:pt>
                <c:pt idx="22">
                  <c:v>0.0236426052651485</c:v>
                </c:pt>
                <c:pt idx="23">
                  <c:v>0.021229363568432</c:v>
                </c:pt>
                <c:pt idx="24">
                  <c:v>0.0213651993139403</c:v>
                </c:pt>
                <c:pt idx="25">
                  <c:v>0.0267202526606726</c:v>
                </c:pt>
              </c:numCache>
            </c:numRef>
          </c:val>
        </c:ser>
        <c:ser>
          <c:idx val="2"/>
          <c:order val="2"/>
          <c:tx>
            <c:strRef>
              <c:f>'Resultado ANSES por etapas'!$D$3:$D$4</c:f>
              <c:strCache>
                <c:ptCount val="1"/>
                <c:pt idx="0">
                  <c:v>Contribuciones figurativas por coparticipación, tras detracción acuerdo provincias % PIB</c:v>
                </c:pt>
              </c:strCache>
            </c:strRef>
          </c:tx>
          <c:spPr>
            <a:solidFill>
              <a:srgbClr val="ffc000"/>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etapas'!$D$5:$D$30</c:f>
              <c:numCache>
                <c:formatCode>General</c:formatCode>
                <c:ptCount val="26"/>
                <c:pt idx="0">
                  <c:v>0.012477115671009</c:v>
                </c:pt>
                <c:pt idx="1">
                  <c:v>0.0103138055803019</c:v>
                </c:pt>
                <c:pt idx="2">
                  <c:v>0.011591546064283</c:v>
                </c:pt>
                <c:pt idx="3">
                  <c:v>0.0118734138888744</c:v>
                </c:pt>
                <c:pt idx="4">
                  <c:v>0.0122864231415156</c:v>
                </c:pt>
                <c:pt idx="5">
                  <c:v>0.0127033327129764</c:v>
                </c:pt>
                <c:pt idx="6">
                  <c:v>0.0130590610333592</c:v>
                </c:pt>
                <c:pt idx="7">
                  <c:v>0.0132482904466693</c:v>
                </c:pt>
                <c:pt idx="8">
                  <c:v>0.0124450443431941</c:v>
                </c:pt>
                <c:pt idx="9">
                  <c:v>0.00963695804700716</c:v>
                </c:pt>
                <c:pt idx="10">
                  <c:v>0.0118026727120887</c:v>
                </c:pt>
                <c:pt idx="11">
                  <c:v>0.0133242836449752</c:v>
                </c:pt>
                <c:pt idx="12">
                  <c:v>0.0139618318212355</c:v>
                </c:pt>
                <c:pt idx="13">
                  <c:v>0.0141131235333867</c:v>
                </c:pt>
                <c:pt idx="14">
                  <c:v>0.0149068047295749</c:v>
                </c:pt>
                <c:pt idx="15">
                  <c:v>0.0145730376476074</c:v>
                </c:pt>
                <c:pt idx="16">
                  <c:v>0.0146173597980544</c:v>
                </c:pt>
                <c:pt idx="17">
                  <c:v>0.0147442218942046</c:v>
                </c:pt>
                <c:pt idx="18">
                  <c:v>0.0148856065446608</c:v>
                </c:pt>
                <c:pt idx="19">
                  <c:v>0.0155583049965991</c:v>
                </c:pt>
                <c:pt idx="20">
                  <c:v>0.0159148002617685</c:v>
                </c:pt>
                <c:pt idx="21">
                  <c:v>0.015871302582137</c:v>
                </c:pt>
                <c:pt idx="22">
                  <c:v>0.0160551081025211</c:v>
                </c:pt>
                <c:pt idx="23">
                  <c:v>0.0115333980628038</c:v>
                </c:pt>
                <c:pt idx="24">
                  <c:v>0.00831240027666563</c:v>
                </c:pt>
                <c:pt idx="25">
                  <c:v>0.00633564870628469</c:v>
                </c:pt>
              </c:numCache>
            </c:numRef>
          </c:val>
        </c:ser>
        <c:ser>
          <c:idx val="3"/>
          <c:order val="3"/>
          <c:tx>
            <c:strRef>
              <c:f>'Resultado ANSES por etapas'!$F$3:$F$4</c:f>
              <c:strCache>
                <c:ptCount val="1"/>
                <c:pt idx="0">
                  <c:v>Contribuciones figurativas por programas financiados por el Tesoro extra PUAM, % PIB</c:v>
                </c:pt>
              </c:strCache>
            </c:strRef>
          </c:tx>
          <c:spPr>
            <a:solidFill>
              <a:srgbClr val="4472c4"/>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etapas'!$F$5:$F$30</c:f>
              <c:numCache>
                <c:formatCode>General</c:formatCode>
                <c:ptCount val="26"/>
                <c:pt idx="17">
                  <c:v>4.78419683827532E-005</c:v>
                </c:pt>
                <c:pt idx="18">
                  <c:v>0.00127650660654248</c:v>
                </c:pt>
                <c:pt idx="19">
                  <c:v>0.000474495124682221</c:v>
                </c:pt>
                <c:pt idx="20">
                  <c:v>0.00122193042080368</c:v>
                </c:pt>
                <c:pt idx="21">
                  <c:v>0.0016327062141725</c:v>
                </c:pt>
                <c:pt idx="22">
                  <c:v>0.00174808358257101</c:v>
                </c:pt>
                <c:pt idx="23">
                  <c:v>0.00171059175545749</c:v>
                </c:pt>
                <c:pt idx="24">
                  <c:v>0.00110535464672093</c:v>
                </c:pt>
                <c:pt idx="25">
                  <c:v>0.00032264996405818</c:v>
                </c:pt>
              </c:numCache>
            </c:numRef>
          </c:val>
        </c:ser>
        <c:ser>
          <c:idx val="4"/>
          <c:order val="4"/>
          <c:tx>
            <c:strRef>
              <c:f>'Resultado ANSES por etapas'!$E$3:$E$4</c:f>
              <c:strCache>
                <c:ptCount val="1"/>
                <c:pt idx="0">
                  <c:v>Rentas de la propiedad, % PIB</c:v>
                </c:pt>
              </c:strCache>
            </c:strRef>
          </c:tx>
          <c:spPr>
            <a:solidFill>
              <a:srgbClr val="a5a5a5"/>
            </a:solidFill>
            <a:ln>
              <a:noFill/>
            </a:ln>
          </c:spPr>
          <c:invertIfNegative val="0"/>
          <c:dPt>
            <c:idx val="16"/>
            <c:invertIfNegative val="0"/>
            <c:spPr>
              <a:solidFill>
                <a:srgbClr val="a5a5a5"/>
              </a:solidFill>
              <a:ln>
                <a:noFill/>
              </a:ln>
            </c:spPr>
          </c:dPt>
          <c:dPt>
            <c:idx val="17"/>
            <c:invertIfNegative val="0"/>
            <c:spPr>
              <a:solidFill>
                <a:srgbClr val="a5a5a5"/>
              </a:solidFill>
              <a:ln>
                <a:noFill/>
              </a:ln>
            </c:spPr>
          </c:dPt>
          <c:dPt>
            <c:idx val="18"/>
            <c:invertIfNegative val="0"/>
            <c:spPr>
              <a:solidFill>
                <a:srgbClr val="a5a5a5"/>
              </a:solidFill>
              <a:ln>
                <a:noFill/>
              </a:ln>
            </c:spPr>
          </c:dPt>
          <c:dPt>
            <c:idx val="19"/>
            <c:invertIfNegative val="0"/>
            <c:spPr>
              <a:solidFill>
                <a:srgbClr val="a5a5a5"/>
              </a:solidFill>
              <a:ln>
                <a:noFill/>
              </a:ln>
            </c:spPr>
          </c:dPt>
          <c:dPt>
            <c:idx val="20"/>
            <c:invertIfNegative val="0"/>
            <c:spPr>
              <a:solidFill>
                <a:srgbClr val="a5a5a5"/>
              </a:solidFill>
              <a:ln>
                <a:noFill/>
              </a:ln>
            </c:spPr>
          </c:dPt>
          <c:dPt>
            <c:idx val="21"/>
            <c:invertIfNegative val="0"/>
            <c:spPr>
              <a:solidFill>
                <a:srgbClr val="a5a5a5"/>
              </a:solidFill>
              <a:ln>
                <a:noFill/>
              </a:ln>
            </c:spPr>
          </c:dPt>
          <c:dPt>
            <c:idx val="22"/>
            <c:invertIfNegative val="0"/>
            <c:spPr>
              <a:solidFill>
                <a:srgbClr val="a5a5a5"/>
              </a:solidFill>
              <a:ln>
                <a:noFill/>
              </a:ln>
            </c:spPr>
          </c:dPt>
          <c:dPt>
            <c:idx val="23"/>
            <c:invertIfNegative val="0"/>
            <c:spPr>
              <a:solidFill>
                <a:srgbClr val="a5a5a5"/>
              </a:solidFill>
              <a:ln>
                <a:noFill/>
              </a:ln>
            </c:spPr>
          </c:dPt>
          <c:dPt>
            <c:idx val="24"/>
            <c:invertIfNegative val="0"/>
            <c:spPr>
              <a:solidFill>
                <a:srgbClr val="a5a5a5"/>
              </a:solidFill>
              <a:ln>
                <a:noFill/>
              </a:ln>
            </c:spPr>
          </c:dPt>
          <c:dPt>
            <c:idx val="25"/>
            <c:invertIfNegative val="0"/>
            <c:spPr>
              <a:solidFill>
                <a:srgbClr val="a5a5a5"/>
              </a:solidFill>
              <a:ln>
                <a:noFill/>
              </a:ln>
            </c:spPr>
          </c:dPt>
          <c:dLbls>
            <c:numFmt formatCode="0.00%" sourceLinked="1"/>
            <c:dLbl>
              <c:idx val="16"/>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7"/>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8"/>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9"/>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0"/>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1"/>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2"/>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etapas'!$E$5:$E$30</c:f>
              <c:numCache>
                <c:formatCode>General</c:formatCode>
                <c:ptCount val="26"/>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2.30880969959205E-005</c:v>
                </c:pt>
                <c:pt idx="12">
                  <c:v>6.64758507150565E-005</c:v>
                </c:pt>
                <c:pt idx="13">
                  <c:v>0.000401428799431498</c:v>
                </c:pt>
                <c:pt idx="14">
                  <c:v>0.000737928817183578</c:v>
                </c:pt>
                <c:pt idx="15">
                  <c:v>0.000971980550364607</c:v>
                </c:pt>
                <c:pt idx="16">
                  <c:v>0.00680095700317286</c:v>
                </c:pt>
                <c:pt idx="17">
                  <c:v>0.00524439899269864</c:v>
                </c:pt>
                <c:pt idx="18">
                  <c:v>0.00506588207799855</c:v>
                </c:pt>
                <c:pt idx="19">
                  <c:v>0.00657689666047515</c:v>
                </c:pt>
                <c:pt idx="20">
                  <c:v>0.00683124675183988</c:v>
                </c:pt>
                <c:pt idx="21">
                  <c:v>0.00838241527111434</c:v>
                </c:pt>
                <c:pt idx="22">
                  <c:v>0.00893120932488722</c:v>
                </c:pt>
                <c:pt idx="23">
                  <c:v>0.00880758496959625</c:v>
                </c:pt>
                <c:pt idx="24">
                  <c:v>0.0103596875406384</c:v>
                </c:pt>
                <c:pt idx="25">
                  <c:v>0.0125788869347148</c:v>
                </c:pt>
              </c:numCache>
            </c:numRef>
          </c:val>
        </c:ser>
        <c:ser>
          <c:idx val="5"/>
          <c:order val="5"/>
          <c:tx>
            <c:strRef>
              <c:f>'Resultado ANSES por etapas'!$G$3:$G$4</c:f>
              <c:strCache>
                <c:ptCount val="1"/>
                <c:pt idx="0">
                  <c:v>Contribuciones figurativas para compensar devolución de coparticipación y PUAM</c:v>
                </c:pt>
              </c:strCache>
            </c:strRef>
          </c:tx>
          <c:spPr>
            <a:solidFill>
              <a:srgbClr val="70ad47"/>
            </a:solidFill>
            <a:ln>
              <a:noFill/>
            </a:ln>
          </c:spPr>
          <c:invertIfNegative val="0"/>
          <c:dPt>
            <c:idx val="24"/>
            <c:invertIfNegative val="0"/>
            <c:spPr>
              <a:solidFill>
                <a:srgbClr val="70ad47"/>
              </a:solidFill>
              <a:ln>
                <a:noFill/>
              </a:ln>
            </c:spPr>
          </c:dPt>
          <c:dPt>
            <c:idx val="25"/>
            <c:invertIfNegative val="0"/>
            <c:spPr>
              <a:solidFill>
                <a:srgbClr val="70ad47"/>
              </a:solidFill>
              <a:ln>
                <a:noFill/>
              </a:ln>
            </c:spPr>
          </c:dPt>
          <c:dLbls>
            <c:numFmt formatCode="0.00%" sourceLinked="1"/>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etapas'!$G$5:$G$30</c:f>
              <c:numCache>
                <c:formatCode>General</c:formatCode>
                <c:ptCount val="26"/>
                <c:pt idx="23">
                  <c:v>0.00380628674306788</c:v>
                </c:pt>
                <c:pt idx="24">
                  <c:v>0.0076045316092612</c:v>
                </c:pt>
                <c:pt idx="25">
                  <c:v>0.0121336604883658</c:v>
                </c:pt>
              </c:numCache>
            </c:numRef>
          </c:val>
        </c:ser>
        <c:ser>
          <c:idx val="6"/>
          <c:order val="6"/>
          <c:tx>
            <c:strRef>
              <c:f>'Resultado ANSES por etapas'!$H$3:$H$4</c:f>
              <c:strCache>
                <c:ptCount val="1"/>
                <c:pt idx="0">
                  <c:v>Contribuciones figurativas para tapar déficit,  % PIB</c:v>
                </c:pt>
              </c:strCache>
            </c:strRef>
          </c:tx>
          <c:spPr>
            <a:solidFill>
              <a:srgbClr val="ffff99"/>
            </a:solidFill>
            <a:ln>
              <a:noFill/>
            </a:ln>
          </c:spPr>
          <c:invertIfNegative val="0"/>
          <c:dPt>
            <c:idx val="3"/>
            <c:invertIfNegative val="0"/>
            <c:spPr>
              <a:solidFill>
                <a:srgbClr val="ffff99"/>
              </a:solidFill>
              <a:ln>
                <a:noFill/>
              </a:ln>
            </c:spPr>
          </c:dPt>
          <c:dPt>
            <c:idx val="5"/>
            <c:invertIfNegative val="0"/>
            <c:spPr>
              <a:solidFill>
                <a:srgbClr val="ffff99"/>
              </a:solidFill>
              <a:ln>
                <a:noFill/>
              </a:ln>
            </c:spPr>
          </c:dPt>
          <c:dPt>
            <c:idx val="6"/>
            <c:invertIfNegative val="0"/>
            <c:spPr>
              <a:solidFill>
                <a:srgbClr val="ffff99"/>
              </a:solidFill>
              <a:ln>
                <a:noFill/>
              </a:ln>
            </c:spPr>
          </c:dPt>
          <c:dPt>
            <c:idx val="7"/>
            <c:invertIfNegative val="0"/>
            <c:spPr>
              <a:solidFill>
                <a:srgbClr val="ffff99"/>
              </a:solidFill>
              <a:ln>
                <a:noFill/>
              </a:ln>
            </c:spPr>
          </c:dPt>
          <c:dPt>
            <c:idx val="8"/>
            <c:invertIfNegative val="0"/>
            <c:spPr>
              <a:solidFill>
                <a:srgbClr val="ffff99"/>
              </a:solidFill>
              <a:ln>
                <a:noFill/>
              </a:ln>
            </c:spPr>
          </c:dPt>
          <c:dPt>
            <c:idx val="9"/>
            <c:invertIfNegative val="0"/>
            <c:spPr>
              <a:solidFill>
                <a:srgbClr val="ffff99"/>
              </a:solidFill>
              <a:ln>
                <a:noFill/>
              </a:ln>
            </c:spPr>
          </c:dPt>
          <c:dPt>
            <c:idx val="10"/>
            <c:invertIfNegative val="0"/>
            <c:spPr>
              <a:solidFill>
                <a:srgbClr val="ffff99"/>
              </a:solidFill>
              <a:ln>
                <a:noFill/>
              </a:ln>
            </c:spPr>
          </c:dPt>
          <c:dPt>
            <c:idx val="21"/>
            <c:invertIfNegative val="0"/>
            <c:spPr>
              <a:solidFill>
                <a:srgbClr val="ffff99"/>
              </a:solidFill>
              <a:ln>
                <a:noFill/>
              </a:ln>
            </c:spPr>
          </c:dPt>
          <c:dPt>
            <c:idx val="22"/>
            <c:invertIfNegative val="0"/>
            <c:spPr>
              <a:solidFill>
                <a:srgbClr val="ffff99"/>
              </a:solidFill>
              <a:ln>
                <a:noFill/>
              </a:ln>
            </c:spPr>
          </c:dPt>
          <c:dPt>
            <c:idx val="23"/>
            <c:invertIfNegative val="0"/>
            <c:spPr>
              <a:solidFill>
                <a:srgbClr val="ffff99"/>
              </a:solidFill>
              <a:ln>
                <a:noFill/>
              </a:ln>
            </c:spPr>
          </c:dPt>
          <c:dPt>
            <c:idx val="24"/>
            <c:invertIfNegative val="0"/>
            <c:spPr>
              <a:solidFill>
                <a:srgbClr val="ffff99"/>
              </a:solidFill>
              <a:ln>
                <a:noFill/>
              </a:ln>
            </c:spPr>
          </c:dPt>
          <c:dPt>
            <c:idx val="25"/>
            <c:invertIfNegative val="0"/>
            <c:spPr>
              <a:solidFill>
                <a:srgbClr val="ffff99"/>
              </a:solidFill>
              <a:ln>
                <a:noFill/>
              </a:ln>
            </c:spPr>
          </c:dPt>
          <c:dLbls>
            <c:numFmt formatCode="0.00%" sourceLinked="1"/>
            <c:dLbl>
              <c:idx val="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6"/>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7"/>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8"/>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9"/>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0"/>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1"/>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2"/>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etapas'!$H$5:$H$30</c:f>
              <c:numCache>
                <c:formatCode>General</c:formatCode>
                <c:ptCount val="26"/>
                <c:pt idx="0">
                  <c:v>-0.000274691126269683</c:v>
                </c:pt>
                <c:pt idx="1">
                  <c:v>-0.00221925079928651</c:v>
                </c:pt>
                <c:pt idx="2">
                  <c:v>0.00088214038134443</c:v>
                </c:pt>
                <c:pt idx="3">
                  <c:v>0.0102753152574486</c:v>
                </c:pt>
                <c:pt idx="4">
                  <c:v>0.00224140388833553</c:v>
                </c:pt>
                <c:pt idx="5">
                  <c:v>0.00559181882152598</c:v>
                </c:pt>
                <c:pt idx="6">
                  <c:v>0.0114855646880225</c:v>
                </c:pt>
                <c:pt idx="7">
                  <c:v>0.00804847134329282</c:v>
                </c:pt>
                <c:pt idx="8">
                  <c:v>0.0116979033026615</c:v>
                </c:pt>
                <c:pt idx="9">
                  <c:v>0.0137708624102913</c:v>
                </c:pt>
                <c:pt idx="10">
                  <c:v>0.00793855080899741</c:v>
                </c:pt>
                <c:pt idx="11">
                  <c:v>-0.000308408259922678</c:v>
                </c:pt>
                <c:pt idx="12">
                  <c:v>-2.23358829159163E-005</c:v>
                </c:pt>
                <c:pt idx="13">
                  <c:v>6.39115825222325E-005</c:v>
                </c:pt>
                <c:pt idx="14">
                  <c:v>-4.9152714044835E-007</c:v>
                </c:pt>
                <c:pt idx="15">
                  <c:v>0.000309302566600715</c:v>
                </c:pt>
                <c:pt idx="16">
                  <c:v>0.000374296304471138</c:v>
                </c:pt>
                <c:pt idx="17">
                  <c:v>1.42111157784053E-005</c:v>
                </c:pt>
                <c:pt idx="18">
                  <c:v>-0.000375333771910671</c:v>
                </c:pt>
                <c:pt idx="19">
                  <c:v>-2.28314495338047E-006</c:v>
                </c:pt>
                <c:pt idx="20">
                  <c:v>5.01139097487515E-005</c:v>
                </c:pt>
                <c:pt idx="21">
                  <c:v>0.00458152310243</c:v>
                </c:pt>
                <c:pt idx="22">
                  <c:v>0.00847418708688297</c:v>
                </c:pt>
                <c:pt idx="23">
                  <c:v>0.0185367690806319</c:v>
                </c:pt>
                <c:pt idx="24">
                  <c:v>0.0184092378046352</c:v>
                </c:pt>
                <c:pt idx="25">
                  <c:v>0.00750050766027807</c:v>
                </c:pt>
              </c:numCache>
            </c:numRef>
          </c:val>
        </c:ser>
        <c:ser>
          <c:idx val="7"/>
          <c:order val="7"/>
          <c:tx>
            <c:strRef>
              <c:f>'Resultado ANSES por etapas'!$I$3:$I$4</c:f>
              <c:strCache>
                <c:ptCount val="1"/>
                <c:pt idx="0">
                  <c:v>Ingreso extraordinario del blanqueo</c:v>
                </c:pt>
              </c:strCache>
            </c:strRef>
          </c:tx>
          <c:spPr>
            <a:solidFill>
              <a:srgbClr val="ff0000"/>
            </a:solidFill>
            <a:ln>
              <a:noFill/>
            </a:ln>
          </c:spPr>
          <c:invertIfNegative val="0"/>
          <c:dPt>
            <c:idx val="23"/>
            <c:invertIfNegative val="0"/>
            <c:spPr>
              <a:solidFill>
                <a:srgbClr val="ff0000"/>
              </a:solidFill>
              <a:ln>
                <a:noFill/>
              </a:ln>
            </c:spPr>
          </c:dPt>
          <c:dPt>
            <c:idx val="24"/>
            <c:invertIfNegative val="0"/>
            <c:spPr>
              <a:solidFill>
                <a:srgbClr val="ff0000"/>
              </a:solidFill>
              <a:ln>
                <a:noFill/>
              </a:ln>
            </c:spPr>
          </c:dPt>
          <c:dLbls>
            <c:numFmt formatCode="0.00%" sourceLinked="1"/>
            <c:dLbl>
              <c:idx val="2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etapas'!$I$5:$I$30</c:f>
              <c:numCache>
                <c:formatCode>General</c:formatCode>
                <c:ptCount val="26"/>
                <c:pt idx="23">
                  <c:v>0.0125824966432202</c:v>
                </c:pt>
                <c:pt idx="24">
                  <c:v>0.00420963634008006</c:v>
                </c:pt>
              </c:numCache>
            </c:numRef>
          </c:val>
        </c:ser>
        <c:gapWidth val="150"/>
        <c:overlap val="100"/>
        <c:axId val="24823719"/>
        <c:axId val="96988177"/>
      </c:barChart>
      <c:catAx>
        <c:axId val="2482371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96988177"/>
        <c:crosses val="autoZero"/>
        <c:auto val="1"/>
        <c:lblAlgn val="ctr"/>
        <c:lblOffset val="100"/>
      </c:catAx>
      <c:valAx>
        <c:axId val="96988177"/>
        <c:scaling>
          <c:orientation val="minMax"/>
          <c:max val="0.14"/>
          <c:min val="-0.02"/>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24823719"/>
        <c:crosses val="autoZero"/>
      </c:valAx>
      <c:spPr>
        <a:noFill/>
        <a:ln>
          <a:noFill/>
        </a:ln>
      </c:spPr>
    </c:plotArea>
    <c:legend>
      <c:legendPos val="r"/>
      <c:layout>
        <c:manualLayout>
          <c:xMode val="edge"/>
          <c:yMode val="edge"/>
          <c:x val="0.0687853043617502"/>
          <c:y val="0.797950140035377"/>
          <c:w val="0.903695678343566"/>
          <c:h val="0.170543139293139"/>
        </c:manualLayout>
      </c:layout>
      <c:overlay val="0"/>
      <c:spPr>
        <a:noFill/>
        <a:ln>
          <a:noFill/>
        </a:ln>
      </c:spPr>
      <c:txPr>
        <a:bodyPr/>
        <a:lstStyle/>
        <a:p>
          <a:pPr>
            <a:defRPr b="0" lang="es-AR"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Gastos corrientes de ANSES, % PIB</a:t>
            </a:r>
          </a:p>
        </c:rich>
      </c:tx>
      <c:overlay val="0"/>
      <c:spPr>
        <a:noFill/>
        <a:ln>
          <a:noFill/>
        </a:ln>
      </c:spPr>
    </c:title>
    <c:autoTitleDeleted val="0"/>
    <c:plotArea>
      <c:barChart>
        <c:barDir val="col"/>
        <c:grouping val="stacked"/>
        <c:varyColors val="0"/>
        <c:ser>
          <c:idx val="0"/>
          <c:order val="0"/>
          <c:tx>
            <c:strRef>
              <c:f>'Resultado ANSES por etapas'!$M$3:$M$4</c:f>
              <c:strCache>
                <c:ptCount val="1"/>
                <c:pt idx="0">
                  <c:v>Prestaciones de la seguridad social, excluyendo reparación histórica % PIB</c:v>
                </c:pt>
              </c:strCache>
            </c:strRef>
          </c:tx>
          <c:spPr>
            <a:solidFill>
              <a:srgbClr val="5b9bd5"/>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etapas'!$M$5:$M$30</c:f>
              <c:numCache>
                <c:formatCode>General</c:formatCode>
                <c:ptCount val="26"/>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0.036705436096272</c:v>
                </c:pt>
                <c:pt idx="12">
                  <c:v>0.0345505912680116</c:v>
                </c:pt>
                <c:pt idx="13">
                  <c:v>0.0368418871162505</c:v>
                </c:pt>
                <c:pt idx="14">
                  <c:v>0.0489808558686249</c:v>
                </c:pt>
                <c:pt idx="15">
                  <c:v>0.0483764714177785</c:v>
                </c:pt>
                <c:pt idx="16">
                  <c:v>0.0568162745570319</c:v>
                </c:pt>
                <c:pt idx="17">
                  <c:v>0.0531723252388029</c:v>
                </c:pt>
                <c:pt idx="18">
                  <c:v>0.0559923504050296</c:v>
                </c:pt>
                <c:pt idx="19">
                  <c:v>0.0639576874295608</c:v>
                </c:pt>
                <c:pt idx="20">
                  <c:v>0.0665922944987349</c:v>
                </c:pt>
                <c:pt idx="21">
                  <c:v>0.0645559228265026</c:v>
                </c:pt>
                <c:pt idx="22">
                  <c:v>0.0727904762035428</c:v>
                </c:pt>
                <c:pt idx="23">
                  <c:v>0.0730410743804782</c:v>
                </c:pt>
                <c:pt idx="24">
                  <c:v>0.0763864240518465</c:v>
                </c:pt>
                <c:pt idx="25">
                  <c:v>0.0719771065625742</c:v>
                </c:pt>
              </c:numCache>
            </c:numRef>
          </c:val>
        </c:ser>
        <c:ser>
          <c:idx val="1"/>
          <c:order val="1"/>
          <c:tx>
            <c:strRef>
              <c:f>'Resultado ANSES por etapas'!$N$3:$N$4</c:f>
              <c:strCache>
                <c:ptCount val="1"/>
                <c:pt idx="0">
                  <c:v>Transferencias corrientes menos al PAMI</c:v>
                </c:pt>
              </c:strCache>
            </c:strRef>
          </c:tx>
          <c:spPr>
            <a:solidFill>
              <a:srgbClr val="ed7d31"/>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etapas'!$N$5:$N$30</c:f>
              <c:numCache>
                <c:formatCode>General</c:formatCode>
                <c:ptCount val="26"/>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0.00601253522505087</c:v>
                </c:pt>
                <c:pt idx="12">
                  <c:v>0.00717141324245859</c:v>
                </c:pt>
                <c:pt idx="13">
                  <c:v>0.00645013061743081</c:v>
                </c:pt>
                <c:pt idx="14">
                  <c:v>0.00559034382813241</c:v>
                </c:pt>
                <c:pt idx="15">
                  <c:v>0.00717673059001263</c:v>
                </c:pt>
                <c:pt idx="16">
                  <c:v>0.0103548744113128</c:v>
                </c:pt>
                <c:pt idx="17">
                  <c:v>0.013401132173323</c:v>
                </c:pt>
                <c:pt idx="18">
                  <c:v>0.0109799924049</c:v>
                </c:pt>
                <c:pt idx="19">
                  <c:v>0.00995515308893217</c:v>
                </c:pt>
                <c:pt idx="20">
                  <c:v>0.0107146720941459</c:v>
                </c:pt>
                <c:pt idx="21">
                  <c:v>0.0106751453935426</c:v>
                </c:pt>
                <c:pt idx="22">
                  <c:v>0.0116328503756657</c:v>
                </c:pt>
                <c:pt idx="23">
                  <c:v>0.0163460286188939</c:v>
                </c:pt>
                <c:pt idx="24">
                  <c:v>0.0149136250605212</c:v>
                </c:pt>
                <c:pt idx="25">
                  <c:v>0.0148720651077345</c:v>
                </c:pt>
              </c:numCache>
            </c:numRef>
          </c:val>
        </c:ser>
        <c:ser>
          <c:idx val="2"/>
          <c:order val="2"/>
          <c:tx>
            <c:strRef>
              <c:f>'Resultado ANSES por etapas'!$O$3:$O$4</c:f>
              <c:strCache>
                <c:ptCount val="1"/>
                <c:pt idx="0">
                  <c:v>Transferencias al PAMI</c:v>
                </c:pt>
              </c:strCache>
            </c:strRef>
          </c:tx>
          <c:spPr>
            <a:solidFill>
              <a:srgbClr val="a5a5a5"/>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etapas'!$O$5:$O$30</c:f>
              <c:numCache>
                <c:formatCode>General</c:formatCode>
                <c:ptCount val="26"/>
                <c:pt idx="11">
                  <c:v>0.00147841859387012</c:v>
                </c:pt>
                <c:pt idx="12">
                  <c:v>0.0013544936722026</c:v>
                </c:pt>
                <c:pt idx="13">
                  <c:v>0.001420898634906</c:v>
                </c:pt>
                <c:pt idx="14">
                  <c:v>0.0018084480471694</c:v>
                </c:pt>
                <c:pt idx="15">
                  <c:v>0.00175828728657165</c:v>
                </c:pt>
                <c:pt idx="16">
                  <c:v>0.0020413731238185</c:v>
                </c:pt>
                <c:pt idx="17">
                  <c:v>0.00190415963472409</c:v>
                </c:pt>
                <c:pt idx="18">
                  <c:v>0.00200692451763306</c:v>
                </c:pt>
                <c:pt idx="19">
                  <c:v>0.0022917701706974</c:v>
                </c:pt>
                <c:pt idx="20">
                  <c:v>0.00238561996391175</c:v>
                </c:pt>
                <c:pt idx="21">
                  <c:v>0.0023272132721661</c:v>
                </c:pt>
                <c:pt idx="22">
                  <c:v>0.00260688705263258</c:v>
                </c:pt>
                <c:pt idx="23">
                  <c:v>0.00263630884740172</c:v>
                </c:pt>
                <c:pt idx="24">
                  <c:v>0.00297079733174157</c:v>
                </c:pt>
                <c:pt idx="25">
                  <c:v>0.00281753105217518</c:v>
                </c:pt>
              </c:numCache>
            </c:numRef>
          </c:val>
        </c:ser>
        <c:ser>
          <c:idx val="3"/>
          <c:order val="3"/>
          <c:tx>
            <c:strRef>
              <c:f>'Resultado ANSES por etapas'!$P$3:$P$4</c:f>
              <c:strCache>
                <c:ptCount val="1"/>
                <c:pt idx="0">
                  <c:v>Gastos de consumo y rentas de la propiedad</c:v>
                </c:pt>
              </c:strCache>
            </c:strRef>
          </c:tx>
          <c:spPr>
            <a:solidFill>
              <a:srgbClr val="ffc000"/>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etapas'!$P$5:$P$30</c:f>
              <c:numCache>
                <c:formatCode>General</c:formatCode>
                <c:ptCount val="26"/>
                <c:pt idx="0">
                  <c:v>0.00148990999175634</c:v>
                </c:pt>
                <c:pt idx="1">
                  <c:v>0.00114625800779694</c:v>
                </c:pt>
                <c:pt idx="2">
                  <c:v>0.00119215327226036</c:v>
                </c:pt>
                <c:pt idx="3">
                  <c:v>0.00171031345294353</c:v>
                </c:pt>
                <c:pt idx="4">
                  <c:v>0.00113559901995312</c:v>
                </c:pt>
                <c:pt idx="5">
                  <c:v>0.00102481315686651</c:v>
                </c:pt>
                <c:pt idx="6">
                  <c:v>0.000859047973636882</c:v>
                </c:pt>
                <c:pt idx="7">
                  <c:v>0.000763899147434019</c:v>
                </c:pt>
                <c:pt idx="8">
                  <c:v>0.000688492360671558</c:v>
                </c:pt>
                <c:pt idx="9">
                  <c:v>0.000674115579920293</c:v>
                </c:pt>
                <c:pt idx="10">
                  <c:v>0.000695611243275441</c:v>
                </c:pt>
                <c:pt idx="11">
                  <c:v>0.000620174834207575</c:v>
                </c:pt>
                <c:pt idx="12">
                  <c:v>0.000775276229474887</c:v>
                </c:pt>
                <c:pt idx="13">
                  <c:v>0.000837384263622429</c:v>
                </c:pt>
                <c:pt idx="14">
                  <c:v>0.000934433666315139</c:v>
                </c:pt>
                <c:pt idx="15">
                  <c:v>0.00110112913760037</c:v>
                </c:pt>
                <c:pt idx="16">
                  <c:v>0.00178122445365416</c:v>
                </c:pt>
                <c:pt idx="17">
                  <c:v>0.00193273387962204</c:v>
                </c:pt>
                <c:pt idx="18">
                  <c:v>0.00219213433804649</c:v>
                </c:pt>
                <c:pt idx="19">
                  <c:v>0.00236681220168485</c:v>
                </c:pt>
                <c:pt idx="20">
                  <c:v>0.00210806956969702</c:v>
                </c:pt>
                <c:pt idx="21">
                  <c:v>0.00208133381503417</c:v>
                </c:pt>
                <c:pt idx="22">
                  <c:v>0.00209925380408706</c:v>
                </c:pt>
                <c:pt idx="23">
                  <c:v>0.00177072549143578</c:v>
                </c:pt>
                <c:pt idx="24">
                  <c:v>0.00172705093781381</c:v>
                </c:pt>
                <c:pt idx="25">
                  <c:v>0.00148225469051734</c:v>
                </c:pt>
              </c:numCache>
            </c:numRef>
          </c:val>
        </c:ser>
        <c:ser>
          <c:idx val="4"/>
          <c:order val="4"/>
          <c:tx>
            <c:strRef>
              <c:f>'Resultado ANSES por etapas'!$Q$3:$Q$4</c:f>
              <c:strCache>
                <c:ptCount val="1"/>
                <c:pt idx="0">
                  <c:v>Gastos figurativos pagados por ANSES, sin sentencias</c:v>
                </c:pt>
              </c:strCache>
            </c:strRef>
          </c:tx>
          <c:spPr>
            <a:solidFill>
              <a:srgbClr val="f8cbad"/>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etapas'!$Q$5:$Q$30</c:f>
              <c:numCache>
                <c:formatCode>General</c:formatCode>
                <c:ptCount val="26"/>
                <c:pt idx="0">
                  <c:v>0.00528862853440302</c:v>
                </c:pt>
                <c:pt idx="1">
                  <c:v>0.00677530886936053</c:v>
                </c:pt>
                <c:pt idx="2">
                  <c:v>0.00663835790735207</c:v>
                </c:pt>
                <c:pt idx="3">
                  <c:v>0.0074607589826253</c:v>
                </c:pt>
                <c:pt idx="4">
                  <c:v>0.00721746011483045</c:v>
                </c:pt>
                <c:pt idx="5">
                  <c:v>0.00818073477793168</c:v>
                </c:pt>
                <c:pt idx="6">
                  <c:v>0.00868157830525175</c:v>
                </c:pt>
                <c:pt idx="7">
                  <c:v>0.00842379342908535</c:v>
                </c:pt>
                <c:pt idx="8">
                  <c:v>0.00850617345912317</c:v>
                </c:pt>
                <c:pt idx="9">
                  <c:v>0.00679872793896764</c:v>
                </c:pt>
                <c:pt idx="10">
                  <c:v>0.00679617546093593</c:v>
                </c:pt>
                <c:pt idx="11">
                  <c:v>0.0062422259511128</c:v>
                </c:pt>
                <c:pt idx="12">
                  <c:v>0.00597111538341118</c:v>
                </c:pt>
                <c:pt idx="13">
                  <c:v>0.00626372424192923</c:v>
                </c:pt>
                <c:pt idx="14">
                  <c:v>0.00694374082135591</c:v>
                </c:pt>
                <c:pt idx="15">
                  <c:v>0.00755471749320767</c:v>
                </c:pt>
                <c:pt idx="16">
                  <c:v>0.0096326646023175</c:v>
                </c:pt>
                <c:pt idx="17">
                  <c:v>0.0101063370292179</c:v>
                </c:pt>
                <c:pt idx="18">
                  <c:v>0.0120992651321526</c:v>
                </c:pt>
                <c:pt idx="19">
                  <c:v>0.0129182716332613</c:v>
                </c:pt>
                <c:pt idx="20">
                  <c:v>0.0146218200307587</c:v>
                </c:pt>
                <c:pt idx="21">
                  <c:v>0.0141412319440096</c:v>
                </c:pt>
                <c:pt idx="22">
                  <c:v>0.014539131815676</c:v>
                </c:pt>
                <c:pt idx="23">
                  <c:v>0.0137424706216159</c:v>
                </c:pt>
                <c:pt idx="24">
                  <c:v>0.0127866721432285</c:v>
                </c:pt>
                <c:pt idx="25">
                  <c:v>0.00965041777837607</c:v>
                </c:pt>
              </c:numCache>
            </c:numRef>
          </c:val>
        </c:ser>
        <c:ser>
          <c:idx val="5"/>
          <c:order val="5"/>
          <c:tx>
            <c:strRef>
              <c:f>'Resultado ANSES por etapas'!$R$3:$R$4</c:f>
              <c:strCache>
                <c:ptCount val="1"/>
                <c:pt idx="0">
                  <c:v>Sentencias judiciales sin Reparación Histórica</c:v>
                </c:pt>
              </c:strCache>
            </c:strRef>
          </c:tx>
          <c:spPr>
            <a:solidFill>
              <a:srgbClr val="70ad47"/>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etapas'!$R$5:$R$30</c:f>
              <c:numCache>
                <c:formatCode>General</c:formatCode>
                <c:ptCount val="26"/>
                <c:pt idx="15">
                  <c:v>0.00116689653702815</c:v>
                </c:pt>
                <c:pt idx="16">
                  <c:v>0.00167502693461996</c:v>
                </c:pt>
                <c:pt idx="17">
                  <c:v>0.00129161278918117</c:v>
                </c:pt>
                <c:pt idx="18">
                  <c:v>0.00103133324512357</c:v>
                </c:pt>
                <c:pt idx="19">
                  <c:v>0.00123537014000835</c:v>
                </c:pt>
                <c:pt idx="20">
                  <c:v>0.00166967888999977</c:v>
                </c:pt>
                <c:pt idx="21">
                  <c:v>0.00180520724704594</c:v>
                </c:pt>
                <c:pt idx="22">
                  <c:v>0.00171424659032606</c:v>
                </c:pt>
                <c:pt idx="23">
                  <c:v>0.00197107261819154</c:v>
                </c:pt>
                <c:pt idx="24">
                  <c:v>0.00169318277702991</c:v>
                </c:pt>
                <c:pt idx="25">
                  <c:v>0.00155582043184477</c:v>
                </c:pt>
              </c:numCache>
            </c:numRef>
          </c:val>
        </c:ser>
        <c:ser>
          <c:idx val="6"/>
          <c:order val="6"/>
          <c:tx>
            <c:strRef>
              <c:f>'Resultado ANSES por etapas'!$T$3:$T$4</c:f>
              <c:strCache>
                <c:ptCount val="1"/>
                <c:pt idx="0">
                  <c:v>Gastos PNRH, % PIB, sin sentencias PNRH</c:v>
                </c:pt>
              </c:strCache>
            </c:strRef>
          </c:tx>
          <c:spPr>
            <a:solidFill>
              <a:srgbClr val="255e91"/>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etapas'!$T$5:$T$30</c:f>
              <c:numCache>
                <c:formatCode>General</c:formatCode>
                <c:ptCount val="26"/>
                <c:pt idx="23">
                  <c:v>0.000771083734631746</c:v>
                </c:pt>
                <c:pt idx="24">
                  <c:v>0.00371888754837215</c:v>
                </c:pt>
                <c:pt idx="25">
                  <c:v>0.00509130111541257</c:v>
                </c:pt>
              </c:numCache>
            </c:numRef>
          </c:val>
        </c:ser>
        <c:gapWidth val="150"/>
        <c:overlap val="100"/>
        <c:axId val="752188"/>
        <c:axId val="13174221"/>
      </c:barChart>
      <c:catAx>
        <c:axId val="752188"/>
        <c:scaling>
          <c:orientation val="minMax"/>
        </c:scaling>
        <c:delete val="0"/>
        <c:axPos val="b"/>
        <c:numFmt formatCode="General" sourceLinked="1"/>
        <c:majorTickMark val="out"/>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13174221"/>
        <c:crosses val="autoZero"/>
        <c:auto val="1"/>
        <c:lblAlgn val="ctr"/>
        <c:lblOffset val="100"/>
      </c:catAx>
      <c:valAx>
        <c:axId val="13174221"/>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752188"/>
        <c:crosses val="autoZero"/>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7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(1993-2019)</a:t>
            </a:r>
          </a:p>
        </c:rich>
      </c:tx>
      <c:overlay val="0"/>
      <c:spPr>
        <a:noFill/>
        <a:ln w="25560">
          <a:noFill/>
        </a:ln>
      </c:spPr>
    </c:title>
    <c:autoTitleDeleted val="0"/>
    <c:plotArea>
      <c:lineChart>
        <c:grouping val="standard"/>
        <c:varyColors val="0"/>
        <c:ser>
          <c:idx val="0"/>
          <c:order val="0"/>
          <c:tx>
            <c:strRef>
              <c:f>'Resultado ANSES por etapas'!$X$4</c:f>
              <c:strCache>
                <c:ptCount val="1"/>
                <c:pt idx="0">
                  <c:v>Resultado económico con sentencias</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etapas'!$L$5:$L$31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etapas'!$X$5:$X$31</c:f>
              <c:numCache>
                <c:formatCode>General</c:formatCode>
                <c:ptCount val="27"/>
                <c:pt idx="0">
                  <c:v>-0.000446069275463895</c:v>
                </c:pt>
                <c:pt idx="1">
                  <c:v>-0.0130853294610615</c:v>
                </c:pt>
                <c:pt idx="2">
                  <c:v>-0.00637934959758821</c:v>
                </c:pt>
                <c:pt idx="3">
                  <c:v>-0.00528730473079139</c:v>
                </c:pt>
                <c:pt idx="4">
                  <c:v>-0.00315594528811226</c:v>
                </c:pt>
                <c:pt idx="5">
                  <c:v>-0.00266006212398563</c:v>
                </c:pt>
                <c:pt idx="6">
                  <c:v>-0.00775968801462749</c:v>
                </c:pt>
                <c:pt idx="7">
                  <c:v>-0.00673854445377408</c:v>
                </c:pt>
                <c:pt idx="8">
                  <c:v>-0.0101649287372602</c:v>
                </c:pt>
                <c:pt idx="9">
                  <c:v>-0.0114400630696734</c:v>
                </c:pt>
                <c:pt idx="10">
                  <c:v>-0.00492726978903478</c:v>
                </c:pt>
                <c:pt idx="11">
                  <c:v>0.00382117172625724</c:v>
                </c:pt>
                <c:pt idx="12">
                  <c:v>0.00757753622615441</c:v>
                </c:pt>
                <c:pt idx="13">
                  <c:v>0.00917779514625071</c:v>
                </c:pt>
                <c:pt idx="14">
                  <c:v>0.0108465759493031</c:v>
                </c:pt>
                <c:pt idx="15">
                  <c:v>0.00570081531112138</c:v>
                </c:pt>
                <c:pt idx="16">
                  <c:v>0.0102791340350402</c:v>
                </c:pt>
                <c:pt idx="17">
                  <c:v>0.00935623679492528</c:v>
                </c:pt>
                <c:pt idx="18">
                  <c:v>0.00960546774335111</c:v>
                </c:pt>
                <c:pt idx="19">
                  <c:v>0.0081030092954474</c:v>
                </c:pt>
                <c:pt idx="20">
                  <c:v>0.00587957819367872</c:v>
                </c:pt>
                <c:pt idx="21">
                  <c:v>0.00708955151514587</c:v>
                </c:pt>
                <c:pt idx="22">
                  <c:v>0.00142387626311399</c:v>
                </c:pt>
                <c:pt idx="23">
                  <c:v>-0.00773292798318478</c:v>
                </c:pt>
                <c:pt idx="24">
                  <c:v>-0.00614048285829008</c:v>
                </c:pt>
                <c:pt idx="25">
                  <c:v>0.00644074962286809</c:v>
                </c:pt>
                <c:pt idx="26">
                  <c:v>0.00646141848100539</c:v>
                </c:pt>
              </c:numCache>
            </c:numRef>
          </c:val>
          <c:smooth val="0"/>
        </c:ser>
        <c:ser>
          <c:idx val="1"/>
          <c:order val="1"/>
          <c:tx>
            <c:strRef>
              <c:f>'Resultado ANSES por etapas'!$Y$4</c:f>
              <c:strCache>
                <c:ptCount val="1"/>
                <c:pt idx="0">
                  <c:v>… sin rentabilidad FGS</c:v>
                </c:pt>
              </c:strCache>
            </c:strRef>
          </c:tx>
          <c:spPr>
            <a:solidFill>
              <a:srgbClr val="a5a5a5"/>
            </a:solidFill>
            <a:ln w="19080">
              <a:solidFill>
                <a:srgbClr val="a5a5a5"/>
              </a:solidFill>
              <a:round/>
            </a:ln>
          </c:spPr>
          <c:marker>
            <c:symbol val="x"/>
            <c:size val="10"/>
            <c:spPr>
              <a:solidFill>
                <a:srgbClr val="a5a5a5"/>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etapas'!$L$5:$L$31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etapas'!$Y$5:$Y$31</c:f>
              <c:numCache>
                <c:formatCode>General</c:formatCode>
                <c:ptCount val="27"/>
                <c:pt idx="15">
                  <c:v>0.00472883476075677</c:v>
                </c:pt>
                <c:pt idx="16">
                  <c:v>0.00347817703186733</c:v>
                </c:pt>
                <c:pt idx="17">
                  <c:v>0.00411183780222665</c:v>
                </c:pt>
                <c:pt idx="18">
                  <c:v>0.00453958566535256</c:v>
                </c:pt>
                <c:pt idx="19">
                  <c:v>0.00152611263497225</c:v>
                </c:pt>
                <c:pt idx="20">
                  <c:v>-0.000951668558161159</c:v>
                </c:pt>
                <c:pt idx="21">
                  <c:v>-0.00129286375596847</c:v>
                </c:pt>
                <c:pt idx="22">
                  <c:v>-0.00750733306177323</c:v>
                </c:pt>
                <c:pt idx="23">
                  <c:v>-0.016540512952781</c:v>
                </c:pt>
                <c:pt idx="24">
                  <c:v>-0.0165001703989284</c:v>
                </c:pt>
                <c:pt idx="25">
                  <c:v>-0.00613813731184667</c:v>
                </c:pt>
                <c:pt idx="26">
                  <c:v>-0.00764874109317795</c:v>
                </c:pt>
              </c:numCache>
            </c:numRef>
          </c:val>
          <c:smooth val="0"/>
        </c:ser>
        <c:ser>
          <c:idx val="2"/>
          <c:order val="2"/>
          <c:tx>
            <c:strRef>
              <c:f>'Resultado ANSES por etapas'!$Z$4</c:f>
              <c:strCache>
                <c:ptCount val="1"/>
                <c:pt idx="0">
                  <c:v>... ni financiamiento del Tesoro</c:v>
                </c:pt>
              </c:strCache>
            </c:strRef>
          </c:tx>
          <c:spPr>
            <a:solidFill>
              <a:srgbClr val="ffc000"/>
            </a:solidFill>
            <a:ln w="19080">
              <a:solidFill>
                <a:srgbClr val="ffc000"/>
              </a:solidFill>
              <a:round/>
            </a:ln>
          </c:spPr>
          <c:marker>
            <c:symbol val="triangle"/>
            <c:size val="10"/>
            <c:spPr>
              <a:solidFill>
                <a:srgbClr val="ffc000"/>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etapas'!$L$5:$L$31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etapas'!$Z$5:$Z$31</c:f>
              <c:numCache>
                <c:formatCode>General</c:formatCode>
                <c:ptCount val="27"/>
                <c:pt idx="23">
                  <c:v>-0.0203467996958489</c:v>
                </c:pt>
                <c:pt idx="24">
                  <c:v>-0.0241047020081896</c:v>
                </c:pt>
                <c:pt idx="25">
                  <c:v>-0.0182717978002125</c:v>
                </c:pt>
                <c:pt idx="26">
                  <c:v>-0.0226292983197961</c:v>
                </c:pt>
              </c:numCache>
            </c:numRef>
          </c:val>
          <c:smooth val="0"/>
        </c:ser>
        <c:hiLowLines>
          <c:spPr>
            <a:ln>
              <a:noFill/>
            </a:ln>
          </c:spPr>
        </c:hiLowLines>
        <c:marker val="1"/>
        <c:axId val="18196565"/>
        <c:axId val="10042254"/>
      </c:lineChart>
      <c:catAx>
        <c:axId val="1819656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10042254"/>
        <c:crosses val="autoZero"/>
        <c:auto val="1"/>
        <c:lblAlgn val="ctr"/>
        <c:lblOffset val="100"/>
      </c:catAx>
      <c:valAx>
        <c:axId val="10042254"/>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18196565"/>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Ingresos corrientes de ANSES, % PIB (1993-2019)</a:t>
            </a:r>
          </a:p>
        </c:rich>
      </c:tx>
      <c:overlay val="0"/>
      <c:spPr>
        <a:noFill/>
        <a:ln>
          <a:noFill/>
        </a:ln>
      </c:spPr>
    </c:title>
    <c:autoTitleDeleted val="0"/>
    <c:plotArea>
      <c:layout>
        <c:manualLayout>
          <c:layoutTarget val="inner"/>
          <c:xMode val="edge"/>
          <c:yMode val="edge"/>
          <c:x val="0.0605636880052436"/>
          <c:y val="0.0614605929139552"/>
          <c:w val="0.921476949967227"/>
          <c:h val="0.701554591467824"/>
        </c:manualLayout>
      </c:layout>
      <c:barChart>
        <c:barDir val="col"/>
        <c:grouping val="stacked"/>
        <c:varyColors val="0"/>
        <c:ser>
          <c:idx val="0"/>
          <c:order val="0"/>
          <c:tx>
            <c:strRef>
              <c:f>'Resultado ANSES por etapas'!$B$68</c:f>
              <c:strCache>
                <c:ptCount val="1"/>
                <c:pt idx="0">
                  <c:v>Contribuciones a la seguridad social</c:v>
                </c:pt>
              </c:strCache>
            </c:strRef>
          </c:tx>
          <c:spPr>
            <a:solidFill>
              <a:srgbClr val="bdd7ee"/>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etapas'!$B$69:$B$95</c:f>
              <c:numCache>
                <c:formatCode>General</c:formatCode>
                <c:ptCount val="27"/>
                <c:pt idx="0">
                  <c:v>0.045352832912549</c:v>
                </c:pt>
                <c:pt idx="1">
                  <c:v>0.0412406410701487</c:v>
                </c:pt>
                <c:pt idx="2">
                  <c:v>0.0367162842262927</c:v>
                </c:pt>
                <c:pt idx="3">
                  <c:v>0.0363846758844649</c:v>
                </c:pt>
                <c:pt idx="4">
                  <c:v>0.0281819888678765</c:v>
                </c:pt>
                <c:pt idx="5">
                  <c:v>0.0264965219233464</c:v>
                </c:pt>
                <c:pt idx="6">
                  <c:v>0.0249055646687138</c:v>
                </c:pt>
                <c:pt idx="7">
                  <c:v>0.0236198765665383</c:v>
                </c:pt>
                <c:pt idx="8">
                  <c:v>0.0238758696338049</c:v>
                </c:pt>
                <c:pt idx="9">
                  <c:v>0.0204511996433966</c:v>
                </c:pt>
                <c:pt idx="10">
                  <c:v>0.0204726739831029</c:v>
                </c:pt>
                <c:pt idx="11">
                  <c:v>0.0198583830686151</c:v>
                </c:pt>
                <c:pt idx="12">
                  <c:v>0.0214249777603053</c:v>
                </c:pt>
                <c:pt idx="13">
                  <c:v>0.0252575877444441</c:v>
                </c:pt>
                <c:pt idx="14">
                  <c:v>0.0385047966381489</c:v>
                </c:pt>
                <c:pt idx="15">
                  <c:v>0.0368508016736982</c:v>
                </c:pt>
                <c:pt idx="16">
                  <c:v>0.0507701371819389</c:v>
                </c:pt>
                <c:pt idx="17">
                  <c:v>0.0504873115779599</c:v>
                </c:pt>
                <c:pt idx="18">
                  <c:v>0.051623947009386</c:v>
                </c:pt>
                <c:pt idx="19">
                  <c:v>0.055778278265298</c:v>
                </c:pt>
                <c:pt idx="20">
                  <c:v>0.0576719027752101</c:v>
                </c:pt>
                <c:pt idx="21">
                  <c:v>0.0542098068652894</c:v>
                </c:pt>
                <c:pt idx="22">
                  <c:v>0.0564297158299164</c:v>
                </c:pt>
                <c:pt idx="23">
                  <c:v>0.0546875274954749</c:v>
                </c:pt>
                <c:pt idx="24">
                  <c:v>0.055590096056665</c:v>
                </c:pt>
                <c:pt idx="25">
                  <c:v>0.0507048464919942</c:v>
                </c:pt>
                <c:pt idx="26">
                  <c:v>0.045482634112618</c:v>
                </c:pt>
              </c:numCache>
            </c:numRef>
          </c:val>
        </c:ser>
        <c:ser>
          <c:idx val="1"/>
          <c:order val="1"/>
          <c:tx>
            <c:strRef>
              <c:f>'Resultado ANSES por etapas'!$C$68</c:f>
              <c:strCache>
                <c:ptCount val="1"/>
                <c:pt idx="0">
                  <c:v>Ingresos tributarios</c:v>
                </c:pt>
              </c:strCache>
            </c:strRef>
          </c:tx>
          <c:spPr>
            <a:solidFill>
              <a:srgbClr val="f4b183"/>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etapas'!$C$69:$C$95</c:f>
              <c:numCache>
                <c:formatCode>General</c:formatCode>
                <c:ptCount val="27"/>
                <c:pt idx="0">
                  <c:v>0.0114261586914329</c:v>
                </c:pt>
                <c:pt idx="1">
                  <c:v>0.0120869185800861</c:v>
                </c:pt>
                <c:pt idx="2">
                  <c:v>0.0121121840535182</c:v>
                </c:pt>
                <c:pt idx="3">
                  <c:v>0.0146741320077489</c:v>
                </c:pt>
                <c:pt idx="4">
                  <c:v>0.0200853946887565</c:v>
                </c:pt>
                <c:pt idx="5">
                  <c:v>0.0212578403477591</c:v>
                </c:pt>
                <c:pt idx="6">
                  <c:v>0.0214303302315375</c:v>
                </c:pt>
                <c:pt idx="7">
                  <c:v>0.023556870770298</c:v>
                </c:pt>
                <c:pt idx="8">
                  <c:v>0.0214457736331774</c:v>
                </c:pt>
                <c:pt idx="9">
                  <c:v>0.0170555199717405</c:v>
                </c:pt>
                <c:pt idx="10">
                  <c:v>0.0198553916144812</c:v>
                </c:pt>
                <c:pt idx="11">
                  <c:v>0.0216742076161843</c:v>
                </c:pt>
                <c:pt idx="12">
                  <c:v>0.0219471405894574</c:v>
                </c:pt>
                <c:pt idx="13">
                  <c:v>0.0212196799431274</c:v>
                </c:pt>
                <c:pt idx="14">
                  <c:v>0.0209548679959935</c:v>
                </c:pt>
                <c:pt idx="15">
                  <c:v>0.0204392279016501</c:v>
                </c:pt>
                <c:pt idx="16">
                  <c:v>0.0203921181346288</c:v>
                </c:pt>
                <c:pt idx="17">
                  <c:v>0.0206407631065506</c:v>
                </c:pt>
                <c:pt idx="18">
                  <c:v>0.0210555255476486</c:v>
                </c:pt>
                <c:pt idx="19">
                  <c:v>0.0224400989125377</c:v>
                </c:pt>
                <c:pt idx="20">
                  <c:v>0.0223318530313047</c:v>
                </c:pt>
                <c:pt idx="21">
                  <c:v>0.0225793750807335</c:v>
                </c:pt>
                <c:pt idx="22">
                  <c:v>0.0236426052651485</c:v>
                </c:pt>
                <c:pt idx="23">
                  <c:v>0.021229363568432</c:v>
                </c:pt>
                <c:pt idx="24">
                  <c:v>0.0213651993139403</c:v>
                </c:pt>
                <c:pt idx="25">
                  <c:v>0.0267202526606726</c:v>
                </c:pt>
                <c:pt idx="26">
                  <c:v>0.025992153910621</c:v>
                </c:pt>
              </c:numCache>
            </c:numRef>
          </c:val>
        </c:ser>
        <c:ser>
          <c:idx val="2"/>
          <c:order val="2"/>
          <c:tx>
            <c:strRef>
              <c:f>'Resultado ANSES por etapas'!$D$68</c:f>
              <c:strCache>
                <c:ptCount val="1"/>
                <c:pt idx="0">
                  <c:v>Coparticipación que va a ANSES</c:v>
                </c:pt>
              </c:strCache>
            </c:strRef>
          </c:tx>
          <c:spPr>
            <a:solidFill>
              <a:srgbClr val="a9d18e"/>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etapas'!$D$69:$D$95</c:f>
              <c:numCache>
                <c:formatCode>General</c:formatCode>
                <c:ptCount val="27"/>
                <c:pt idx="0">
                  <c:v>0.012477115671009</c:v>
                </c:pt>
                <c:pt idx="1">
                  <c:v>0.0103138055803019</c:v>
                </c:pt>
                <c:pt idx="2">
                  <c:v>0.011591546064283</c:v>
                </c:pt>
                <c:pt idx="3">
                  <c:v>0.0118734138888744</c:v>
                </c:pt>
                <c:pt idx="4">
                  <c:v>0.0122864231415156</c:v>
                </c:pt>
                <c:pt idx="5">
                  <c:v>0.0127033327129764</c:v>
                </c:pt>
                <c:pt idx="6">
                  <c:v>0.0130590610333592</c:v>
                </c:pt>
                <c:pt idx="7">
                  <c:v>0.0132482904466693</c:v>
                </c:pt>
                <c:pt idx="8">
                  <c:v>0.0124450443431941</c:v>
                </c:pt>
                <c:pt idx="9">
                  <c:v>0.00963695804700716</c:v>
                </c:pt>
                <c:pt idx="10">
                  <c:v>0.0118026727120887</c:v>
                </c:pt>
                <c:pt idx="11">
                  <c:v>0.0133242836449752</c:v>
                </c:pt>
                <c:pt idx="12">
                  <c:v>0.0139618318212355</c:v>
                </c:pt>
                <c:pt idx="13">
                  <c:v>0.0141131235333867</c:v>
                </c:pt>
                <c:pt idx="14">
                  <c:v>0.0149068047295749</c:v>
                </c:pt>
                <c:pt idx="15">
                  <c:v>0.0145730376476074</c:v>
                </c:pt>
                <c:pt idx="16">
                  <c:v>0.0146173597980544</c:v>
                </c:pt>
                <c:pt idx="17">
                  <c:v>0.0147442218942046</c:v>
                </c:pt>
                <c:pt idx="18">
                  <c:v>0.0148856065446608</c:v>
                </c:pt>
                <c:pt idx="19">
                  <c:v>0.0155583049965991</c:v>
                </c:pt>
                <c:pt idx="20">
                  <c:v>0.0159148002617685</c:v>
                </c:pt>
                <c:pt idx="21">
                  <c:v>0.015871302582137</c:v>
                </c:pt>
                <c:pt idx="22">
                  <c:v>0.0160551081025211</c:v>
                </c:pt>
                <c:pt idx="23">
                  <c:v>0.0115333980628038</c:v>
                </c:pt>
                <c:pt idx="24">
                  <c:v>0.00831240027666563</c:v>
                </c:pt>
                <c:pt idx="25">
                  <c:v>0.00633564870628469</c:v>
                </c:pt>
                <c:pt idx="26">
                  <c:v>0.00305405926972561</c:v>
                </c:pt>
              </c:numCache>
            </c:numRef>
          </c:val>
        </c:ser>
        <c:ser>
          <c:idx val="3"/>
          <c:order val="3"/>
          <c:tx>
            <c:strRef>
              <c:f>'Resultado ANSES por etapas'!$E$68</c:f>
              <c:strCache>
                <c:ptCount val="1"/>
                <c:pt idx="0">
                  <c:v>Financiamiento del Tesoro de Asignaciones Familiares Sector público, Conectar Igualdad, Progresar…</c:v>
                </c:pt>
              </c:strCache>
            </c:strRef>
          </c:tx>
          <c:spPr>
            <a:solidFill>
              <a:srgbClr val="4472c4"/>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etapas'!$E$69:$E$95</c:f>
              <c:numCache>
                <c:formatCode>General</c:formatCode>
                <c:ptCount val="27"/>
                <c:pt idx="17">
                  <c:v>4.78419683827532E-005</c:v>
                </c:pt>
                <c:pt idx="18">
                  <c:v>0.00127650660654248</c:v>
                </c:pt>
                <c:pt idx="19">
                  <c:v>0.000474495124682221</c:v>
                </c:pt>
                <c:pt idx="20">
                  <c:v>0.00122193042080368</c:v>
                </c:pt>
                <c:pt idx="21">
                  <c:v>0.0016327062141725</c:v>
                </c:pt>
                <c:pt idx="22">
                  <c:v>0.00174808358257101</c:v>
                </c:pt>
                <c:pt idx="23">
                  <c:v>0.00171059175545749</c:v>
                </c:pt>
                <c:pt idx="24">
                  <c:v>0.00110535464672093</c:v>
                </c:pt>
                <c:pt idx="25">
                  <c:v>0.00032264996405818</c:v>
                </c:pt>
                <c:pt idx="26">
                  <c:v>0.000222538509524099</c:v>
                </c:pt>
              </c:numCache>
            </c:numRef>
          </c:val>
        </c:ser>
        <c:ser>
          <c:idx val="4"/>
          <c:order val="4"/>
          <c:tx>
            <c:strRef>
              <c:f>'Resultado ANSES por etapas'!$G$68</c:f>
              <c:strCache>
                <c:ptCount val="1"/>
                <c:pt idx="0">
                  <c:v>Rentas de la propiedad (FGS a partir de 2008)</c:v>
                </c:pt>
              </c:strCache>
            </c:strRef>
          </c:tx>
          <c:spPr>
            <a:solidFill>
              <a:srgbClr val="ffc000"/>
            </a:solidFill>
            <a:ln>
              <a:noFill/>
            </a:ln>
          </c:spPr>
          <c:invertIfNegative val="0"/>
          <c:dPt>
            <c:idx val="0"/>
            <c:invertIfNegative val="0"/>
            <c:spPr>
              <a:solidFill>
                <a:srgbClr val="ffc000"/>
              </a:solidFill>
              <a:ln>
                <a:noFill/>
              </a:ln>
            </c:spPr>
          </c:dPt>
          <c:dPt>
            <c:idx val="1"/>
            <c:invertIfNegative val="0"/>
            <c:spPr>
              <a:solidFill>
                <a:srgbClr val="ffc000"/>
              </a:solidFill>
              <a:ln>
                <a:noFill/>
              </a:ln>
            </c:spPr>
          </c:dPt>
          <c:dPt>
            <c:idx val="2"/>
            <c:invertIfNegative val="0"/>
            <c:spPr>
              <a:solidFill>
                <a:srgbClr val="ffc000"/>
              </a:solidFill>
              <a:ln>
                <a:noFill/>
              </a:ln>
            </c:spPr>
          </c:dPt>
          <c:dPt>
            <c:idx val="3"/>
            <c:invertIfNegative val="0"/>
            <c:spPr>
              <a:solidFill>
                <a:srgbClr val="ffc000"/>
              </a:solidFill>
              <a:ln>
                <a:noFill/>
              </a:ln>
            </c:spPr>
          </c:dPt>
          <c:dPt>
            <c:idx val="4"/>
            <c:invertIfNegative val="0"/>
            <c:spPr>
              <a:solidFill>
                <a:srgbClr val="ffc000"/>
              </a:solidFill>
              <a:ln>
                <a:noFill/>
              </a:ln>
            </c:spPr>
          </c:dPt>
          <c:dPt>
            <c:idx val="5"/>
            <c:invertIfNegative val="0"/>
            <c:spPr>
              <a:solidFill>
                <a:srgbClr val="ffc000"/>
              </a:solidFill>
              <a:ln>
                <a:noFill/>
              </a:ln>
            </c:spPr>
          </c:dPt>
          <c:dPt>
            <c:idx val="6"/>
            <c:invertIfNegative val="0"/>
            <c:spPr>
              <a:solidFill>
                <a:srgbClr val="ffc000"/>
              </a:solidFill>
              <a:ln>
                <a:noFill/>
              </a:ln>
            </c:spPr>
          </c:dPt>
          <c:dPt>
            <c:idx val="7"/>
            <c:invertIfNegative val="0"/>
            <c:spPr>
              <a:solidFill>
                <a:srgbClr val="ffc000"/>
              </a:solidFill>
              <a:ln>
                <a:noFill/>
              </a:ln>
            </c:spPr>
          </c:dPt>
          <c:dPt>
            <c:idx val="8"/>
            <c:invertIfNegative val="0"/>
            <c:spPr>
              <a:solidFill>
                <a:srgbClr val="ffc000"/>
              </a:solidFill>
              <a:ln>
                <a:noFill/>
              </a:ln>
            </c:spPr>
          </c:dPt>
          <c:dPt>
            <c:idx val="9"/>
            <c:invertIfNegative val="0"/>
            <c:spPr>
              <a:solidFill>
                <a:srgbClr val="ffc000"/>
              </a:solidFill>
              <a:ln>
                <a:noFill/>
              </a:ln>
            </c:spPr>
          </c:dPt>
          <c:dPt>
            <c:idx val="10"/>
            <c:invertIfNegative val="0"/>
            <c:spPr>
              <a:solidFill>
                <a:srgbClr val="ffc000"/>
              </a:solidFill>
              <a:ln>
                <a:noFill/>
              </a:ln>
            </c:spPr>
          </c:dPt>
          <c:dPt>
            <c:idx val="11"/>
            <c:invertIfNegative val="0"/>
            <c:spPr>
              <a:solidFill>
                <a:srgbClr val="ffc000"/>
              </a:solidFill>
              <a:ln>
                <a:noFill/>
              </a:ln>
            </c:spPr>
          </c:dPt>
          <c:dPt>
            <c:idx val="12"/>
            <c:invertIfNegative val="0"/>
            <c:spPr>
              <a:solidFill>
                <a:srgbClr val="ffc000"/>
              </a:solidFill>
              <a:ln>
                <a:noFill/>
              </a:ln>
            </c:spPr>
          </c:dPt>
          <c:dPt>
            <c:idx val="13"/>
            <c:invertIfNegative val="0"/>
            <c:spPr>
              <a:solidFill>
                <a:srgbClr val="ffc000"/>
              </a:solidFill>
              <a:ln>
                <a:noFill/>
              </a:ln>
            </c:spPr>
          </c:dPt>
          <c:dPt>
            <c:idx val="14"/>
            <c:invertIfNegative val="0"/>
            <c:spPr>
              <a:solidFill>
                <a:srgbClr val="ffc000"/>
              </a:solidFill>
              <a:ln>
                <a:noFill/>
              </a:ln>
            </c:spPr>
          </c:dPt>
          <c:dPt>
            <c:idx val="15"/>
            <c:invertIfNegative val="0"/>
            <c:spPr>
              <a:solidFill>
                <a:srgbClr val="ffc000"/>
              </a:solidFill>
              <a:ln>
                <a:noFill/>
              </a:ln>
            </c:spPr>
          </c:dPt>
          <c:dLbls>
            <c:numFmt formatCode="0.0%" sourceLinked="1"/>
            <c:dLbl>
              <c:idx val="0"/>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1"/>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2"/>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3"/>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4"/>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5"/>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6"/>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7"/>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8"/>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9"/>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10"/>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11"/>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12"/>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13"/>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14"/>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15"/>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etapas'!$G$69:$G$95</c:f>
              <c:numCache>
                <c:formatCode>General</c:formatCode>
                <c:ptCount val="27"/>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2.30880969959205E-005</c:v>
                </c:pt>
                <c:pt idx="12">
                  <c:v>6.64758507150565E-005</c:v>
                </c:pt>
                <c:pt idx="13">
                  <c:v>0.000401428799431498</c:v>
                </c:pt>
                <c:pt idx="14">
                  <c:v>0.000737928817183578</c:v>
                </c:pt>
                <c:pt idx="15">
                  <c:v>0.000971980550364607</c:v>
                </c:pt>
                <c:pt idx="16">
                  <c:v>0.00680095700317286</c:v>
                </c:pt>
                <c:pt idx="17">
                  <c:v>0.00524439899269864</c:v>
                </c:pt>
                <c:pt idx="18">
                  <c:v>0.00506588207799855</c:v>
                </c:pt>
                <c:pt idx="19">
                  <c:v>0.00657689666047515</c:v>
                </c:pt>
                <c:pt idx="20">
                  <c:v>0.00683124675183988</c:v>
                </c:pt>
                <c:pt idx="21">
                  <c:v>0.00838241527111434</c:v>
                </c:pt>
                <c:pt idx="22">
                  <c:v>0.00893120932488722</c:v>
                </c:pt>
                <c:pt idx="23">
                  <c:v>0.00880758496959625</c:v>
                </c:pt>
                <c:pt idx="24">
                  <c:v>0.0103596875406384</c:v>
                </c:pt>
                <c:pt idx="25">
                  <c:v>0.0125788869347148</c:v>
                </c:pt>
                <c:pt idx="26">
                  <c:v>0.0141101595741833</c:v>
                </c:pt>
              </c:numCache>
            </c:numRef>
          </c:val>
        </c:ser>
        <c:ser>
          <c:idx val="5"/>
          <c:order val="5"/>
          <c:tx>
            <c:strRef>
              <c:f>'Resultado ANSES por etapas'!$H$68</c:f>
              <c:strCache>
                <c:ptCount val="1"/>
                <c:pt idx="0">
                  <c:v>Asistencia del Tesoro por coparticipación y PUAM</c:v>
                </c:pt>
              </c:strCache>
            </c:strRef>
          </c:tx>
          <c:spPr>
            <a:solidFill>
              <a:srgbClr val="ffff00"/>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etapas'!$H$69:$H$95</c:f>
              <c:numCache>
                <c:formatCode>General</c:formatCode>
                <c:ptCount val="27"/>
                <c:pt idx="23">
                  <c:v>0.00380628674306788</c:v>
                </c:pt>
                <c:pt idx="24">
                  <c:v>0.0076045316092612</c:v>
                </c:pt>
                <c:pt idx="25">
                  <c:v>0.0121336604883658</c:v>
                </c:pt>
                <c:pt idx="26">
                  <c:v>0.0149805572266182</c:v>
                </c:pt>
              </c:numCache>
            </c:numRef>
          </c:val>
        </c:ser>
        <c:ser>
          <c:idx val="6"/>
          <c:order val="6"/>
          <c:tx>
            <c:strRef>
              <c:f>'Resultado ANSES por etapas'!$I$68</c:f>
              <c:strCache>
                <c:ptCount val="1"/>
                <c:pt idx="0">
                  <c:v>Blanqueo de capitales</c:v>
                </c:pt>
              </c:strCache>
            </c:strRef>
          </c:tx>
          <c:spPr>
            <a:solidFill>
              <a:srgbClr val="d9d9d9"/>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etapas'!$I$69:$I$95</c:f>
              <c:numCache>
                <c:formatCode>General</c:formatCode>
                <c:ptCount val="27"/>
                <c:pt idx="23">
                  <c:v>0.0125824966432202</c:v>
                </c:pt>
                <c:pt idx="24">
                  <c:v>0.00420963634008006</c:v>
                </c:pt>
              </c:numCache>
            </c:numRef>
          </c:val>
        </c:ser>
        <c:gapWidth val="150"/>
        <c:overlap val="100"/>
        <c:axId val="12545857"/>
        <c:axId val="50728986"/>
      </c:barChart>
      <c:lineChart>
        <c:grouping val="stacked"/>
        <c:varyColors val="0"/>
        <c:ser>
          <c:idx val="7"/>
          <c:order val="7"/>
          <c:tx>
            <c:strRef>
              <c:f>'Resultado ANSES por etapas'!$F$68</c:f>
              <c:strCache>
                <c:ptCount val="1"/>
                <c:pt idx="0">
                  <c:v>Ingresos genuinos de ANSES</c:v>
                </c:pt>
              </c:strCache>
            </c:strRef>
          </c:tx>
          <c:spPr>
            <a:solidFill>
              <a:srgbClr val="a5a5a5"/>
            </a:solidFill>
            <a:ln w="28440">
              <a:solidFill>
                <a:srgbClr val="a5a5a5"/>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etapas'!$F$69:$F$95</c:f>
              <c:numCache>
                <c:formatCode>General</c:formatCode>
                <c:ptCount val="27"/>
                <c:pt idx="0">
                  <c:v>0.0692561072749909</c:v>
                </c:pt>
                <c:pt idx="1">
                  <c:v>0.0636413652305368</c:v>
                </c:pt>
                <c:pt idx="2">
                  <c:v>0.0604200143440938</c:v>
                </c:pt>
                <c:pt idx="3">
                  <c:v>0.0629322217810882</c:v>
                </c:pt>
                <c:pt idx="4">
                  <c:v>0.0605538066981487</c:v>
                </c:pt>
                <c:pt idx="5">
                  <c:v>0.060457694984082</c:v>
                </c:pt>
                <c:pt idx="6">
                  <c:v>0.0593949559336106</c:v>
                </c:pt>
                <c:pt idx="7">
                  <c:v>0.0604250377835056</c:v>
                </c:pt>
                <c:pt idx="8">
                  <c:v>0.0577666876101764</c:v>
                </c:pt>
                <c:pt idx="9">
                  <c:v>0.0471436776621443</c:v>
                </c:pt>
                <c:pt idx="10">
                  <c:v>0.0521307383096728</c:v>
                </c:pt>
                <c:pt idx="11">
                  <c:v>0.0548568743297746</c:v>
                </c:pt>
                <c:pt idx="12">
                  <c:v>0.0573339501709982</c:v>
                </c:pt>
                <c:pt idx="13">
                  <c:v>0.0605903912209582</c:v>
                </c:pt>
                <c:pt idx="14">
                  <c:v>0.0743664693637173</c:v>
                </c:pt>
                <c:pt idx="15">
                  <c:v>0.0718630672229557</c:v>
                </c:pt>
                <c:pt idx="16">
                  <c:v>0.0857796151146221</c:v>
                </c:pt>
                <c:pt idx="17">
                  <c:v>0.0859201385470978</c:v>
                </c:pt>
                <c:pt idx="18">
                  <c:v>0.0888415857082379</c:v>
                </c:pt>
                <c:pt idx="19">
                  <c:v>0.094251177299117</c:v>
                </c:pt>
                <c:pt idx="20">
                  <c:v>0.0971404864890869</c:v>
                </c:pt>
                <c:pt idx="21">
                  <c:v>0.0942931907423325</c:v>
                </c:pt>
                <c:pt idx="22">
                  <c:v>0.097875512780157</c:v>
                </c:pt>
                <c:pt idx="23">
                  <c:v>0.0891608808821682</c:v>
                </c:pt>
                <c:pt idx="24">
                  <c:v>0.0863730502939919</c:v>
                </c:pt>
                <c:pt idx="25">
                  <c:v>0.0840833978230097</c:v>
                </c:pt>
                <c:pt idx="26">
                  <c:v>0.0747513858024887</c:v>
                </c:pt>
              </c:numCache>
            </c:numRef>
          </c:val>
          <c:smooth val="0"/>
        </c:ser>
        <c:hiLowLines>
          <c:spPr>
            <a:ln>
              <a:noFill/>
            </a:ln>
          </c:spPr>
        </c:hiLowLines>
        <c:marker val="0"/>
        <c:axId val="12545857"/>
        <c:axId val="50728986"/>
      </c:lineChart>
      <c:catAx>
        <c:axId val="1254585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50728986"/>
        <c:crosses val="autoZero"/>
        <c:auto val="1"/>
        <c:lblAlgn val="ctr"/>
        <c:lblOffset val="100"/>
      </c:catAx>
      <c:valAx>
        <c:axId val="50728986"/>
        <c:scaling>
          <c:orientation val="minMax"/>
          <c:max val="0.12"/>
          <c:min val="0"/>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12545857"/>
        <c:crosses val="autoZero"/>
      </c:valAx>
      <c:spPr>
        <a:noFill/>
        <a:ln>
          <a:noFill/>
        </a:ln>
      </c:spPr>
    </c:plotArea>
    <c:legend>
      <c:legendPos val="r"/>
      <c:layout>
        <c:manualLayout>
          <c:xMode val="edge"/>
          <c:yMode val="edge"/>
          <c:x val="0.00957382878852254"/>
          <c:y val="0.782039960260514"/>
          <c:w val="0.971951056916975"/>
          <c:h val="0.217806480101562"/>
        </c:manualLayout>
      </c:layout>
      <c:overlay val="0"/>
      <c:spPr>
        <a:noFill/>
        <a:ln>
          <a:noFill/>
        </a:ln>
      </c:spPr>
      <c:txPr>
        <a:bodyPr/>
        <a:lstStyle/>
        <a:p>
          <a:pPr>
            <a:defRPr b="0" lang="es-AR"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Gastos corrientes de ANSES, % PIB</a:t>
            </a:r>
          </a:p>
        </c:rich>
      </c:tx>
      <c:overlay val="0"/>
      <c:spPr>
        <a:noFill/>
        <a:ln>
          <a:noFill/>
        </a:ln>
      </c:spPr>
    </c:title>
    <c:autoTitleDeleted val="0"/>
    <c:plotArea>
      <c:barChart>
        <c:barDir val="col"/>
        <c:grouping val="stacked"/>
        <c:varyColors val="0"/>
        <c:ser>
          <c:idx val="0"/>
          <c:order val="0"/>
          <c:tx>
            <c:strRef>
              <c:f>'Resultado ANSES por etapas'!$M$34</c:f>
              <c:strCache>
                <c:ptCount val="1"/>
                <c:pt idx="0">
                  <c:v>Jubilaciones y pensiones brutas, PUAM y PNC (desde oct. 2017)</c:v>
                </c:pt>
              </c:strCache>
            </c:strRef>
          </c:tx>
          <c:spPr>
            <a:solidFill>
              <a:srgbClr val="bdd7ee"/>
            </a:solidFill>
            <a:ln>
              <a:noFill/>
            </a:ln>
          </c:spPr>
          <c:invertIfNegative val="0"/>
          <c:dLbls>
            <c:numFmt formatCode="0.0%" sourceLinked="0"/>
            <c:txPr>
              <a:bodyPr rot="-5400000"/>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etapas'!$L$35:$L$61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etapas'!$M$35:$M$61</c:f>
              <c:numCache>
                <c:formatCode>General</c:formatCode>
                <c:ptCount val="27"/>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0.0381838546901421</c:v>
                </c:pt>
                <c:pt idx="12">
                  <c:v>0.0359050849402142</c:v>
                </c:pt>
                <c:pt idx="13">
                  <c:v>0.0382627857511565</c:v>
                </c:pt>
                <c:pt idx="14">
                  <c:v>0.0507893039157943</c:v>
                </c:pt>
                <c:pt idx="15">
                  <c:v>0.0501347587043501</c:v>
                </c:pt>
                <c:pt idx="16">
                  <c:v>0.0588576476808504</c:v>
                </c:pt>
                <c:pt idx="17">
                  <c:v>0.055076484873527</c:v>
                </c:pt>
                <c:pt idx="18">
                  <c:v>0.0579992749226626</c:v>
                </c:pt>
                <c:pt idx="19">
                  <c:v>0.0662494576002582</c:v>
                </c:pt>
                <c:pt idx="20">
                  <c:v>0.0689779144626467</c:v>
                </c:pt>
                <c:pt idx="21">
                  <c:v>0.0668831360986687</c:v>
                </c:pt>
                <c:pt idx="22">
                  <c:v>0.0753973632561754</c:v>
                </c:pt>
                <c:pt idx="23">
                  <c:v>0.07567738322788</c:v>
                </c:pt>
                <c:pt idx="24">
                  <c:v>0.0793572213835881</c:v>
                </c:pt>
                <c:pt idx="25">
                  <c:v>0.0747946376147494</c:v>
                </c:pt>
                <c:pt idx="26">
                  <c:v>0.0732314555492533</c:v>
                </c:pt>
              </c:numCache>
            </c:numRef>
          </c:val>
        </c:ser>
        <c:ser>
          <c:idx val="1"/>
          <c:order val="1"/>
          <c:tx>
            <c:strRef>
              <c:f>'Resultado ANSES por etapas'!$N$34</c:f>
              <c:strCache>
                <c:ptCount val="1"/>
                <c:pt idx="0">
                  <c:v>Asignaciones familiares</c:v>
                </c:pt>
              </c:strCache>
            </c:strRef>
          </c:tx>
          <c:spPr>
            <a:solidFill>
              <a:srgbClr val="f8cbad"/>
            </a:solidFill>
            <a:ln>
              <a:noFill/>
            </a:ln>
          </c:spPr>
          <c:invertIfNegative val="0"/>
          <c:dLbls>
            <c:numFmt formatCode="0.0%" sourceLinked="0"/>
            <c:txPr>
              <a:bodyPr rot="-5400000"/>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etapas'!$L$35:$L$61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etapas'!$N$35:$N$61</c:f>
              <c:numCache>
                <c:formatCode>General</c:formatCode>
                <c:ptCount val="27"/>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0.00601253522505087</c:v>
                </c:pt>
                <c:pt idx="12">
                  <c:v>0.00717141324245859</c:v>
                </c:pt>
                <c:pt idx="13">
                  <c:v>0.00645013061743081</c:v>
                </c:pt>
                <c:pt idx="14">
                  <c:v>0.00559034382813241</c:v>
                </c:pt>
                <c:pt idx="15">
                  <c:v>0.00717673059001263</c:v>
                </c:pt>
                <c:pt idx="16">
                  <c:v>0.0103548744113128</c:v>
                </c:pt>
                <c:pt idx="17">
                  <c:v>0.013401132173323</c:v>
                </c:pt>
                <c:pt idx="18">
                  <c:v>0.0109799924049</c:v>
                </c:pt>
                <c:pt idx="19">
                  <c:v>0.00995515308893217</c:v>
                </c:pt>
                <c:pt idx="20">
                  <c:v>0.0107146720941459</c:v>
                </c:pt>
                <c:pt idx="21">
                  <c:v>0.0106751453935426</c:v>
                </c:pt>
                <c:pt idx="22">
                  <c:v>0.0116328503756657</c:v>
                </c:pt>
                <c:pt idx="23">
                  <c:v>0.0163460286188939</c:v>
                </c:pt>
                <c:pt idx="24">
                  <c:v>0.0149136250605212</c:v>
                </c:pt>
                <c:pt idx="25">
                  <c:v>0.0148720651077345</c:v>
                </c:pt>
                <c:pt idx="26">
                  <c:v>0.0147840604707147</c:v>
                </c:pt>
              </c:numCache>
            </c:numRef>
          </c:val>
        </c:ser>
        <c:ser>
          <c:idx val="2"/>
          <c:order val="2"/>
          <c:tx>
            <c:strRef>
              <c:f>'Resultado ANSES por etapas'!$O$34</c:f>
              <c:strCache>
                <c:ptCount val="1"/>
                <c:pt idx="0">
                  <c:v>Cajas de fuerzas de seguridad, Pensiones No Contributivas (hasta 2017) e invalidez</c:v>
                </c:pt>
              </c:strCache>
            </c:strRef>
          </c:tx>
          <c:spPr>
            <a:solidFill>
              <a:srgbClr val="a9d18e"/>
            </a:solidFill>
            <a:ln>
              <a:noFill/>
            </a:ln>
          </c:spPr>
          <c:invertIfNegative val="0"/>
          <c:dLbls>
            <c:numFmt formatCode="0.0%" sourceLinked="0"/>
            <c:txPr>
              <a:bodyPr rot="-5400000"/>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etapas'!$L$35:$L$61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etapas'!$O$35:$O$61</c:f>
              <c:numCache>
                <c:formatCode>General</c:formatCode>
                <c:ptCount val="27"/>
                <c:pt idx="0">
                  <c:v>0.00528862853440302</c:v>
                </c:pt>
                <c:pt idx="1">
                  <c:v>0.00677530886936053</c:v>
                </c:pt>
                <c:pt idx="2">
                  <c:v>0.00663835790735207</c:v>
                </c:pt>
                <c:pt idx="3">
                  <c:v>0.0074607589826253</c:v>
                </c:pt>
                <c:pt idx="4">
                  <c:v>0.00721746011483045</c:v>
                </c:pt>
                <c:pt idx="5">
                  <c:v>0.00818073477793168</c:v>
                </c:pt>
                <c:pt idx="6">
                  <c:v>0.00868157830525175</c:v>
                </c:pt>
                <c:pt idx="7">
                  <c:v>0.00842379342908535</c:v>
                </c:pt>
                <c:pt idx="8">
                  <c:v>0.00850617345912317</c:v>
                </c:pt>
                <c:pt idx="9">
                  <c:v>0.00679872793896764</c:v>
                </c:pt>
                <c:pt idx="10">
                  <c:v>0.00679617546093593</c:v>
                </c:pt>
                <c:pt idx="11">
                  <c:v>0.0062422259511128</c:v>
                </c:pt>
                <c:pt idx="12">
                  <c:v>0.00597111538341118</c:v>
                </c:pt>
                <c:pt idx="13">
                  <c:v>0.00626372424192923</c:v>
                </c:pt>
                <c:pt idx="14">
                  <c:v>0.00694374082135591</c:v>
                </c:pt>
                <c:pt idx="15">
                  <c:v>0.00755471749320767</c:v>
                </c:pt>
                <c:pt idx="16">
                  <c:v>0.0096326646023175</c:v>
                </c:pt>
                <c:pt idx="17">
                  <c:v>0.0101063370292179</c:v>
                </c:pt>
                <c:pt idx="18">
                  <c:v>0.0120992651321526</c:v>
                </c:pt>
                <c:pt idx="19">
                  <c:v>0.0129182716332613</c:v>
                </c:pt>
                <c:pt idx="20">
                  <c:v>0.0146218200307587</c:v>
                </c:pt>
                <c:pt idx="21">
                  <c:v>0.0141412319440096</c:v>
                </c:pt>
                <c:pt idx="22">
                  <c:v>0.014539131815676</c:v>
                </c:pt>
                <c:pt idx="23">
                  <c:v>0.0137424706216159</c:v>
                </c:pt>
                <c:pt idx="24">
                  <c:v>0.0127866721432285</c:v>
                </c:pt>
                <c:pt idx="25">
                  <c:v>0.00965041777837607</c:v>
                </c:pt>
                <c:pt idx="26">
                  <c:v>0.00678412545890775</c:v>
                </c:pt>
              </c:numCache>
            </c:numRef>
          </c:val>
        </c:ser>
        <c:ser>
          <c:idx val="3"/>
          <c:order val="3"/>
          <c:tx>
            <c:strRef>
              <c:f>'Resultado ANSES por etapas'!$P$34</c:f>
              <c:strCache>
                <c:ptCount val="1"/>
                <c:pt idx="0">
                  <c:v>Gastos de consumo </c:v>
                </c:pt>
              </c:strCache>
            </c:strRef>
          </c:tx>
          <c:spPr>
            <a:solidFill>
              <a:srgbClr val="ffc000"/>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etapas'!$L$35:$L$61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etapas'!$P$35:$P$61</c:f>
              <c:numCache>
                <c:formatCode>General</c:formatCode>
                <c:ptCount val="27"/>
                <c:pt idx="0">
                  <c:v>0.00148990999175634</c:v>
                </c:pt>
                <c:pt idx="1">
                  <c:v>0.00114625800779694</c:v>
                </c:pt>
                <c:pt idx="2">
                  <c:v>0.00119215327226036</c:v>
                </c:pt>
                <c:pt idx="3">
                  <c:v>0.00171031345294353</c:v>
                </c:pt>
                <c:pt idx="4">
                  <c:v>0.00113559901995312</c:v>
                </c:pt>
                <c:pt idx="5">
                  <c:v>0.00102481315686651</c:v>
                </c:pt>
                <c:pt idx="6">
                  <c:v>0.000859047973636882</c:v>
                </c:pt>
                <c:pt idx="7">
                  <c:v>0.000763899147434019</c:v>
                </c:pt>
                <c:pt idx="8">
                  <c:v>0.000688492360671558</c:v>
                </c:pt>
                <c:pt idx="9">
                  <c:v>0.000674115579920293</c:v>
                </c:pt>
                <c:pt idx="10">
                  <c:v>0.000695611243275441</c:v>
                </c:pt>
                <c:pt idx="11">
                  <c:v>0.000620174834207575</c:v>
                </c:pt>
                <c:pt idx="12">
                  <c:v>0.000775276229474887</c:v>
                </c:pt>
                <c:pt idx="13">
                  <c:v>0.000837384263622429</c:v>
                </c:pt>
                <c:pt idx="14">
                  <c:v>0.000934433666315139</c:v>
                </c:pt>
                <c:pt idx="15">
                  <c:v>0.00110112913760037</c:v>
                </c:pt>
                <c:pt idx="16">
                  <c:v>0.00178122445365416</c:v>
                </c:pt>
                <c:pt idx="17">
                  <c:v>0.00193273387962204</c:v>
                </c:pt>
                <c:pt idx="18">
                  <c:v>0.00219213433804649</c:v>
                </c:pt>
                <c:pt idx="19">
                  <c:v>0.00236681220168485</c:v>
                </c:pt>
                <c:pt idx="20">
                  <c:v>0.00210806956969702</c:v>
                </c:pt>
                <c:pt idx="21">
                  <c:v>0.00208133381503417</c:v>
                </c:pt>
                <c:pt idx="22">
                  <c:v>0.00209925380408706</c:v>
                </c:pt>
                <c:pt idx="23">
                  <c:v>0.00177072549143578</c:v>
                </c:pt>
                <c:pt idx="24">
                  <c:v>0.00172705093781381</c:v>
                </c:pt>
                <c:pt idx="25">
                  <c:v>0.00148225469051734</c:v>
                </c:pt>
                <c:pt idx="26">
                  <c:v>0.00125780693193743</c:v>
                </c:pt>
              </c:numCache>
            </c:numRef>
          </c:val>
        </c:ser>
        <c:ser>
          <c:idx val="4"/>
          <c:order val="4"/>
          <c:tx>
            <c:strRef>
              <c:f>'Resultado ANSES por etapas'!$Q$34</c:f>
              <c:strCache>
                <c:ptCount val="1"/>
                <c:pt idx="0">
                  <c:v>Pago de sentencias sin RH</c:v>
                </c:pt>
              </c:strCache>
            </c:strRef>
          </c:tx>
          <c:spPr>
            <a:solidFill>
              <a:srgbClr val="4472c4"/>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etapas'!$L$35:$L$61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etapas'!$Q$35:$Q$61</c:f>
              <c:numCache>
                <c:formatCode>General</c:formatCode>
                <c:ptCount val="27"/>
                <c:pt idx="15">
                  <c:v>0.00116689653702815</c:v>
                </c:pt>
                <c:pt idx="16">
                  <c:v>0.00167502693461996</c:v>
                </c:pt>
                <c:pt idx="17">
                  <c:v>0.00129161278918117</c:v>
                </c:pt>
                <c:pt idx="18">
                  <c:v>0.00103133324512357</c:v>
                </c:pt>
                <c:pt idx="19">
                  <c:v>0.00123537014000835</c:v>
                </c:pt>
                <c:pt idx="20">
                  <c:v>0.00166967888999977</c:v>
                </c:pt>
                <c:pt idx="21">
                  <c:v>0.00180520724704594</c:v>
                </c:pt>
                <c:pt idx="22">
                  <c:v>0.00171424659032606</c:v>
                </c:pt>
                <c:pt idx="23">
                  <c:v>0.00197107261819154</c:v>
                </c:pt>
                <c:pt idx="24">
                  <c:v>0.00169318277702991</c:v>
                </c:pt>
                <c:pt idx="25">
                  <c:v>0.00155582043184477</c:v>
                </c:pt>
                <c:pt idx="26">
                  <c:v>0.00132323571147159</c:v>
                </c:pt>
              </c:numCache>
            </c:numRef>
          </c:val>
        </c:ser>
        <c:ser>
          <c:idx val="5"/>
          <c:order val="5"/>
          <c:tx>
            <c:strRef>
              <c:f>'Resultado ANSES por etapas'!$S$34</c:f>
              <c:strCache>
                <c:ptCount val="1"/>
                <c:pt idx="0">
                  <c:v>Gastos PNRH</c:v>
                </c:pt>
              </c:strCache>
            </c:strRef>
          </c:tx>
          <c:spPr>
            <a:solidFill>
              <a:srgbClr val="e7e6e6"/>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etapas'!$L$35:$L$61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etapas'!$S$35:$S$61</c:f>
              <c:numCache>
                <c:formatCode>General</c:formatCode>
                <c:ptCount val="27"/>
                <c:pt idx="23">
                  <c:v>0.000771083734631746</c:v>
                </c:pt>
                <c:pt idx="24">
                  <c:v>0.00390792092402232</c:v>
                </c:pt>
                <c:pt idx="25">
                  <c:v>0.00546669821870517</c:v>
                </c:pt>
                <c:pt idx="26">
                  <c:v>0.00448800286441286</c:v>
                </c:pt>
              </c:numCache>
            </c:numRef>
          </c:val>
        </c:ser>
        <c:gapWidth val="150"/>
        <c:overlap val="100"/>
        <c:axId val="90601813"/>
        <c:axId val="27941175"/>
      </c:barChart>
      <c:lineChart>
        <c:grouping val="stacked"/>
        <c:varyColors val="0"/>
        <c:ser>
          <c:idx val="6"/>
          <c:order val="6"/>
          <c:tx>
            <c:strRef>
              <c:f>'Resultado ANSES por etapas'!$R$34</c:f>
              <c:strCache>
                <c:ptCount val="1"/>
                <c:pt idx="0">
                  <c:v>Gastos corrientes de ANSES, sin RH</c:v>
                </c:pt>
              </c:strCache>
            </c:strRef>
          </c:tx>
          <c:spPr>
            <a:solidFill>
              <a:srgbClr val="70ad47"/>
            </a:solidFill>
            <a:ln w="28440">
              <a:solidFill>
                <a:srgbClr val="70ad47"/>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etapas'!$L$35:$L$61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etapas'!$R$35:$R$61</c:f>
              <c:numCache>
                <c:formatCode>General</c:formatCode>
                <c:ptCount val="27"/>
                <c:pt idx="0">
                  <c:v>0.0710579354176705</c:v>
                </c:pt>
                <c:pt idx="1">
                  <c:v>0.0768220142012863</c:v>
                </c:pt>
                <c:pt idx="2">
                  <c:v>0.0668310614623545</c:v>
                </c:pt>
                <c:pt idx="3">
                  <c:v>0.0683360497866201</c:v>
                </c:pt>
                <c:pt idx="4">
                  <c:v>0.0638180558867239</c:v>
                </c:pt>
                <c:pt idx="5">
                  <c:v>0.0631662534132158</c:v>
                </c:pt>
                <c:pt idx="6">
                  <c:v>0.0671635448382419</c:v>
                </c:pt>
                <c:pt idx="7">
                  <c:v>0.0671686628186734</c:v>
                </c:pt>
                <c:pt idx="8">
                  <c:v>0.0679328958512366</c:v>
                </c:pt>
                <c:pt idx="9">
                  <c:v>0.0586009238213564</c:v>
                </c:pt>
                <c:pt idx="10">
                  <c:v>0.0570634678077246</c:v>
                </c:pt>
                <c:pt idx="11">
                  <c:v>0.0510587907005133</c:v>
                </c:pt>
                <c:pt idx="12">
                  <c:v>0.0498228897955588</c:v>
                </c:pt>
                <c:pt idx="13">
                  <c:v>0.051814024874139</c:v>
                </c:pt>
                <c:pt idx="14">
                  <c:v>0.0642578222315978</c:v>
                </c:pt>
                <c:pt idx="15">
                  <c:v>0.067134232462199</c:v>
                </c:pt>
                <c:pt idx="16">
                  <c:v>0.0823014380827548</c:v>
                </c:pt>
                <c:pt idx="17">
                  <c:v>0.0818083007448712</c:v>
                </c:pt>
                <c:pt idx="18">
                  <c:v>0.0843020000428854</c:v>
                </c:pt>
                <c:pt idx="19">
                  <c:v>0.0927250646641448</c:v>
                </c:pt>
                <c:pt idx="20">
                  <c:v>0.0980921550472481</c:v>
                </c:pt>
                <c:pt idx="21">
                  <c:v>0.095586054498301</c:v>
                </c:pt>
                <c:pt idx="22">
                  <c:v>0.10538284584193</c:v>
                </c:pt>
                <c:pt idx="23">
                  <c:v>0.109507680578017</c:v>
                </c:pt>
                <c:pt idx="24">
                  <c:v>0.110477752302181</c:v>
                </c:pt>
                <c:pt idx="25">
                  <c:v>0.102355195623222</c:v>
                </c:pt>
                <c:pt idx="26">
                  <c:v>0.0973806841222848</c:v>
                </c:pt>
              </c:numCache>
            </c:numRef>
          </c:val>
          <c:smooth val="0"/>
        </c:ser>
        <c:hiLowLines>
          <c:spPr>
            <a:ln>
              <a:noFill/>
            </a:ln>
          </c:spPr>
        </c:hiLowLines>
        <c:marker val="0"/>
        <c:axId val="90601813"/>
        <c:axId val="27941175"/>
      </c:lineChart>
      <c:catAx>
        <c:axId val="9060181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27941175"/>
        <c:crosses val="autoZero"/>
        <c:auto val="1"/>
        <c:lblAlgn val="ctr"/>
        <c:lblOffset val="100"/>
      </c:catAx>
      <c:valAx>
        <c:axId val="27941175"/>
        <c:scaling>
          <c:orientation val="minMax"/>
          <c:max val="0.12"/>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90601813"/>
        <c:crosses val="autoZero"/>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7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(1993-2019)</a:t>
            </a:r>
          </a:p>
        </c:rich>
      </c:tx>
      <c:overlay val="0"/>
      <c:spPr>
        <a:noFill/>
        <a:ln w="25560">
          <a:noFill/>
        </a:ln>
      </c:spPr>
    </c:title>
    <c:autoTitleDeleted val="0"/>
    <c:plotArea>
      <c:lineChart>
        <c:grouping val="standard"/>
        <c:varyColors val="0"/>
        <c:ser>
          <c:idx val="0"/>
          <c:order val="0"/>
          <c:tx>
            <c:strRef>
              <c:f>'Resultado ANSES por etapas'!$AB$4</c:f>
              <c:strCache>
                <c:ptCount val="1"/>
                <c:pt idx="0">
                  <c:v>Resultado económico </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etapas'!$L$5:$L$31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etapas'!$AB$5:$AB$31</c:f>
              <c:numCache>
                <c:formatCode>General</c:formatCode>
                <c:ptCount val="27"/>
                <c:pt idx="0">
                  <c:v>-0.000446069275463895</c:v>
                </c:pt>
                <c:pt idx="1">
                  <c:v>-0.0130853294610615</c:v>
                </c:pt>
                <c:pt idx="2">
                  <c:v>-0.00637934959758821</c:v>
                </c:pt>
                <c:pt idx="3">
                  <c:v>-0.00528730473079139</c:v>
                </c:pt>
                <c:pt idx="4">
                  <c:v>-0.00315594528811226</c:v>
                </c:pt>
                <c:pt idx="5">
                  <c:v>-0.00266006212398563</c:v>
                </c:pt>
                <c:pt idx="6">
                  <c:v>-0.00775968801462749</c:v>
                </c:pt>
                <c:pt idx="7">
                  <c:v>-0.00673854445377408</c:v>
                </c:pt>
                <c:pt idx="8">
                  <c:v>-0.0101649287372602</c:v>
                </c:pt>
                <c:pt idx="9">
                  <c:v>-0.0114400630696734</c:v>
                </c:pt>
                <c:pt idx="10">
                  <c:v>-0.00492726978903478</c:v>
                </c:pt>
                <c:pt idx="11">
                  <c:v>0.00382117172625724</c:v>
                </c:pt>
                <c:pt idx="12">
                  <c:v>0.00757753622615441</c:v>
                </c:pt>
                <c:pt idx="13">
                  <c:v>0.00917779514625071</c:v>
                </c:pt>
                <c:pt idx="14">
                  <c:v>0.0108465759493031</c:v>
                </c:pt>
                <c:pt idx="15">
                  <c:v>0.00472883476075677</c:v>
                </c:pt>
                <c:pt idx="16">
                  <c:v>0.00347817703186733</c:v>
                </c:pt>
                <c:pt idx="17">
                  <c:v>0.00411183780222665</c:v>
                </c:pt>
                <c:pt idx="18">
                  <c:v>0.00453958566535256</c:v>
                </c:pt>
                <c:pt idx="19">
                  <c:v>0.00152611263497225</c:v>
                </c:pt>
                <c:pt idx="20">
                  <c:v>-0.000951668558161159</c:v>
                </c:pt>
                <c:pt idx="21">
                  <c:v>-0.00129286375596847</c:v>
                </c:pt>
                <c:pt idx="22">
                  <c:v>-0.00750733306177323</c:v>
                </c:pt>
                <c:pt idx="23">
                  <c:v>-0.0203467996958489</c:v>
                </c:pt>
                <c:pt idx="24">
                  <c:v>-0.0241047020081896</c:v>
                </c:pt>
                <c:pt idx="25">
                  <c:v>-0.0182717978002125</c:v>
                </c:pt>
                <c:pt idx="26">
                  <c:v>-0.0226292983197961</c:v>
                </c:pt>
              </c:numCache>
            </c:numRef>
          </c:val>
          <c:smooth val="0"/>
        </c:ser>
        <c:ser>
          <c:idx val="1"/>
          <c:order val="1"/>
          <c:tx>
            <c:strRef>
              <c:f>'Resultado ANSES por etapas'!$AC$4</c:f>
              <c:strCache>
                <c:ptCount val="1"/>
                <c:pt idx="0">
                  <c:v>… con rentabilidad FGS</c:v>
                </c:pt>
              </c:strCache>
            </c:strRef>
          </c:tx>
          <c:spPr>
            <a:solidFill>
              <a:srgbClr val="1f4e79"/>
            </a:solidFill>
            <a:ln w="19080">
              <a:solidFill>
                <a:srgbClr val="1f4e79"/>
              </a:solidFill>
              <a:round/>
            </a:ln>
          </c:spPr>
          <c:marker>
            <c:symbol val="square"/>
            <c:size val="8"/>
            <c:spPr>
              <a:solidFill>
                <a:srgbClr val="1f4e79"/>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etapas'!$L$5:$L$31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etapas'!$AC$5:$AC$31</c:f>
              <c:numCache>
                <c:formatCode>General</c:formatCode>
                <c:ptCount val="27"/>
                <c:pt idx="15">
                  <c:v>0.00570081531112138</c:v>
                </c:pt>
                <c:pt idx="16">
                  <c:v>0.0102791340350402</c:v>
                </c:pt>
                <c:pt idx="17">
                  <c:v>0.00935623679492528</c:v>
                </c:pt>
                <c:pt idx="18">
                  <c:v>0.00960546774335111</c:v>
                </c:pt>
                <c:pt idx="19">
                  <c:v>0.0081030092954474</c:v>
                </c:pt>
                <c:pt idx="20">
                  <c:v>0.00587957819367872</c:v>
                </c:pt>
                <c:pt idx="21">
                  <c:v>0.00708955151514587</c:v>
                </c:pt>
                <c:pt idx="22">
                  <c:v>0.00142387626311399</c:v>
                </c:pt>
                <c:pt idx="23">
                  <c:v>-0.0115392147262527</c:v>
                </c:pt>
                <c:pt idx="24">
                  <c:v>-0.0137450144675513</c:v>
                </c:pt>
                <c:pt idx="25">
                  <c:v>-0.0056929108654977</c:v>
                </c:pt>
                <c:pt idx="26">
                  <c:v>-0.00851913874561277</c:v>
                </c:pt>
              </c:numCache>
            </c:numRef>
          </c:val>
          <c:smooth val="0"/>
        </c:ser>
        <c:ser>
          <c:idx val="2"/>
          <c:order val="2"/>
          <c:tx>
            <c:strRef>
              <c:f>'Resultado ANSES por etapas'!$AD$4</c:f>
              <c:strCache>
                <c:ptCount val="1"/>
                <c:pt idx="0">
                  <c:v>... y financiamiento del Tesoro</c:v>
                </c:pt>
              </c:strCache>
            </c:strRef>
          </c:tx>
          <c:spPr>
            <a:solidFill>
              <a:srgbClr val="ffc000"/>
            </a:solidFill>
            <a:ln w="19080">
              <a:solidFill>
                <a:srgbClr val="ffc000"/>
              </a:solidFill>
              <a:round/>
            </a:ln>
          </c:spPr>
          <c:marker>
            <c:symbol val="triangle"/>
            <c:size val="10"/>
            <c:spPr>
              <a:solidFill>
                <a:srgbClr val="ffc000"/>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etapas'!$L$5:$L$31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etapas'!$AD$5:$AD$31</c:f>
              <c:numCache>
                <c:formatCode>General</c:formatCode>
                <c:ptCount val="27"/>
                <c:pt idx="23">
                  <c:v>-0.00773292798318478</c:v>
                </c:pt>
                <c:pt idx="24">
                  <c:v>-0.00614048285829008</c:v>
                </c:pt>
                <c:pt idx="25">
                  <c:v>0.00644074962286809</c:v>
                </c:pt>
                <c:pt idx="26">
                  <c:v>0.00646141848100539</c:v>
                </c:pt>
              </c:numCache>
            </c:numRef>
          </c:val>
          <c:smooth val="0"/>
        </c:ser>
        <c:hiLowLines>
          <c:spPr>
            <a:ln>
              <a:noFill/>
            </a:ln>
          </c:spPr>
        </c:hiLowLines>
        <c:marker val="1"/>
        <c:axId val="36742438"/>
        <c:axId val="19213172"/>
      </c:lineChart>
      <c:catAx>
        <c:axId val="3674243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19213172"/>
        <c:crosses val="autoZero"/>
        <c:auto val="1"/>
        <c:lblAlgn val="ctr"/>
        <c:lblOffset val="100"/>
      </c:catAx>
      <c:valAx>
        <c:axId val="19213172"/>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36742438"/>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(1993-2019)</a:t>
            </a:r>
          </a:p>
        </c:rich>
      </c:tx>
      <c:overlay val="0"/>
      <c:spPr>
        <a:noFill/>
        <a:ln w="25560">
          <a:noFill/>
        </a:ln>
      </c:spPr>
    </c:title>
    <c:autoTitleDeleted val="0"/>
    <c:plotArea>
      <c:lineChart>
        <c:grouping val="standard"/>
        <c:varyColors val="0"/>
        <c:ser>
          <c:idx val="0"/>
          <c:order val="0"/>
          <c:tx>
            <c:strRef>
              <c:f>'Resultado ANSES por etapas'!$AB$4</c:f>
              <c:strCache>
                <c:ptCount val="1"/>
                <c:pt idx="0">
                  <c:v>Resultado económico </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etapas'!$L$5:$L$31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etapas'!$AB$5:$AB$31</c:f>
              <c:numCache>
                <c:formatCode>General</c:formatCode>
                <c:ptCount val="27"/>
                <c:pt idx="0">
                  <c:v>-0.000446069275463895</c:v>
                </c:pt>
                <c:pt idx="1">
                  <c:v>-0.0130853294610615</c:v>
                </c:pt>
                <c:pt idx="2">
                  <c:v>-0.00637934959758821</c:v>
                </c:pt>
                <c:pt idx="3">
                  <c:v>-0.00528730473079139</c:v>
                </c:pt>
                <c:pt idx="4">
                  <c:v>-0.00315594528811226</c:v>
                </c:pt>
                <c:pt idx="5">
                  <c:v>-0.00266006212398563</c:v>
                </c:pt>
                <c:pt idx="6">
                  <c:v>-0.00775968801462749</c:v>
                </c:pt>
                <c:pt idx="7">
                  <c:v>-0.00673854445377408</c:v>
                </c:pt>
                <c:pt idx="8">
                  <c:v>-0.0101649287372602</c:v>
                </c:pt>
                <c:pt idx="9">
                  <c:v>-0.0114400630696734</c:v>
                </c:pt>
                <c:pt idx="10">
                  <c:v>-0.00492726978903478</c:v>
                </c:pt>
                <c:pt idx="11">
                  <c:v>0.00382117172625724</c:v>
                </c:pt>
                <c:pt idx="12">
                  <c:v>0.00757753622615441</c:v>
                </c:pt>
                <c:pt idx="13">
                  <c:v>0.00917779514625071</c:v>
                </c:pt>
                <c:pt idx="14">
                  <c:v>0.0108465759493031</c:v>
                </c:pt>
                <c:pt idx="15">
                  <c:v>0.00472883476075677</c:v>
                </c:pt>
                <c:pt idx="16">
                  <c:v>0.00347817703186733</c:v>
                </c:pt>
                <c:pt idx="17">
                  <c:v>0.00411183780222665</c:v>
                </c:pt>
                <c:pt idx="18">
                  <c:v>0.00453958566535256</c:v>
                </c:pt>
                <c:pt idx="19">
                  <c:v>0.00152611263497225</c:v>
                </c:pt>
                <c:pt idx="20">
                  <c:v>-0.000951668558161159</c:v>
                </c:pt>
                <c:pt idx="21">
                  <c:v>-0.00129286375596847</c:v>
                </c:pt>
                <c:pt idx="22">
                  <c:v>-0.00750733306177323</c:v>
                </c:pt>
                <c:pt idx="23">
                  <c:v>-0.0203467996958489</c:v>
                </c:pt>
                <c:pt idx="24">
                  <c:v>-0.0241047020081896</c:v>
                </c:pt>
                <c:pt idx="25">
                  <c:v>-0.0182717978002125</c:v>
                </c:pt>
                <c:pt idx="26">
                  <c:v>-0.0226292983197961</c:v>
                </c:pt>
              </c:numCache>
            </c:numRef>
          </c:val>
          <c:smooth val="0"/>
        </c:ser>
        <c:hiLowLines>
          <c:spPr>
            <a:ln>
              <a:noFill/>
            </a:ln>
          </c:spPr>
        </c:hiLowLines>
        <c:marker val="1"/>
        <c:axId val="54890413"/>
        <c:axId val="89185643"/>
      </c:lineChart>
      <c:catAx>
        <c:axId val="5489041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89185643"/>
        <c:crosses val="autoZero"/>
        <c:auto val="1"/>
        <c:lblAlgn val="ctr"/>
        <c:lblOffset val="100"/>
      </c:catAx>
      <c:valAx>
        <c:axId val="89185643"/>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54890413"/>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7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AR" sz="1600" spc="-1" strike="noStrike">
                <a:solidFill>
                  <a:srgbClr val="44546a"/>
                </a:solidFill>
                <a:latin typeface="Calibri"/>
              </a:defRPr>
            </a:pPr>
            <a:r>
              <a:rPr b="1" lang="es-AR" sz="1600" spc="-1" strike="noStrike">
                <a:solidFill>
                  <a:srgbClr val="44546a"/>
                </a:solidFill>
                <a:latin typeface="Calibri"/>
              </a:rPr>
              <a:t>Gastos contributivos y no contributivos de ANSES (1993-2018)</a:t>
            </a:r>
          </a:p>
        </c:rich>
      </c:tx>
      <c:overlay val="0"/>
      <c:spPr>
        <a:noFill/>
        <a:ln>
          <a:noFill/>
        </a:ln>
      </c:spPr>
    </c:title>
    <c:autoTitleDeleted val="0"/>
    <c:plotArea>
      <c:layout>
        <c:manualLayout>
          <c:layoutTarget val="inner"/>
          <c:xMode val="edge"/>
          <c:yMode val="edge"/>
          <c:x val="0.0588115005521247"/>
          <c:y val="0.067264993222082"/>
          <c:w val="0.585865608768558"/>
          <c:h val="0.864161174215865"/>
        </c:manualLayout>
      </c:layout>
      <c:barChart>
        <c:barDir val="col"/>
        <c:grouping val="stacked"/>
        <c:varyColors val="0"/>
        <c:ser>
          <c:idx val="0"/>
          <c:order val="0"/>
          <c:tx>
            <c:strRef>
              <c:f>'Contrib gastos ANSES'!$D$34:$D$35</c:f>
              <c:strCache>
                <c:ptCount val="1"/>
                <c:pt idx="0">
                  <c:v>Jubilaciones contributivas + sentencias</c:v>
                </c:pt>
              </c:strCache>
            </c:strRef>
          </c:tx>
          <c:spPr>
            <a:solidFill>
              <a:srgbClr val="ffcc00">
                <a:alpha val="80000"/>
              </a:srgbClr>
            </a:solidFill>
            <a:ln>
              <a:noFill/>
            </a:ln>
          </c:spPr>
          <c:invertIfNegative val="0"/>
          <c:dLbls>
            <c:numFmt formatCode="0.0%" sourceLinked="1"/>
            <c:txPr>
              <a:bodyPr rot="-5400000"/>
              <a:lstStyle/>
              <a:p>
                <a:pPr>
                  <a:defRPr b="1" lang="es-AR" sz="1200" spc="-1" strike="noStrike">
                    <a:solidFill>
                      <a:srgbClr val="44546a"/>
                    </a:solidFill>
                    <a:latin typeface="Calibri"/>
                  </a:defRPr>
                </a:pPr>
              </a:p>
            </c:txPr>
            <c:dLblPos val="ctr"/>
            <c:showLegendKey val="0"/>
            <c:showVal val="1"/>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ANSES'!$D$36:$D$61</c:f>
              <c:numCache>
                <c:formatCode>General</c:formatCode>
                <c:ptCount val="26"/>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0.036705436096272</c:v>
                </c:pt>
                <c:pt idx="12">
                  <c:v>0.0345505912680115</c:v>
                </c:pt>
                <c:pt idx="13">
                  <c:v>0.0368418871162505</c:v>
                </c:pt>
                <c:pt idx="14">
                  <c:v>0.0354897758968173</c:v>
                </c:pt>
                <c:pt idx="15">
                  <c:v>0.0346565829269364</c:v>
                </c:pt>
                <c:pt idx="16">
                  <c:v>0.0404160517875556</c:v>
                </c:pt>
                <c:pt idx="17">
                  <c:v>0.0363482605378615</c:v>
                </c:pt>
                <c:pt idx="18">
                  <c:v>0.0374718954409214</c:v>
                </c:pt>
                <c:pt idx="19">
                  <c:v>0.0432445144444151</c:v>
                </c:pt>
                <c:pt idx="20">
                  <c:v>0.0456546005086217</c:v>
                </c:pt>
                <c:pt idx="21">
                  <c:v>0.0445449382450544</c:v>
                </c:pt>
                <c:pt idx="22">
                  <c:v>0.04713047217659</c:v>
                </c:pt>
                <c:pt idx="23">
                  <c:v>0.0466940236504672</c:v>
                </c:pt>
                <c:pt idx="24">
                  <c:v>0.0471760116800452</c:v>
                </c:pt>
                <c:pt idx="25">
                  <c:v>0.0430998928158228</c:v>
                </c:pt>
              </c:numCache>
            </c:numRef>
          </c:val>
        </c:ser>
        <c:ser>
          <c:idx val="1"/>
          <c:order val="1"/>
          <c:tx>
            <c:strRef>
              <c:f>'Contrib gastos ANSES'!$L$34:$L$35</c:f>
              <c:strCache>
                <c:ptCount val="1"/>
                <c:pt idx="0">
                  <c:v>Transferencias al PAMI</c:v>
                </c:pt>
              </c:strCache>
            </c:strRef>
          </c:tx>
          <c:spPr>
            <a:solidFill>
              <a:srgbClr val="c55a11"/>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ANSES'!$L$36:$L$61</c:f>
              <c:numCache>
                <c:formatCode>General</c:formatCode>
                <c:ptCount val="26"/>
                <c:pt idx="11">
                  <c:v>0.00147841859387012</c:v>
                </c:pt>
                <c:pt idx="12">
                  <c:v>0.0013544936722026</c:v>
                </c:pt>
                <c:pt idx="13">
                  <c:v>0.001420898634906</c:v>
                </c:pt>
                <c:pt idx="14">
                  <c:v>0.0018084480471694</c:v>
                </c:pt>
                <c:pt idx="15">
                  <c:v>0.00175828728657165</c:v>
                </c:pt>
                <c:pt idx="16">
                  <c:v>0.0020413731238185</c:v>
                </c:pt>
                <c:pt idx="17">
                  <c:v>0.00190415963472408</c:v>
                </c:pt>
                <c:pt idx="18">
                  <c:v>0.00200692451763306</c:v>
                </c:pt>
                <c:pt idx="19">
                  <c:v>0.00229177017069741</c:v>
                </c:pt>
                <c:pt idx="20">
                  <c:v>0.00238561996391175</c:v>
                </c:pt>
                <c:pt idx="21">
                  <c:v>0.0023272132721661</c:v>
                </c:pt>
                <c:pt idx="22">
                  <c:v>0.00260688705263258</c:v>
                </c:pt>
                <c:pt idx="23">
                  <c:v>0.00263630884740172</c:v>
                </c:pt>
                <c:pt idx="24">
                  <c:v>0.00297079733174156</c:v>
                </c:pt>
                <c:pt idx="25">
                  <c:v>0.00281753105217517</c:v>
                </c:pt>
              </c:numCache>
            </c:numRef>
          </c:val>
        </c:ser>
        <c:ser>
          <c:idx val="2"/>
          <c:order val="2"/>
          <c:tx>
            <c:strRef>
              <c:f>'Contrib gastos ANSES'!$F$34:$F$35</c:f>
              <c:strCache>
                <c:ptCount val="1"/>
                <c:pt idx="0">
                  <c:v>Transferencias corrientes contributivas (asignaciones familiares)</c:v>
                </c:pt>
              </c:strCache>
            </c:strRef>
          </c:tx>
          <c:spPr>
            <a:solidFill>
              <a:srgbClr val="ff9933"/>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ANSES'!$F$36:$F$61</c:f>
              <c:numCache>
                <c:formatCode>General</c:formatCode>
                <c:ptCount val="26"/>
                <c:pt idx="0">
                  <c:v>0.011642303700453</c:v>
                </c:pt>
                <c:pt idx="1">
                  <c:v>0.0107240840715422</c:v>
                </c:pt>
                <c:pt idx="2">
                  <c:v>0.00337186702375018</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0.00601253522505087</c:v>
                </c:pt>
                <c:pt idx="12">
                  <c:v>0.00717141324245858</c:v>
                </c:pt>
                <c:pt idx="13">
                  <c:v>0.00645013061743081</c:v>
                </c:pt>
                <c:pt idx="14">
                  <c:v>0.00559034382813241</c:v>
                </c:pt>
                <c:pt idx="15">
                  <c:v>0.00717673059001263</c:v>
                </c:pt>
                <c:pt idx="16">
                  <c:v>0.0103548744113128</c:v>
                </c:pt>
                <c:pt idx="17">
                  <c:v>0.00958589961771429</c:v>
                </c:pt>
                <c:pt idx="18">
                  <c:v>0.00683288060749366</c:v>
                </c:pt>
                <c:pt idx="19">
                  <c:v>0.00572128711656348</c:v>
                </c:pt>
                <c:pt idx="20">
                  <c:v>0.00599444085841293</c:v>
                </c:pt>
                <c:pt idx="21">
                  <c:v>0.00533065417293667</c:v>
                </c:pt>
                <c:pt idx="22">
                  <c:v>0.00476347459845601</c:v>
                </c:pt>
                <c:pt idx="23">
                  <c:v>0.00911235022993784</c:v>
                </c:pt>
                <c:pt idx="24">
                  <c:v>0.00849992275679631</c:v>
                </c:pt>
                <c:pt idx="25">
                  <c:v>0.00870055087278953</c:v>
                </c:pt>
              </c:numCache>
            </c:numRef>
          </c:val>
        </c:ser>
        <c:ser>
          <c:idx val="3"/>
          <c:order val="3"/>
          <c:tx>
            <c:strRef>
              <c:f>'Contrib gastos ANSES'!$E$34:$E$35</c:f>
              <c:strCache>
                <c:ptCount val="1"/>
                <c:pt idx="0">
                  <c:v>Gastos figurativos (ISS y Admin. Cent), de consumo y rentas de la propiedad</c:v>
                </c:pt>
              </c:strCache>
            </c:strRef>
          </c:tx>
          <c:spPr>
            <a:solidFill>
              <a:srgbClr val="ffff66"/>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ANSES'!$E$36:$E$61</c:f>
              <c:numCache>
                <c:formatCode>General</c:formatCode>
                <c:ptCount val="26"/>
                <c:pt idx="0">
                  <c:v>0.00677853852615936</c:v>
                </c:pt>
                <c:pt idx="1">
                  <c:v>0.00792156687715747</c:v>
                </c:pt>
                <c:pt idx="2">
                  <c:v>0.00783051117961243</c:v>
                </c:pt>
                <c:pt idx="3">
                  <c:v>0.00719989842591952</c:v>
                </c:pt>
                <c:pt idx="4">
                  <c:v>0.00648697084685695</c:v>
                </c:pt>
                <c:pt idx="5">
                  <c:v>0.00742671082228877</c:v>
                </c:pt>
                <c:pt idx="6">
                  <c:v>0.00763255278039606</c:v>
                </c:pt>
                <c:pt idx="7">
                  <c:v>0.00683536853925572</c:v>
                </c:pt>
                <c:pt idx="8">
                  <c:v>0.00667012001939068</c:v>
                </c:pt>
                <c:pt idx="9">
                  <c:v>0.00555598081753331</c:v>
                </c:pt>
                <c:pt idx="10">
                  <c:v>0.0056618809736537</c:v>
                </c:pt>
                <c:pt idx="11">
                  <c:v>0.00456870494241582</c:v>
                </c:pt>
                <c:pt idx="12">
                  <c:v>0.00446122948059548</c:v>
                </c:pt>
                <c:pt idx="13">
                  <c:v>0.00432057379390792</c:v>
                </c:pt>
                <c:pt idx="14">
                  <c:v>0.00429816358345837</c:v>
                </c:pt>
                <c:pt idx="15">
                  <c:v>0.0046063679098509</c:v>
                </c:pt>
                <c:pt idx="16">
                  <c:v>0.00594124336168245</c:v>
                </c:pt>
                <c:pt idx="17">
                  <c:v>0.00605896046173748</c:v>
                </c:pt>
                <c:pt idx="18">
                  <c:v>0.007448285756705</c:v>
                </c:pt>
                <c:pt idx="19">
                  <c:v>0.00657791095086671</c:v>
                </c:pt>
                <c:pt idx="20">
                  <c:v>0.00725303890134632</c:v>
                </c:pt>
                <c:pt idx="21">
                  <c:v>0.0065773848338127</c:v>
                </c:pt>
                <c:pt idx="22">
                  <c:v>0.00618151891977691</c:v>
                </c:pt>
                <c:pt idx="23">
                  <c:v>0.00579716049269089</c:v>
                </c:pt>
                <c:pt idx="24">
                  <c:v>0.00582600653667924</c:v>
                </c:pt>
                <c:pt idx="25">
                  <c:v>0.00502380178320648</c:v>
                </c:pt>
              </c:numCache>
            </c:numRef>
          </c:val>
        </c:ser>
        <c:ser>
          <c:idx val="4"/>
          <c:order val="4"/>
          <c:tx>
            <c:strRef>
              <c:f>'Contrib gastos ANSES'!$H$34:$H$35</c:f>
              <c:strCache>
                <c:ptCount val="1"/>
                <c:pt idx="0">
                  <c:v>Jubilaciones por moratoria y PUAM</c:v>
                </c:pt>
              </c:strCache>
            </c:strRef>
          </c:tx>
          <c:spPr>
            <a:solidFill>
              <a:srgbClr val="8faadc"/>
            </a:solidFill>
            <a:ln>
              <a:noFill/>
            </a:ln>
          </c:spPr>
          <c:invertIfNegative val="0"/>
          <c:dLbls>
            <c:numFmt formatCode="0.0%" sourceLinked="1"/>
            <c:txPr>
              <a:bodyPr rot="-5400000"/>
              <a:lstStyle/>
              <a:p>
                <a:pPr>
                  <a:defRPr b="1" lang="es-AR" sz="1200" spc="-1" strike="noStrike">
                    <a:solidFill>
                      <a:srgbClr val="44546a"/>
                    </a:solidFill>
                    <a:latin typeface="Calibri"/>
                  </a:defRPr>
                </a:pPr>
              </a:p>
            </c:txPr>
            <c:dLblPos val="ctr"/>
            <c:showLegendKey val="0"/>
            <c:showVal val="1"/>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ANSES'!$H$36:$H$61</c:f>
              <c:numCache>
                <c:formatCode>General</c:formatCode>
                <c:ptCount val="26"/>
                <c:pt idx="14">
                  <c:v>0.0134910799718077</c:v>
                </c:pt>
                <c:pt idx="15">
                  <c:v>0.0148867850278702</c:v>
                </c:pt>
                <c:pt idx="16">
                  <c:v>0.0180752497040962</c:v>
                </c:pt>
                <c:pt idx="17">
                  <c:v>0.0181156774901226</c:v>
                </c:pt>
                <c:pt idx="18">
                  <c:v>0.0195517882092317</c:v>
                </c:pt>
                <c:pt idx="19">
                  <c:v>0.021948543125154</c:v>
                </c:pt>
                <c:pt idx="20">
                  <c:v>0.022607372880113</c:v>
                </c:pt>
                <c:pt idx="21">
                  <c:v>0.0218161918284941</c:v>
                </c:pt>
                <c:pt idx="22">
                  <c:v>0.0273742506172789</c:v>
                </c:pt>
                <c:pt idx="23">
                  <c:v>0.0283181233482025</c:v>
                </c:pt>
                <c:pt idx="24">
                  <c:v>0.0297439698167444</c:v>
                </c:pt>
                <c:pt idx="25">
                  <c:v>0.0272200219840512</c:v>
                </c:pt>
              </c:numCache>
            </c:numRef>
          </c:val>
        </c:ser>
        <c:ser>
          <c:idx val="5"/>
          <c:order val="5"/>
          <c:tx>
            <c:strRef>
              <c:f>'Contrib gastos ANSES'!$I$34:$I$35</c:f>
              <c:strCache>
                <c:ptCount val="1"/>
                <c:pt idx="0">
                  <c:v>Transferencias corrientes no contributivas (AUH y PROGRESAR)</c:v>
                </c:pt>
              </c:strCache>
            </c:strRef>
          </c:tx>
          <c:spPr>
            <a:solidFill>
              <a:srgbClr val="2f5597"/>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ANSES'!$I$36:$I$61</c:f>
              <c:numCache>
                <c:formatCode>General</c:formatCode>
                <c:ptCount val="26"/>
                <c:pt idx="17">
                  <c:v>0.0038152325556087</c:v>
                </c:pt>
                <c:pt idx="18">
                  <c:v>0.00414711179740635</c:v>
                </c:pt>
                <c:pt idx="19">
                  <c:v>0.00423386597236871</c:v>
                </c:pt>
                <c:pt idx="20">
                  <c:v>0.004720231235733</c:v>
                </c:pt>
                <c:pt idx="21">
                  <c:v>0.00534449122060592</c:v>
                </c:pt>
                <c:pt idx="22">
                  <c:v>0.00686937577720967</c:v>
                </c:pt>
                <c:pt idx="23">
                  <c:v>0.00723367838895608</c:v>
                </c:pt>
                <c:pt idx="24">
                  <c:v>0.00641370230372482</c:v>
                </c:pt>
                <c:pt idx="25">
                  <c:v>0.00617151423494497</c:v>
                </c:pt>
              </c:numCache>
            </c:numRef>
          </c:val>
        </c:ser>
        <c:ser>
          <c:idx val="6"/>
          <c:order val="6"/>
          <c:tx>
            <c:strRef>
              <c:f>'Contrib gastos ANSES'!$J$34:$J$35</c:f>
              <c:strCache>
                <c:ptCount val="1"/>
                <c:pt idx="0">
                  <c:v>Gastos figurativos: PNC</c:v>
                </c:pt>
              </c:strCache>
            </c:strRef>
          </c:tx>
          <c:spPr>
            <a:solidFill>
              <a:srgbClr val="548235"/>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ANSES'!$J$36:$J$61</c:f>
              <c:numCache>
                <c:formatCode>General</c:formatCode>
                <c:ptCount val="26"/>
                <c:pt idx="0">
                  <c:v>0</c:v>
                </c:pt>
                <c:pt idx="1">
                  <c:v>0.00171193703223306</c:v>
                </c:pt>
                <c:pt idx="2">
                  <c:v>0.00198401285923971</c:v>
                </c:pt>
                <c:pt idx="3">
                  <c:v>0.00197117400964931</c:v>
                </c:pt>
                <c:pt idx="4">
                  <c:v>0.00186608828792662</c:v>
                </c:pt>
                <c:pt idx="5">
                  <c:v>0.00177883711250943</c:v>
                </c:pt>
                <c:pt idx="6">
                  <c:v>0.00190807349849257</c:v>
                </c:pt>
                <c:pt idx="7">
                  <c:v>0.00235232403726366</c:v>
                </c:pt>
                <c:pt idx="8">
                  <c:v>0.00252454580040404</c:v>
                </c:pt>
                <c:pt idx="9">
                  <c:v>0.00191686270135462</c:v>
                </c:pt>
                <c:pt idx="10">
                  <c:v>0.00182990573055766</c:v>
                </c:pt>
                <c:pt idx="11">
                  <c:v>0.00229369584290455</c:v>
                </c:pt>
                <c:pt idx="12">
                  <c:v>0.00228516213229058</c:v>
                </c:pt>
                <c:pt idx="13">
                  <c:v>0.00278053471164374</c:v>
                </c:pt>
                <c:pt idx="14">
                  <c:v>0.00358001090421268</c:v>
                </c:pt>
                <c:pt idx="15">
                  <c:v>0.00404947872095714</c:v>
                </c:pt>
                <c:pt idx="16">
                  <c:v>0.00547264569428922</c:v>
                </c:pt>
                <c:pt idx="17">
                  <c:v>0.00598011044710248</c:v>
                </c:pt>
                <c:pt idx="18">
                  <c:v>0.00684311371349412</c:v>
                </c:pt>
                <c:pt idx="19">
                  <c:v>0.00870717288407941</c:v>
                </c:pt>
                <c:pt idx="20">
                  <c:v>0.00947685069910942</c:v>
                </c:pt>
                <c:pt idx="21">
                  <c:v>0.00964518092523107</c:v>
                </c:pt>
                <c:pt idx="22">
                  <c:v>0.0104568666999862</c:v>
                </c:pt>
                <c:pt idx="23">
                  <c:v>0.00971603562036079</c:v>
                </c:pt>
                <c:pt idx="24">
                  <c:v>0.00956831052276627</c:v>
                </c:pt>
                <c:pt idx="25">
                  <c:v>0.00873233526506147</c:v>
                </c:pt>
              </c:numCache>
            </c:numRef>
          </c:val>
        </c:ser>
        <c:ser>
          <c:idx val="7"/>
          <c:order val="7"/>
          <c:tx>
            <c:strRef>
              <c:f>'Contrib gastos ANSES'!$N$34:$N$35</c:f>
              <c:strCache>
                <c:ptCount val="1"/>
                <c:pt idx="0">
                  <c:v>PNRH</c:v>
                </c:pt>
              </c:strCache>
            </c:strRef>
          </c:tx>
          <c:spPr>
            <a:solidFill>
              <a:srgbClr val="afabab"/>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ANSES'!$N$36:$N$61</c:f>
              <c:numCache>
                <c:formatCode>General</c:formatCode>
                <c:ptCount val="26"/>
                <c:pt idx="23">
                  <c:v>0.000771083734631746</c:v>
                </c:pt>
                <c:pt idx="24">
                  <c:v>0.00390792092402231</c:v>
                </c:pt>
                <c:pt idx="25">
                  <c:v>0.004</c:v>
                </c:pt>
              </c:numCache>
            </c:numRef>
          </c:val>
        </c:ser>
        <c:gapWidth val="55"/>
        <c:overlap val="100"/>
        <c:axId val="85880663"/>
        <c:axId val="55595296"/>
      </c:barChart>
      <c:lineChart>
        <c:grouping val="stacked"/>
        <c:varyColors val="0"/>
        <c:ser>
          <c:idx val="8"/>
          <c:order val="8"/>
          <c:tx>
            <c:strRef>
              <c:f>'Contrib gastos ANSES'!$G$34:$G$35</c:f>
              <c:strCache>
                <c:ptCount val="1"/>
                <c:pt idx="0">
                  <c:v>Gastos contributivos</c:v>
                </c:pt>
              </c:strCache>
            </c:strRef>
          </c:tx>
          <c:spPr>
            <a:solidFill>
              <a:srgbClr val="bf9000"/>
            </a:solidFill>
            <a:ln w="31680">
              <a:solidFill>
                <a:srgbClr val="bf9000"/>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ANSES'!$G$36:$G$61</c:f>
              <c:numCache>
                <c:formatCode>General</c:formatCode>
                <c:ptCount val="26"/>
                <c:pt idx="0">
                  <c:v>0.0710579354176705</c:v>
                </c:pt>
                <c:pt idx="1">
                  <c:v>0.0751100771690532</c:v>
                </c:pt>
                <c:pt idx="2">
                  <c:v>0.0648470486031148</c:v>
                </c:pt>
                <c:pt idx="3">
                  <c:v>0.0663648757769708</c:v>
                </c:pt>
                <c:pt idx="4">
                  <c:v>0.0619519675987973</c:v>
                </c:pt>
                <c:pt idx="5">
                  <c:v>0.0613874163007064</c:v>
                </c:pt>
                <c:pt idx="6">
                  <c:v>0.0652554713397493</c:v>
                </c:pt>
                <c:pt idx="7">
                  <c:v>0.0648163387814097</c:v>
                </c:pt>
                <c:pt idx="8">
                  <c:v>0.0654083500508325</c:v>
                </c:pt>
                <c:pt idx="9">
                  <c:v>0.0566840611200018</c:v>
                </c:pt>
                <c:pt idx="10">
                  <c:v>0.055233562077167</c:v>
                </c:pt>
                <c:pt idx="11">
                  <c:v>0.0487650948576088</c:v>
                </c:pt>
                <c:pt idx="12">
                  <c:v>0.0475377276632682</c:v>
                </c:pt>
                <c:pt idx="13">
                  <c:v>0.0490334901624953</c:v>
                </c:pt>
                <c:pt idx="14">
                  <c:v>0.0471867313555775</c:v>
                </c:pt>
                <c:pt idx="15">
                  <c:v>0.0481979687133716</c:v>
                </c:pt>
                <c:pt idx="16">
                  <c:v>0.0587535426843693</c:v>
                </c:pt>
                <c:pt idx="17">
                  <c:v>0.0538972802520373</c:v>
                </c:pt>
                <c:pt idx="18">
                  <c:v>0.0537599863227531</c:v>
                </c:pt>
                <c:pt idx="19">
                  <c:v>0.0578354826825427</c:v>
                </c:pt>
                <c:pt idx="20">
                  <c:v>0.0612877002322927</c:v>
                </c:pt>
                <c:pt idx="21">
                  <c:v>0.0587801905239699</c:v>
                </c:pt>
                <c:pt idx="22">
                  <c:v>0.0606823527474555</c:v>
                </c:pt>
                <c:pt idx="23">
                  <c:v>0.0642398432204977</c:v>
                </c:pt>
                <c:pt idx="24">
                  <c:v>0.0644727383052624</c:v>
                </c:pt>
                <c:pt idx="25">
                  <c:v>0.059641776523994</c:v>
                </c:pt>
              </c:numCache>
            </c:numRef>
          </c:val>
          <c:smooth val="0"/>
        </c:ser>
        <c:hiLowLines>
          <c:spPr>
            <a:ln>
              <a:noFill/>
            </a:ln>
          </c:spPr>
        </c:hiLowLines>
        <c:marker val="0"/>
        <c:axId val="85880663"/>
        <c:axId val="55595296"/>
      </c:lineChart>
      <c:lineChart>
        <c:grouping val="stacked"/>
        <c:varyColors val="0"/>
        <c:ser>
          <c:idx val="9"/>
          <c:order val="9"/>
          <c:tx>
            <c:strRef>
              <c:f>'Contrib gastos ANSES'!$M$34:$M$35</c:f>
              <c:strCache>
                <c:ptCount val="1"/>
                <c:pt idx="0">
                  <c:v>Gasto total de ANSES, sin PNRH</c:v>
                </c:pt>
              </c:strCache>
            </c:strRef>
          </c:tx>
          <c:spPr>
            <a:solidFill>
              <a:srgbClr val="000000"/>
            </a:solidFill>
            <a:ln w="31680">
              <a:solidFill>
                <a:srgbClr val="000000"/>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ANSES'!$M$36:$M$61</c:f>
              <c:numCache>
                <c:formatCode>General</c:formatCode>
                <c:ptCount val="26"/>
                <c:pt idx="0">
                  <c:v>0.0710579354176705</c:v>
                </c:pt>
                <c:pt idx="1">
                  <c:v>0.0768220142012863</c:v>
                </c:pt>
                <c:pt idx="2">
                  <c:v>0.0668310614623545</c:v>
                </c:pt>
                <c:pt idx="3">
                  <c:v>0.0683360497866201</c:v>
                </c:pt>
                <c:pt idx="4">
                  <c:v>0.0638180558867239</c:v>
                </c:pt>
                <c:pt idx="5">
                  <c:v>0.0631662534132158</c:v>
                </c:pt>
                <c:pt idx="6">
                  <c:v>0.0671635448382419</c:v>
                </c:pt>
                <c:pt idx="7">
                  <c:v>0.0671686628186734</c:v>
                </c:pt>
                <c:pt idx="8">
                  <c:v>0.0679328958512366</c:v>
                </c:pt>
                <c:pt idx="9">
                  <c:v>0.0586009238213564</c:v>
                </c:pt>
                <c:pt idx="10">
                  <c:v>0.0570634678077246</c:v>
                </c:pt>
                <c:pt idx="11">
                  <c:v>0.0510587907005133</c:v>
                </c:pt>
                <c:pt idx="12">
                  <c:v>0.0498228897955588</c:v>
                </c:pt>
                <c:pt idx="13">
                  <c:v>0.051814024874139</c:v>
                </c:pt>
                <c:pt idx="14">
                  <c:v>0.0642578222315978</c:v>
                </c:pt>
                <c:pt idx="15">
                  <c:v>0.067134232462199</c:v>
                </c:pt>
                <c:pt idx="16">
                  <c:v>0.0823014380827548</c:v>
                </c:pt>
                <c:pt idx="17">
                  <c:v>0.0818083007448711</c:v>
                </c:pt>
                <c:pt idx="18">
                  <c:v>0.0843020000428854</c:v>
                </c:pt>
                <c:pt idx="19">
                  <c:v>0.0927250646641448</c:v>
                </c:pt>
                <c:pt idx="20">
                  <c:v>0.0980921550472481</c:v>
                </c:pt>
                <c:pt idx="21">
                  <c:v>0.095586054498301</c:v>
                </c:pt>
                <c:pt idx="22">
                  <c:v>0.10538284584193</c:v>
                </c:pt>
                <c:pt idx="23">
                  <c:v>0.109507680578017</c:v>
                </c:pt>
                <c:pt idx="24">
                  <c:v>0.110288718926531</c:v>
                </c:pt>
                <c:pt idx="25">
                  <c:v>0.103446496738635</c:v>
                </c:pt>
              </c:numCache>
            </c:numRef>
          </c:val>
          <c:smooth val="0"/>
        </c:ser>
        <c:hiLowLines>
          <c:spPr>
            <a:ln>
              <a:noFill/>
            </a:ln>
          </c:spPr>
        </c:hiLowLines>
        <c:marker val="0"/>
        <c:axId val="66040870"/>
        <c:axId val="28184816"/>
      </c:lineChart>
      <c:catAx>
        <c:axId val="85880663"/>
        <c:scaling>
          <c:orientation val="minMax"/>
        </c:scaling>
        <c:delete val="0"/>
        <c:axPos val="b"/>
        <c:numFmt formatCode="General" sourceLinked="1"/>
        <c:majorTickMark val="none"/>
        <c:minorTickMark val="none"/>
        <c:tickLblPos val="nextTo"/>
        <c:spPr>
          <a:ln w="9360">
            <a:solidFill>
              <a:srgbClr val="e0e5eb"/>
            </a:solidFill>
            <a:round/>
          </a:ln>
        </c:spPr>
        <c:txPr>
          <a:bodyPr/>
          <a:lstStyle/>
          <a:p>
            <a:pPr>
              <a:defRPr b="0" lang="es-AR" sz="1200" spc="-1" strike="noStrike">
                <a:solidFill>
                  <a:srgbClr val="44546a"/>
                </a:solidFill>
                <a:latin typeface="Calibri"/>
              </a:defRPr>
            </a:pPr>
          </a:p>
        </c:txPr>
        <c:crossAx val="55595296"/>
        <c:crosses val="autoZero"/>
        <c:auto val="1"/>
        <c:lblAlgn val="ctr"/>
        <c:lblOffset val="100"/>
      </c:catAx>
      <c:valAx>
        <c:axId val="55595296"/>
        <c:scaling>
          <c:orientation val="minMax"/>
        </c:scaling>
        <c:delete val="0"/>
        <c:axPos val="l"/>
        <c:majorGridlines>
          <c:spPr>
            <a:ln w="9360">
              <a:solidFill>
                <a:srgbClr val="e0e5eb"/>
              </a:solidFill>
              <a:round/>
            </a:ln>
          </c:spPr>
        </c:majorGridlines>
        <c:numFmt formatCode="0%" sourceLinked="0"/>
        <c:majorTickMark val="none"/>
        <c:minorTickMark val="none"/>
        <c:tickLblPos val="nextTo"/>
        <c:spPr>
          <a:ln w="6480">
            <a:noFill/>
          </a:ln>
        </c:spPr>
        <c:txPr>
          <a:bodyPr/>
          <a:lstStyle/>
          <a:p>
            <a:pPr>
              <a:defRPr b="0" lang="es-AR" sz="1200" spc="-1" strike="noStrike">
                <a:solidFill>
                  <a:srgbClr val="44546a"/>
                </a:solidFill>
                <a:latin typeface="Calibri"/>
              </a:defRPr>
            </a:pPr>
          </a:p>
        </c:txPr>
        <c:crossAx val="85880663"/>
        <c:crosses val="autoZero"/>
      </c:valAx>
      <c:catAx>
        <c:axId val="66040870"/>
        <c:scaling>
          <c:orientation val="minMax"/>
        </c:scaling>
        <c:delete val="1"/>
        <c:axPos val="t"/>
        <c:numFmt formatCode="General" sourceLinked="1"/>
        <c:majorTickMark val="out"/>
        <c:minorTickMark val="none"/>
        <c:tickLblPos val="nextTo"/>
        <c:spPr>
          <a:ln w="6480">
            <a:solidFill>
              <a:srgbClr val="8b8b8b"/>
            </a:solidFill>
            <a:round/>
          </a:ln>
        </c:spPr>
        <c:txPr>
          <a:bodyPr/>
          <a:lstStyle/>
          <a:p>
            <a:pPr>
              <a:defRPr b="0" lang="es-AR" sz="1000" spc="-1" strike="noStrike">
                <a:solidFill>
                  <a:srgbClr val="000000"/>
                </a:solidFill>
                <a:latin typeface="Calibri"/>
              </a:defRPr>
            </a:pPr>
          </a:p>
        </c:txPr>
        <c:crossAx val="28184816"/>
        <c:auto val="1"/>
        <c:lblAlgn val="ctr"/>
        <c:lblOffset val="100"/>
      </c:catAx>
      <c:valAx>
        <c:axId val="28184816"/>
        <c:scaling>
          <c:orientation val="minMax"/>
        </c:scaling>
        <c:delete val="0"/>
        <c:axPos val="r"/>
        <c:numFmt formatCode="0.0%" sourceLinked="0"/>
        <c:majorTickMark val="out"/>
        <c:minorTickMark val="none"/>
        <c:tickLblPos val="nextTo"/>
        <c:spPr>
          <a:ln w="6480">
            <a:solidFill>
              <a:srgbClr val="8b8b8b"/>
            </a:solidFill>
            <a:round/>
          </a:ln>
        </c:spPr>
        <c:txPr>
          <a:bodyPr/>
          <a:lstStyle/>
          <a:p>
            <a:pPr>
              <a:defRPr b="0" lang="es-AR" sz="1000" spc="-1" strike="noStrike">
                <a:solidFill>
                  <a:srgbClr val="000000"/>
                </a:solidFill>
                <a:latin typeface="Calibri"/>
              </a:defRPr>
            </a:pPr>
          </a:p>
        </c:txPr>
        <c:crossAx val="66040870"/>
        <c:crosses val="max"/>
      </c:valAx>
      <c:spPr>
        <a:noFill/>
        <a:ln>
          <a:noFill/>
        </a:ln>
      </c:spPr>
    </c:plotArea>
    <c:legend>
      <c:layout>
        <c:manualLayout>
          <c:xMode val="edge"/>
          <c:yMode val="edge"/>
          <c:x val="0.70238436055785"/>
          <c:y val="0.0636656850371617"/>
          <c:w val="0.293292433537832"/>
          <c:h val="0.823625654450262"/>
        </c:manualLayout>
      </c:layout>
      <c:spPr>
        <a:noFill/>
        <a:ln>
          <a:noFill/>
        </a:ln>
      </c:spPr>
      <c:txPr>
        <a:bodyPr/>
        <a:lstStyle/>
        <a:p>
          <a:pPr>
            <a:defRPr b="0" lang="es-AR" sz="1200" spc="-1" strike="noStrike">
              <a:solidFill>
                <a:srgbClr val="44546a"/>
              </a:solidFill>
              <a:latin typeface="Calibri"/>
            </a:defRPr>
          </a:pPr>
        </a:p>
      </c:txPr>
    </c:legend>
    <c:plotVisOnly val="1"/>
    <c:dispBlanksAs val="gap"/>
  </c:chart>
  <c:spPr>
    <a:solidFill>
      <a:srgbClr val="ffffff"/>
    </a:solidFill>
    <a:ln w="9360">
      <a:solidFill>
        <a:srgbClr val="e0e5eb"/>
      </a:solidFill>
      <a:round/>
    </a:ln>
  </c:spPr>
</c:chartSpace>
</file>

<file path=xl/charts/chart8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000000"/>
                </a:solidFill>
                <a:latin typeface="Calibri"/>
              </a:defRPr>
            </a:pPr>
            <a:r>
              <a:rPr b="0" lang="es-AR" sz="1400" spc="-1" strike="noStrike">
                <a:solidFill>
                  <a:srgbClr val="000000"/>
                </a:solidFill>
                <a:latin typeface="Calibri"/>
              </a:rPr>
              <a:t>Resultado contributivo y no contributivo de ANSES (1993-2018)</a:t>
            </a:r>
          </a:p>
        </c:rich>
      </c:tx>
      <c:overlay val="0"/>
      <c:spPr>
        <a:noFill/>
        <a:ln>
          <a:noFill/>
        </a:ln>
      </c:spPr>
    </c:title>
    <c:autoTitleDeleted val="0"/>
    <c:plotArea>
      <c:barChart>
        <c:barDir val="col"/>
        <c:grouping val="stacked"/>
        <c:varyColors val="0"/>
        <c:ser>
          <c:idx val="0"/>
          <c:order val="0"/>
          <c:tx>
            <c:strRef>
              <c:f>'Contrib gastos ANSES'!$I$64:$I$65</c:f>
              <c:strCache>
                <c:ptCount val="1"/>
                <c:pt idx="0">
                  <c:v>Resultado contributivo</c:v>
                </c:pt>
              </c:strCache>
            </c:strRef>
          </c:tx>
          <c:spPr>
            <a:gradFill>
              <a:gsLst>
                <a:gs pos="0">
                  <a:srgbClr val="b1cbe9"/>
                </a:gs>
                <a:gs pos="100000">
                  <a:srgbClr val="a2c1e4"/>
                </a:gs>
              </a:gsLst>
              <a:lin ang="5400000"/>
            </a:gradFill>
            <a:ln w="9360">
              <a:solidFill>
                <a:srgbClr val="5897d0"/>
              </a:solidFill>
              <a:round/>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ANSES'!$H$66:$H$91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ANSES'!$I$66:$I$91</c:f>
              <c:numCache>
                <c:formatCode>General</c:formatCode>
                <c:ptCount val="26"/>
                <c:pt idx="0">
                  <c:v>-0.0257051025051215</c:v>
                </c:pt>
                <c:pt idx="1">
                  <c:v>-0.0338694360989045</c:v>
                </c:pt>
                <c:pt idx="2">
                  <c:v>-0.0281307643768221</c:v>
                </c:pt>
                <c:pt idx="3">
                  <c:v>-0.0299801998925058</c:v>
                </c:pt>
                <c:pt idx="4">
                  <c:v>-0.0337699787309208</c:v>
                </c:pt>
                <c:pt idx="5">
                  <c:v>-0.0348908943773599</c:v>
                </c:pt>
                <c:pt idx="6">
                  <c:v>-0.0403499066710355</c:v>
                </c:pt>
                <c:pt idx="7">
                  <c:v>-0.0411964622148714</c:v>
                </c:pt>
                <c:pt idx="8">
                  <c:v>-0.0415324804170276</c:v>
                </c:pt>
                <c:pt idx="9">
                  <c:v>-0.0362328614766052</c:v>
                </c:pt>
                <c:pt idx="10">
                  <c:v>-0.0347608880940641</c:v>
                </c:pt>
                <c:pt idx="11">
                  <c:v>-0.0289067117889936</c:v>
                </c:pt>
                <c:pt idx="12">
                  <c:v>-0.0261127499029629</c:v>
                </c:pt>
                <c:pt idx="13">
                  <c:v>-0.0237759024180512</c:v>
                </c:pt>
                <c:pt idx="14">
                  <c:v>-0.00868193471742861</c:v>
                </c:pt>
                <c:pt idx="15">
                  <c:v>-0.0113471670396734</c:v>
                </c:pt>
                <c:pt idx="16">
                  <c:v>-0.00798340550243044</c:v>
                </c:pt>
                <c:pt idx="17">
                  <c:v>-0.00340996867407745</c:v>
                </c:pt>
                <c:pt idx="18">
                  <c:v>-0.00213603931336718</c:v>
                </c:pt>
                <c:pt idx="19">
                  <c:v>-0.00205720441724472</c:v>
                </c:pt>
                <c:pt idx="20">
                  <c:v>-0.00361579745708259</c:v>
                </c:pt>
                <c:pt idx="21">
                  <c:v>-0.00457038365868048</c:v>
                </c:pt>
                <c:pt idx="22">
                  <c:v>-0.00425263691753908</c:v>
                </c:pt>
                <c:pt idx="23">
                  <c:v>-0.00955231572502284</c:v>
                </c:pt>
                <c:pt idx="24">
                  <c:v>-0.00888264224859735</c:v>
                </c:pt>
                <c:pt idx="25">
                  <c:v>-0.00893693003199979</c:v>
                </c:pt>
              </c:numCache>
            </c:numRef>
          </c:val>
        </c:ser>
        <c:ser>
          <c:idx val="1"/>
          <c:order val="1"/>
          <c:tx>
            <c:strRef>
              <c:f>'Contrib gastos ANSES'!$J$64:$J$65</c:f>
              <c:strCache>
                <c:ptCount val="1"/>
                <c:pt idx="0">
                  <c:v>Resultado no contributivo</c:v>
                </c:pt>
              </c:strCache>
            </c:strRef>
          </c:tx>
          <c:spPr>
            <a:gradFill>
              <a:gsLst>
                <a:gs pos="0">
                  <a:srgbClr val="f7bca4"/>
                </a:gs>
                <a:gs pos="100000">
                  <a:srgbClr val="f4b196"/>
                </a:gs>
              </a:gsLst>
              <a:lin ang="5400000"/>
            </a:gradFill>
            <a:ln w="9360">
              <a:solidFill>
                <a:srgbClr val="e77a2f"/>
              </a:solidFill>
              <a:round/>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ANSES'!$H$66:$H$91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ANSES'!$J$66:$J$91</c:f>
              <c:numCache>
                <c:formatCode>General</c:formatCode>
                <c:ptCount val="26"/>
                <c:pt idx="0">
                  <c:v>0.0252590332296576</c:v>
                </c:pt>
                <c:pt idx="1">
                  <c:v>0.0207841066378429</c:v>
                </c:pt>
                <c:pt idx="2">
                  <c:v>0.0217514147792339</c:v>
                </c:pt>
                <c:pt idx="3">
                  <c:v>0.0246928951617144</c:v>
                </c:pt>
                <c:pt idx="4">
                  <c:v>0.0306140334428085</c:v>
                </c:pt>
                <c:pt idx="5">
                  <c:v>0.0322308322533743</c:v>
                </c:pt>
                <c:pt idx="6">
                  <c:v>0.032590218656408</c:v>
                </c:pt>
                <c:pt idx="7">
                  <c:v>0.0344579177610974</c:v>
                </c:pt>
                <c:pt idx="8">
                  <c:v>0.0313675516797674</c:v>
                </c:pt>
                <c:pt idx="9">
                  <c:v>0.0247927984069318</c:v>
                </c:pt>
                <c:pt idx="10">
                  <c:v>0.0298336183050293</c:v>
                </c:pt>
                <c:pt idx="11">
                  <c:v>0.0327278835152509</c:v>
                </c:pt>
                <c:pt idx="12">
                  <c:v>0.0336902861291173</c:v>
                </c:pt>
                <c:pt idx="13">
                  <c:v>0.0329536975643019</c:v>
                </c:pt>
                <c:pt idx="14">
                  <c:v>0.0195285106667317</c:v>
                </c:pt>
                <c:pt idx="15">
                  <c:v>0.0160760018004302</c:v>
                </c:pt>
                <c:pt idx="16">
                  <c:v>0.0114615825342978</c:v>
                </c:pt>
                <c:pt idx="17">
                  <c:v>0.00752180647630411</c:v>
                </c:pt>
                <c:pt idx="18">
                  <c:v>0.00667562497871973</c:v>
                </c:pt>
                <c:pt idx="19">
                  <c:v>0.00358331705221695</c:v>
                </c:pt>
                <c:pt idx="20">
                  <c:v>0.00266412889892142</c:v>
                </c:pt>
                <c:pt idx="21">
                  <c:v>0.00327751990271201</c:v>
                </c:pt>
                <c:pt idx="22">
                  <c:v>-0.00325469614423415</c:v>
                </c:pt>
                <c:pt idx="23">
                  <c:v>-0.0107944839708261</c:v>
                </c:pt>
                <c:pt idx="24">
                  <c:v>-0.0152220597595923</c:v>
                </c:pt>
                <c:pt idx="25">
                  <c:v>-0.00933486776821268</c:v>
                </c:pt>
              </c:numCache>
            </c:numRef>
          </c:val>
        </c:ser>
        <c:gapWidth val="0"/>
        <c:overlap val="100"/>
        <c:axId val="66383426"/>
        <c:axId val="29721150"/>
      </c:barChart>
      <c:lineChart>
        <c:grouping val="stacked"/>
        <c:varyColors val="0"/>
        <c:ser>
          <c:idx val="2"/>
          <c:order val="2"/>
          <c:tx>
            <c:strRef>
              <c:f>'Contrib gastos ANSES'!$K$64:$K$65</c:f>
              <c:strCache>
                <c:ptCount val="1"/>
                <c:pt idx="0">
                  <c:v>Resultado de ANSES</c:v>
                </c:pt>
              </c:strCache>
            </c:strRef>
          </c:tx>
          <c:spPr>
            <a:solidFill>
              <a:srgbClr val="44546a"/>
            </a:solidFill>
            <a:ln w="38160">
              <a:solidFill>
                <a:srgbClr val="44546a"/>
              </a:solidFill>
              <a:round/>
            </a:ln>
          </c:spPr>
          <c:marker>
            <c:symbol val="none"/>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'Contrib gastos ANSES'!$H$66:$H$91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ANSES'!$K$66:$K$91</c:f>
              <c:numCache>
                <c:formatCode>General</c:formatCode>
                <c:ptCount val="26"/>
                <c:pt idx="0">
                  <c:v>-0.000446069275463892</c:v>
                </c:pt>
                <c:pt idx="1">
                  <c:v>-0.0130853294610615</c:v>
                </c:pt>
                <c:pt idx="2">
                  <c:v>-0.0063793495975882</c:v>
                </c:pt>
                <c:pt idx="3">
                  <c:v>-0.0052873047307914</c:v>
                </c:pt>
                <c:pt idx="4">
                  <c:v>-0.00315594528811224</c:v>
                </c:pt>
                <c:pt idx="5">
                  <c:v>-0.00266006212398561</c:v>
                </c:pt>
                <c:pt idx="6">
                  <c:v>-0.00775968801462749</c:v>
                </c:pt>
                <c:pt idx="7">
                  <c:v>-0.00673854445377407</c:v>
                </c:pt>
                <c:pt idx="8">
                  <c:v>-0.0101649287372602</c:v>
                </c:pt>
                <c:pt idx="9">
                  <c:v>-0.0114400630696734</c:v>
                </c:pt>
                <c:pt idx="10">
                  <c:v>-0.00492726978903478</c:v>
                </c:pt>
                <c:pt idx="11">
                  <c:v>0.00382117172625724</c:v>
                </c:pt>
                <c:pt idx="12">
                  <c:v>0.00757753622615441</c:v>
                </c:pt>
                <c:pt idx="13">
                  <c:v>0.0091777951462507</c:v>
                </c:pt>
                <c:pt idx="14">
                  <c:v>0.0108465759493031</c:v>
                </c:pt>
                <c:pt idx="15">
                  <c:v>0.00472883476075675</c:v>
                </c:pt>
                <c:pt idx="16">
                  <c:v>0.00347817703186733</c:v>
                </c:pt>
                <c:pt idx="17">
                  <c:v>0.00411183780222665</c:v>
                </c:pt>
                <c:pt idx="18">
                  <c:v>0.00453958566535255</c:v>
                </c:pt>
                <c:pt idx="19">
                  <c:v>0.00152611263497223</c:v>
                </c:pt>
                <c:pt idx="20">
                  <c:v>-0.000951668558161173</c:v>
                </c:pt>
                <c:pt idx="21">
                  <c:v>-0.00129286375596847</c:v>
                </c:pt>
                <c:pt idx="22">
                  <c:v>-0.00750733306177323</c:v>
                </c:pt>
                <c:pt idx="23">
                  <c:v>-0.0203467996958489</c:v>
                </c:pt>
                <c:pt idx="24">
                  <c:v>-0.0241047020081896</c:v>
                </c:pt>
                <c:pt idx="25">
                  <c:v>-0.0182717978002125</c:v>
                </c:pt>
              </c:numCache>
            </c:numRef>
          </c:val>
          <c:smooth val="0"/>
        </c:ser>
        <c:hiLowLines>
          <c:spPr>
            <a:ln>
              <a:noFill/>
            </a:ln>
          </c:spPr>
        </c:hiLowLines>
        <c:marker val="0"/>
        <c:axId val="66383426"/>
        <c:axId val="29721150"/>
      </c:lineChart>
      <c:catAx>
        <c:axId val="6638342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000000"/>
                </a:solidFill>
                <a:latin typeface="Calibri"/>
              </a:defRPr>
            </a:pPr>
          </a:p>
        </c:txPr>
        <c:crossAx val="29721150"/>
        <c:crosses val="autoZero"/>
        <c:auto val="1"/>
        <c:lblAlgn val="ctr"/>
        <c:lblOffset val="100"/>
      </c:catAx>
      <c:valAx>
        <c:axId val="29721150"/>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000000"/>
                </a:solidFill>
                <a:latin typeface="Calibri"/>
              </a:defRPr>
            </a:pPr>
          </a:p>
        </c:txPr>
        <c:crossAx val="66383426"/>
        <c:crosses val="autoZero"/>
      </c:valAx>
      <c:spPr>
        <a:noFill/>
        <a:ln>
          <a:noFill/>
        </a:ln>
      </c:spPr>
    </c:plotArea>
    <c:legend>
      <c:legendPos val="b"/>
      <c:overlay val="0"/>
      <c:spPr>
        <a:noFill/>
        <a:ln>
          <a:noFill/>
        </a:ln>
      </c:spPr>
      <c:txPr>
        <a:bodyPr/>
        <a:lstStyle/>
        <a:p>
          <a:pPr>
            <a:defRPr b="0" lang="es-AR" sz="12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4.wmf"/>
</Relationships>
</file>

<file path=xl/drawings/_rels/drawing2.xml.rels><?xml version="1.0" encoding="UTF-8"?>
<Relationships xmlns="http://schemas.openxmlformats.org/package/2006/relationships"><Relationship Id="rId1" Type="http://schemas.openxmlformats.org/officeDocument/2006/relationships/chart" Target="../charts/chart61.xml"/><Relationship Id="rId2" Type="http://schemas.openxmlformats.org/officeDocument/2006/relationships/chart" Target="../charts/chart62.xml"/><Relationship Id="rId3" Type="http://schemas.openxmlformats.org/officeDocument/2006/relationships/chart" Target="../charts/chart63.xml"/><Relationship Id="rId4" Type="http://schemas.openxmlformats.org/officeDocument/2006/relationships/chart" Target="../charts/chart64.xml"/><Relationship Id="rId5" Type="http://schemas.openxmlformats.org/officeDocument/2006/relationships/chart" Target="../charts/chart65.xml"/><Relationship Id="rId6" Type="http://schemas.openxmlformats.org/officeDocument/2006/relationships/chart" Target="../charts/chart66.xml"/><Relationship Id="rId7" Type="http://schemas.openxmlformats.org/officeDocument/2006/relationships/chart" Target="../charts/chart67.xml"/><Relationship Id="rId8" Type="http://schemas.openxmlformats.org/officeDocument/2006/relationships/chart" Target="../charts/chart68.xml"/>
</Relationships>
</file>

<file path=xl/drawings/_rels/drawing4.xml.rels><?xml version="1.0" encoding="UTF-8"?>
<Relationships xmlns="http://schemas.openxmlformats.org/package/2006/relationships"><Relationship Id="rId1" Type="http://schemas.openxmlformats.org/officeDocument/2006/relationships/chart" Target="../charts/chart69.xml"/><Relationship Id="rId2" Type="http://schemas.openxmlformats.org/officeDocument/2006/relationships/chart" Target="../charts/chart70.xml"/><Relationship Id="rId3" Type="http://schemas.openxmlformats.org/officeDocument/2006/relationships/chart" Target="../charts/chart71.xml"/>
</Relationships>
</file>

<file path=xl/drawings/_rels/drawing5.xml.rels><?xml version="1.0" encoding="UTF-8"?>
<Relationships xmlns="http://schemas.openxmlformats.org/package/2006/relationships"><Relationship Id="rId1" Type="http://schemas.openxmlformats.org/officeDocument/2006/relationships/chart" Target="../charts/chart72.xml"/><Relationship Id="rId2" Type="http://schemas.openxmlformats.org/officeDocument/2006/relationships/chart" Target="../charts/chart73.xml"/><Relationship Id="rId3" Type="http://schemas.openxmlformats.org/officeDocument/2006/relationships/chart" Target="../charts/chart74.xml"/><Relationship Id="rId4" Type="http://schemas.openxmlformats.org/officeDocument/2006/relationships/chart" Target="../charts/chart75.xml"/><Relationship Id="rId5" Type="http://schemas.openxmlformats.org/officeDocument/2006/relationships/chart" Target="../charts/chart76.xml"/><Relationship Id="rId6" Type="http://schemas.openxmlformats.org/officeDocument/2006/relationships/chart" Target="../charts/chart77.xml"/><Relationship Id="rId7" Type="http://schemas.openxmlformats.org/officeDocument/2006/relationships/chart" Target="../charts/chart78.xml"/>
</Relationships>
</file>

<file path=xl/drawings/_rels/drawing6.xml.rels><?xml version="1.0" encoding="UTF-8"?>
<Relationships xmlns="http://schemas.openxmlformats.org/package/2006/relationships"><Relationship Id="rId1" Type="http://schemas.openxmlformats.org/officeDocument/2006/relationships/chart" Target="../charts/chart79.xml"/><Relationship Id="rId2" Type="http://schemas.openxmlformats.org/officeDocument/2006/relationships/chart" Target="../charts/chart8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87</xdr:col>
      <xdr:colOff>276120</xdr:colOff>
      <xdr:row>174</xdr:row>
      <xdr:rowOff>123840</xdr:rowOff>
    </xdr:from>
    <xdr:to>
      <xdr:col>92</xdr:col>
      <xdr:colOff>893520</xdr:colOff>
      <xdr:row>227</xdr:row>
      <xdr:rowOff>159120</xdr:rowOff>
    </xdr:to>
    <xdr:pic>
      <xdr:nvPicPr>
        <xdr:cNvPr id="0" name="Picture 19" descr=""/>
        <xdr:cNvPicPr/>
      </xdr:nvPicPr>
      <xdr:blipFill>
        <a:blip r:embed="rId1"/>
        <a:stretch/>
      </xdr:blipFill>
      <xdr:spPr>
        <a:xfrm>
          <a:off x="78322680" y="28298520"/>
          <a:ext cx="6604200" cy="8617320"/>
        </a:xfrm>
        <a:prstGeom prst="rect">
          <a:avLst/>
        </a:prstGeom>
        <a:ln>
          <a:noFill/>
        </a:ln>
      </xdr:spPr>
    </xdr:pic>
    <xdr:clientData/>
  </xdr:twoCellAnchor>
  <xdr:twoCellAnchor editAs="twoCell">
    <xdr:from>
      <xdr:col>0</xdr:col>
      <xdr:colOff>0</xdr:colOff>
      <xdr:row>0</xdr:row>
      <xdr:rowOff>0</xdr:rowOff>
    </xdr:from>
    <xdr:to>
      <xdr:col>11</xdr:col>
      <xdr:colOff>199800</xdr:colOff>
      <xdr:row>58</xdr:row>
      <xdr:rowOff>132840</xdr:rowOff>
    </xdr:to>
    <xdr:sp>
      <xdr:nvSpPr>
        <xdr:cNvPr id="1" name="CustomShape 1" hidden="1"/>
        <xdr:cNvSpPr/>
      </xdr:nvSpPr>
      <xdr:spPr>
        <a:xfrm>
          <a:off x="0" y="0"/>
          <a:ext cx="100623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2" name="CustomShape 1" hidden="1"/>
        <xdr:cNvSpPr/>
      </xdr:nvSpPr>
      <xdr:spPr>
        <a:xfrm>
          <a:off x="0" y="0"/>
          <a:ext cx="100623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3" name="CustomShape 1" hidden="1"/>
        <xdr:cNvSpPr/>
      </xdr:nvSpPr>
      <xdr:spPr>
        <a:xfrm>
          <a:off x="0" y="0"/>
          <a:ext cx="100623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4" name="CustomShape 1" hidden="1"/>
        <xdr:cNvSpPr/>
      </xdr:nvSpPr>
      <xdr:spPr>
        <a:xfrm>
          <a:off x="0" y="0"/>
          <a:ext cx="100623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5" name="CustomShape 1" hidden="1"/>
        <xdr:cNvSpPr/>
      </xdr:nvSpPr>
      <xdr:spPr>
        <a:xfrm>
          <a:off x="0" y="0"/>
          <a:ext cx="100623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6" name="CustomShape 1" hidden="1"/>
        <xdr:cNvSpPr/>
      </xdr:nvSpPr>
      <xdr:spPr>
        <a:xfrm>
          <a:off x="0" y="0"/>
          <a:ext cx="100623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7" name="CustomShape 1" hidden="1"/>
        <xdr:cNvSpPr/>
      </xdr:nvSpPr>
      <xdr:spPr>
        <a:xfrm>
          <a:off x="0" y="0"/>
          <a:ext cx="100623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8" name="CustomShape 1" hidden="1"/>
        <xdr:cNvSpPr/>
      </xdr:nvSpPr>
      <xdr:spPr>
        <a:xfrm>
          <a:off x="0" y="0"/>
          <a:ext cx="100623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9" name="CustomShape 1" hidden="1"/>
        <xdr:cNvSpPr/>
      </xdr:nvSpPr>
      <xdr:spPr>
        <a:xfrm>
          <a:off x="0" y="0"/>
          <a:ext cx="100623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0" name="CustomShape 1" hidden="1"/>
        <xdr:cNvSpPr/>
      </xdr:nvSpPr>
      <xdr:spPr>
        <a:xfrm>
          <a:off x="0" y="0"/>
          <a:ext cx="100623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1" name="CustomShape 1" hidden="1"/>
        <xdr:cNvSpPr/>
      </xdr:nvSpPr>
      <xdr:spPr>
        <a:xfrm>
          <a:off x="0" y="0"/>
          <a:ext cx="100623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2" name="CustomShape 1" hidden="1"/>
        <xdr:cNvSpPr/>
      </xdr:nvSpPr>
      <xdr:spPr>
        <a:xfrm>
          <a:off x="0" y="0"/>
          <a:ext cx="100623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3" name="CustomShape 1" hidden="1"/>
        <xdr:cNvSpPr/>
      </xdr:nvSpPr>
      <xdr:spPr>
        <a:xfrm>
          <a:off x="0" y="0"/>
          <a:ext cx="100623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4" name="CustomShape 1" hidden="1"/>
        <xdr:cNvSpPr/>
      </xdr:nvSpPr>
      <xdr:spPr>
        <a:xfrm>
          <a:off x="0" y="0"/>
          <a:ext cx="100623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5" name="CustomShape 1" hidden="1"/>
        <xdr:cNvSpPr/>
      </xdr:nvSpPr>
      <xdr:spPr>
        <a:xfrm>
          <a:off x="0" y="0"/>
          <a:ext cx="100623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6" name="CustomShape 1" hidden="1"/>
        <xdr:cNvSpPr/>
      </xdr:nvSpPr>
      <xdr:spPr>
        <a:xfrm>
          <a:off x="0" y="0"/>
          <a:ext cx="100623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7" name="CustomShape 1" hidden="1"/>
        <xdr:cNvSpPr/>
      </xdr:nvSpPr>
      <xdr:spPr>
        <a:xfrm>
          <a:off x="0" y="0"/>
          <a:ext cx="100623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8" name="CustomShape 1" hidden="1"/>
        <xdr:cNvSpPr/>
      </xdr:nvSpPr>
      <xdr:spPr>
        <a:xfrm>
          <a:off x="0" y="0"/>
          <a:ext cx="100623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9" name="CustomShape 1" hidden="1"/>
        <xdr:cNvSpPr/>
      </xdr:nvSpPr>
      <xdr:spPr>
        <a:xfrm>
          <a:off x="0" y="0"/>
          <a:ext cx="100623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20" name="CustomShape 1" hidden="1"/>
        <xdr:cNvSpPr/>
      </xdr:nvSpPr>
      <xdr:spPr>
        <a:xfrm>
          <a:off x="0" y="0"/>
          <a:ext cx="100623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21" name="CustomShape 1" hidden="1"/>
        <xdr:cNvSpPr/>
      </xdr:nvSpPr>
      <xdr:spPr>
        <a:xfrm>
          <a:off x="0" y="0"/>
          <a:ext cx="100623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22" name="CustomShape 1" hidden="1"/>
        <xdr:cNvSpPr/>
      </xdr:nvSpPr>
      <xdr:spPr>
        <a:xfrm>
          <a:off x="0" y="0"/>
          <a:ext cx="10062360" cy="9524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23"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24"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25"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26"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27"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28"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29"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30"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31"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32"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33"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34"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35"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36"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37"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38"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39"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40"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41"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42"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43"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44"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837720</xdr:colOff>
      <xdr:row>62</xdr:row>
      <xdr:rowOff>75960</xdr:rowOff>
    </xdr:to>
    <xdr:sp>
      <xdr:nvSpPr>
        <xdr:cNvPr id="45" name="CustomShape 1"/>
        <xdr:cNvSpPr/>
      </xdr:nvSpPr>
      <xdr:spPr>
        <a:xfrm>
          <a:off x="0" y="0"/>
          <a:ext cx="8907120" cy="10115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837720</xdr:colOff>
      <xdr:row>62</xdr:row>
      <xdr:rowOff>75960</xdr:rowOff>
    </xdr:to>
    <xdr:sp>
      <xdr:nvSpPr>
        <xdr:cNvPr id="46" name="CustomShape 1"/>
        <xdr:cNvSpPr/>
      </xdr:nvSpPr>
      <xdr:spPr>
        <a:xfrm>
          <a:off x="0" y="0"/>
          <a:ext cx="8907120" cy="10115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837720</xdr:colOff>
      <xdr:row>62</xdr:row>
      <xdr:rowOff>75960</xdr:rowOff>
    </xdr:to>
    <xdr:sp>
      <xdr:nvSpPr>
        <xdr:cNvPr id="47" name="CustomShape 1"/>
        <xdr:cNvSpPr/>
      </xdr:nvSpPr>
      <xdr:spPr>
        <a:xfrm>
          <a:off x="0" y="0"/>
          <a:ext cx="8907120" cy="10115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837720</xdr:colOff>
      <xdr:row>62</xdr:row>
      <xdr:rowOff>75960</xdr:rowOff>
    </xdr:to>
    <xdr:sp>
      <xdr:nvSpPr>
        <xdr:cNvPr id="48" name="CustomShape 1"/>
        <xdr:cNvSpPr/>
      </xdr:nvSpPr>
      <xdr:spPr>
        <a:xfrm>
          <a:off x="0" y="0"/>
          <a:ext cx="8907120" cy="10115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837720</xdr:colOff>
      <xdr:row>62</xdr:row>
      <xdr:rowOff>75960</xdr:rowOff>
    </xdr:to>
    <xdr:sp>
      <xdr:nvSpPr>
        <xdr:cNvPr id="49" name="CustomShape 1"/>
        <xdr:cNvSpPr/>
      </xdr:nvSpPr>
      <xdr:spPr>
        <a:xfrm>
          <a:off x="0" y="0"/>
          <a:ext cx="8907120" cy="10115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837720</xdr:colOff>
      <xdr:row>62</xdr:row>
      <xdr:rowOff>75960</xdr:rowOff>
    </xdr:to>
    <xdr:sp>
      <xdr:nvSpPr>
        <xdr:cNvPr id="50" name="CustomShape 1"/>
        <xdr:cNvSpPr/>
      </xdr:nvSpPr>
      <xdr:spPr>
        <a:xfrm>
          <a:off x="0" y="0"/>
          <a:ext cx="8907120" cy="10115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837720</xdr:colOff>
      <xdr:row>62</xdr:row>
      <xdr:rowOff>75960</xdr:rowOff>
    </xdr:to>
    <xdr:sp>
      <xdr:nvSpPr>
        <xdr:cNvPr id="51" name="CustomShape 1"/>
        <xdr:cNvSpPr/>
      </xdr:nvSpPr>
      <xdr:spPr>
        <a:xfrm>
          <a:off x="0" y="0"/>
          <a:ext cx="8907120" cy="10115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837720</xdr:colOff>
      <xdr:row>62</xdr:row>
      <xdr:rowOff>75960</xdr:rowOff>
    </xdr:to>
    <xdr:sp>
      <xdr:nvSpPr>
        <xdr:cNvPr id="52" name="CustomShape 1"/>
        <xdr:cNvSpPr/>
      </xdr:nvSpPr>
      <xdr:spPr>
        <a:xfrm>
          <a:off x="0" y="0"/>
          <a:ext cx="8907120" cy="10115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837720</xdr:colOff>
      <xdr:row>62</xdr:row>
      <xdr:rowOff>75960</xdr:rowOff>
    </xdr:to>
    <xdr:sp>
      <xdr:nvSpPr>
        <xdr:cNvPr id="53" name="CustomShape 1"/>
        <xdr:cNvSpPr/>
      </xdr:nvSpPr>
      <xdr:spPr>
        <a:xfrm>
          <a:off x="0" y="0"/>
          <a:ext cx="8907120" cy="10115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837720</xdr:colOff>
      <xdr:row>62</xdr:row>
      <xdr:rowOff>75960</xdr:rowOff>
    </xdr:to>
    <xdr:sp>
      <xdr:nvSpPr>
        <xdr:cNvPr id="54" name="CustomShape 1"/>
        <xdr:cNvSpPr/>
      </xdr:nvSpPr>
      <xdr:spPr>
        <a:xfrm>
          <a:off x="0" y="0"/>
          <a:ext cx="8907120" cy="10115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837720</xdr:colOff>
      <xdr:row>62</xdr:row>
      <xdr:rowOff>75960</xdr:rowOff>
    </xdr:to>
    <xdr:sp>
      <xdr:nvSpPr>
        <xdr:cNvPr id="55" name="CustomShape 1"/>
        <xdr:cNvSpPr/>
      </xdr:nvSpPr>
      <xdr:spPr>
        <a:xfrm>
          <a:off x="0" y="0"/>
          <a:ext cx="8907120" cy="10115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837720</xdr:colOff>
      <xdr:row>62</xdr:row>
      <xdr:rowOff>75960</xdr:rowOff>
    </xdr:to>
    <xdr:sp>
      <xdr:nvSpPr>
        <xdr:cNvPr id="56" name="CustomShape 1"/>
        <xdr:cNvSpPr/>
      </xdr:nvSpPr>
      <xdr:spPr>
        <a:xfrm>
          <a:off x="0" y="0"/>
          <a:ext cx="8907120" cy="10115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837720</xdr:colOff>
      <xdr:row>62</xdr:row>
      <xdr:rowOff>75960</xdr:rowOff>
    </xdr:to>
    <xdr:sp>
      <xdr:nvSpPr>
        <xdr:cNvPr id="57" name="CustomShape 1"/>
        <xdr:cNvSpPr/>
      </xdr:nvSpPr>
      <xdr:spPr>
        <a:xfrm>
          <a:off x="0" y="0"/>
          <a:ext cx="8907120" cy="10115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837720</xdr:colOff>
      <xdr:row>62</xdr:row>
      <xdr:rowOff>75960</xdr:rowOff>
    </xdr:to>
    <xdr:sp>
      <xdr:nvSpPr>
        <xdr:cNvPr id="58" name="CustomShape 1"/>
        <xdr:cNvSpPr/>
      </xdr:nvSpPr>
      <xdr:spPr>
        <a:xfrm>
          <a:off x="0" y="0"/>
          <a:ext cx="8907120" cy="10115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837720</xdr:colOff>
      <xdr:row>62</xdr:row>
      <xdr:rowOff>75960</xdr:rowOff>
    </xdr:to>
    <xdr:sp>
      <xdr:nvSpPr>
        <xdr:cNvPr id="59" name="CustomShape 1"/>
        <xdr:cNvSpPr/>
      </xdr:nvSpPr>
      <xdr:spPr>
        <a:xfrm>
          <a:off x="0" y="0"/>
          <a:ext cx="8907120" cy="10115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837720</xdr:colOff>
      <xdr:row>62</xdr:row>
      <xdr:rowOff>75960</xdr:rowOff>
    </xdr:to>
    <xdr:sp>
      <xdr:nvSpPr>
        <xdr:cNvPr id="60" name="CustomShape 1"/>
        <xdr:cNvSpPr/>
      </xdr:nvSpPr>
      <xdr:spPr>
        <a:xfrm>
          <a:off x="0" y="0"/>
          <a:ext cx="8907120" cy="10115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837720</xdr:colOff>
      <xdr:row>62</xdr:row>
      <xdr:rowOff>75960</xdr:rowOff>
    </xdr:to>
    <xdr:sp>
      <xdr:nvSpPr>
        <xdr:cNvPr id="61" name="CustomShape 1"/>
        <xdr:cNvSpPr/>
      </xdr:nvSpPr>
      <xdr:spPr>
        <a:xfrm>
          <a:off x="0" y="0"/>
          <a:ext cx="8907120" cy="10115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837720</xdr:colOff>
      <xdr:row>62</xdr:row>
      <xdr:rowOff>75960</xdr:rowOff>
    </xdr:to>
    <xdr:sp>
      <xdr:nvSpPr>
        <xdr:cNvPr id="62" name="CustomShape 1"/>
        <xdr:cNvSpPr/>
      </xdr:nvSpPr>
      <xdr:spPr>
        <a:xfrm>
          <a:off x="0" y="0"/>
          <a:ext cx="8907120" cy="10115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837720</xdr:colOff>
      <xdr:row>62</xdr:row>
      <xdr:rowOff>75960</xdr:rowOff>
    </xdr:to>
    <xdr:sp>
      <xdr:nvSpPr>
        <xdr:cNvPr id="63" name="CustomShape 1"/>
        <xdr:cNvSpPr/>
      </xdr:nvSpPr>
      <xdr:spPr>
        <a:xfrm>
          <a:off x="0" y="0"/>
          <a:ext cx="8907120" cy="10115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837720</xdr:colOff>
      <xdr:row>62</xdr:row>
      <xdr:rowOff>75960</xdr:rowOff>
    </xdr:to>
    <xdr:sp>
      <xdr:nvSpPr>
        <xdr:cNvPr id="64" name="CustomShape 1"/>
        <xdr:cNvSpPr/>
      </xdr:nvSpPr>
      <xdr:spPr>
        <a:xfrm>
          <a:off x="0" y="0"/>
          <a:ext cx="8907120" cy="10115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837720</xdr:colOff>
      <xdr:row>62</xdr:row>
      <xdr:rowOff>75960</xdr:rowOff>
    </xdr:to>
    <xdr:sp>
      <xdr:nvSpPr>
        <xdr:cNvPr id="65" name="CustomShape 1"/>
        <xdr:cNvSpPr/>
      </xdr:nvSpPr>
      <xdr:spPr>
        <a:xfrm>
          <a:off x="0" y="0"/>
          <a:ext cx="8907120" cy="10115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837720</xdr:colOff>
      <xdr:row>62</xdr:row>
      <xdr:rowOff>75960</xdr:rowOff>
    </xdr:to>
    <xdr:sp>
      <xdr:nvSpPr>
        <xdr:cNvPr id="66" name="CustomShape 1"/>
        <xdr:cNvSpPr/>
      </xdr:nvSpPr>
      <xdr:spPr>
        <a:xfrm>
          <a:off x="0" y="0"/>
          <a:ext cx="8907120" cy="1011528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67"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68"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69"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70"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71"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72"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73"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74"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75"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76"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77"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78"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79"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80"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81"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82"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83"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84"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85"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86"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87"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88"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89"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90"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91"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92"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93"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94"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95"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96"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97"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98"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99"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00"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01"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02"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03"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04"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05"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06"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07"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08"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09"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10"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11"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12"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13"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14"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15"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16"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17"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18"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19"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20"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21"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22"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23"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24"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25"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26"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27"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28"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29"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30"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31"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32"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33"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34"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35"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36"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37"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38"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39"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40"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41"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42"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43"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44"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45"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46"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47"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48"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49"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50"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51"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52"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53"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199800</xdr:colOff>
      <xdr:row>58</xdr:row>
      <xdr:rowOff>132840</xdr:rowOff>
    </xdr:to>
    <xdr:sp>
      <xdr:nvSpPr>
        <xdr:cNvPr id="154" name="CustomShape 1"/>
        <xdr:cNvSpPr/>
      </xdr:nvSpPr>
      <xdr:spPr>
        <a:xfrm>
          <a:off x="0" y="0"/>
          <a:ext cx="10062360" cy="952416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28</xdr:col>
      <xdr:colOff>1287720</xdr:colOff>
      <xdr:row>70</xdr:row>
      <xdr:rowOff>28440</xdr:rowOff>
    </xdr:from>
    <xdr:to>
      <xdr:col>34</xdr:col>
      <xdr:colOff>1263240</xdr:colOff>
      <xdr:row>94</xdr:row>
      <xdr:rowOff>111240</xdr:rowOff>
    </xdr:to>
    <xdr:graphicFrame>
      <xdr:nvGraphicFramePr>
        <xdr:cNvPr id="155" name="Gráfico 4"/>
        <xdr:cNvGraphicFramePr/>
      </xdr:nvGraphicFramePr>
      <xdr:xfrm>
        <a:off x="34696080" y="14766120"/>
        <a:ext cx="9600120" cy="5284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1004040</xdr:colOff>
      <xdr:row>69</xdr:row>
      <xdr:rowOff>124560</xdr:rowOff>
    </xdr:from>
    <xdr:to>
      <xdr:col>14</xdr:col>
      <xdr:colOff>821520</xdr:colOff>
      <xdr:row>90</xdr:row>
      <xdr:rowOff>359640</xdr:rowOff>
    </xdr:to>
    <xdr:graphicFrame>
      <xdr:nvGraphicFramePr>
        <xdr:cNvPr id="156" name="Gráfico 5"/>
        <xdr:cNvGraphicFramePr/>
      </xdr:nvGraphicFramePr>
      <xdr:xfrm>
        <a:off x="9426960" y="14678640"/>
        <a:ext cx="7669440" cy="45720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85680</xdr:colOff>
      <xdr:row>71</xdr:row>
      <xdr:rowOff>57600</xdr:rowOff>
    </xdr:from>
    <xdr:to>
      <xdr:col>8</xdr:col>
      <xdr:colOff>580680</xdr:colOff>
      <xdr:row>89</xdr:row>
      <xdr:rowOff>45360</xdr:rowOff>
    </xdr:to>
    <xdr:graphicFrame>
      <xdr:nvGraphicFramePr>
        <xdr:cNvPr id="157" name="Gráfico 6"/>
        <xdr:cNvGraphicFramePr/>
      </xdr:nvGraphicFramePr>
      <xdr:xfrm>
        <a:off x="891360" y="14978520"/>
        <a:ext cx="8112240" cy="37742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762120</xdr:colOff>
      <xdr:row>121</xdr:row>
      <xdr:rowOff>134280</xdr:rowOff>
    </xdr:from>
    <xdr:to>
      <xdr:col>9</xdr:col>
      <xdr:colOff>955080</xdr:colOff>
      <xdr:row>145</xdr:row>
      <xdr:rowOff>26640</xdr:rowOff>
    </xdr:to>
    <xdr:graphicFrame>
      <xdr:nvGraphicFramePr>
        <xdr:cNvPr id="158" name="Gráfico 7"/>
        <xdr:cNvGraphicFramePr/>
      </xdr:nvGraphicFramePr>
      <xdr:xfrm>
        <a:off x="762120" y="25028640"/>
        <a:ext cx="9704520" cy="42966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655200</xdr:colOff>
      <xdr:row>111</xdr:row>
      <xdr:rowOff>76680</xdr:rowOff>
    </xdr:from>
    <xdr:to>
      <xdr:col>15</xdr:col>
      <xdr:colOff>906840</xdr:colOff>
      <xdr:row>134</xdr:row>
      <xdr:rowOff>159480</xdr:rowOff>
    </xdr:to>
    <xdr:graphicFrame>
      <xdr:nvGraphicFramePr>
        <xdr:cNvPr id="159" name="Gráfico 8"/>
        <xdr:cNvGraphicFramePr/>
      </xdr:nvGraphicFramePr>
      <xdr:xfrm>
        <a:off x="11204280" y="23135760"/>
        <a:ext cx="7237440" cy="43038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263880</xdr:colOff>
      <xdr:row>95</xdr:row>
      <xdr:rowOff>29520</xdr:rowOff>
    </xdr:from>
    <xdr:to>
      <xdr:col>25</xdr:col>
      <xdr:colOff>1037880</xdr:colOff>
      <xdr:row>112</xdr:row>
      <xdr:rowOff>122040</xdr:rowOff>
    </xdr:to>
    <xdr:graphicFrame>
      <xdr:nvGraphicFramePr>
        <xdr:cNvPr id="160" name="Gráfico 9"/>
        <xdr:cNvGraphicFramePr/>
      </xdr:nvGraphicFramePr>
      <xdr:xfrm>
        <a:off x="24844680" y="20152440"/>
        <a:ext cx="5822640" cy="32122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56</xdr:col>
      <xdr:colOff>371520</xdr:colOff>
      <xdr:row>77</xdr:row>
      <xdr:rowOff>29520</xdr:rowOff>
    </xdr:from>
    <xdr:to>
      <xdr:col>63</xdr:col>
      <xdr:colOff>940320</xdr:colOff>
      <xdr:row>102</xdr:row>
      <xdr:rowOff>45720</xdr:rowOff>
    </xdr:to>
    <xdr:graphicFrame>
      <xdr:nvGraphicFramePr>
        <xdr:cNvPr id="161" name="Gráfico 1"/>
        <xdr:cNvGraphicFramePr/>
      </xdr:nvGraphicFramePr>
      <xdr:xfrm>
        <a:off x="73621800" y="16534800"/>
        <a:ext cx="8995680" cy="491832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64</xdr:col>
      <xdr:colOff>38160</xdr:colOff>
      <xdr:row>75</xdr:row>
      <xdr:rowOff>9720</xdr:rowOff>
    </xdr:from>
    <xdr:to>
      <xdr:col>69</xdr:col>
      <xdr:colOff>873360</xdr:colOff>
      <xdr:row>97</xdr:row>
      <xdr:rowOff>45000</xdr:rowOff>
    </xdr:to>
    <xdr:graphicFrame>
      <xdr:nvGraphicFramePr>
        <xdr:cNvPr id="162" name="Gráfico 1"/>
        <xdr:cNvGraphicFramePr/>
      </xdr:nvGraphicFramePr>
      <xdr:xfrm>
        <a:off x="83479680" y="15664680"/>
        <a:ext cx="8859600" cy="487044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twoCell">
    <xdr:from>
      <xdr:col>0</xdr:col>
      <xdr:colOff>0</xdr:colOff>
      <xdr:row>0</xdr:row>
      <xdr:rowOff>0</xdr:rowOff>
    </xdr:from>
    <xdr:to>
      <xdr:col>9</xdr:col>
      <xdr:colOff>466200</xdr:colOff>
      <xdr:row>44</xdr:row>
      <xdr:rowOff>104400</xdr:rowOff>
    </xdr:to>
    <xdr:sp>
      <xdr:nvSpPr>
        <xdr:cNvPr id="163" name="CustomShape 1" hidden="1"/>
        <xdr:cNvSpPr/>
      </xdr:nvSpPr>
      <xdr:spPr>
        <a:xfrm>
          <a:off x="0" y="0"/>
          <a:ext cx="9977760" cy="9806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64" name="CustomShape 1" hidden="1"/>
        <xdr:cNvSpPr/>
      </xdr:nvSpPr>
      <xdr:spPr>
        <a:xfrm>
          <a:off x="0" y="0"/>
          <a:ext cx="9977760" cy="9806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65" name="CustomShape 1" hidden="1"/>
        <xdr:cNvSpPr/>
      </xdr:nvSpPr>
      <xdr:spPr>
        <a:xfrm>
          <a:off x="0" y="0"/>
          <a:ext cx="9977760" cy="9806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66" name="CustomShape 1" hidden="1"/>
        <xdr:cNvSpPr/>
      </xdr:nvSpPr>
      <xdr:spPr>
        <a:xfrm>
          <a:off x="0" y="0"/>
          <a:ext cx="9977760" cy="9806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67" name="CustomShape 1" hidden="1"/>
        <xdr:cNvSpPr/>
      </xdr:nvSpPr>
      <xdr:spPr>
        <a:xfrm>
          <a:off x="0" y="0"/>
          <a:ext cx="9977760" cy="9806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68" name="CustomShape 1" hidden="1"/>
        <xdr:cNvSpPr/>
      </xdr:nvSpPr>
      <xdr:spPr>
        <a:xfrm>
          <a:off x="0" y="0"/>
          <a:ext cx="9977760" cy="9806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69" name="CustomShape 1" hidden="1"/>
        <xdr:cNvSpPr/>
      </xdr:nvSpPr>
      <xdr:spPr>
        <a:xfrm>
          <a:off x="0" y="0"/>
          <a:ext cx="9977760" cy="9806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70" name="CustomShape 1" hidden="1"/>
        <xdr:cNvSpPr/>
      </xdr:nvSpPr>
      <xdr:spPr>
        <a:xfrm>
          <a:off x="0" y="0"/>
          <a:ext cx="9977760" cy="9806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71" name="CustomShape 1" hidden="1"/>
        <xdr:cNvSpPr/>
      </xdr:nvSpPr>
      <xdr:spPr>
        <a:xfrm>
          <a:off x="0" y="0"/>
          <a:ext cx="9977760" cy="9806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72" name="CustomShape 1" hidden="1"/>
        <xdr:cNvSpPr/>
      </xdr:nvSpPr>
      <xdr:spPr>
        <a:xfrm>
          <a:off x="0" y="0"/>
          <a:ext cx="9977760" cy="9806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73" name="CustomShape 1" hidden="1"/>
        <xdr:cNvSpPr/>
      </xdr:nvSpPr>
      <xdr:spPr>
        <a:xfrm>
          <a:off x="0" y="0"/>
          <a:ext cx="9977760" cy="9806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74" name="CustomShape 1" hidden="1"/>
        <xdr:cNvSpPr/>
      </xdr:nvSpPr>
      <xdr:spPr>
        <a:xfrm>
          <a:off x="0" y="0"/>
          <a:ext cx="9977760" cy="9806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75" name="CustomShape 1" hidden="1"/>
        <xdr:cNvSpPr/>
      </xdr:nvSpPr>
      <xdr:spPr>
        <a:xfrm>
          <a:off x="0" y="0"/>
          <a:ext cx="9977760" cy="98064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76" name="CustomShape 1"/>
        <xdr:cNvSpPr/>
      </xdr:nvSpPr>
      <xdr:spPr>
        <a:xfrm>
          <a:off x="0" y="0"/>
          <a:ext cx="9977760" cy="9806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77" name="CustomShape 1"/>
        <xdr:cNvSpPr/>
      </xdr:nvSpPr>
      <xdr:spPr>
        <a:xfrm>
          <a:off x="0" y="0"/>
          <a:ext cx="9977760" cy="9806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78" name="CustomShape 1"/>
        <xdr:cNvSpPr/>
      </xdr:nvSpPr>
      <xdr:spPr>
        <a:xfrm>
          <a:off x="0" y="0"/>
          <a:ext cx="9977760" cy="9806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79" name="CustomShape 1"/>
        <xdr:cNvSpPr/>
      </xdr:nvSpPr>
      <xdr:spPr>
        <a:xfrm>
          <a:off x="0" y="0"/>
          <a:ext cx="9977760" cy="9806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80" name="CustomShape 1"/>
        <xdr:cNvSpPr/>
      </xdr:nvSpPr>
      <xdr:spPr>
        <a:xfrm>
          <a:off x="0" y="0"/>
          <a:ext cx="9977760" cy="9806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81" name="CustomShape 1"/>
        <xdr:cNvSpPr/>
      </xdr:nvSpPr>
      <xdr:spPr>
        <a:xfrm>
          <a:off x="0" y="0"/>
          <a:ext cx="9977760" cy="9806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82" name="CustomShape 1"/>
        <xdr:cNvSpPr/>
      </xdr:nvSpPr>
      <xdr:spPr>
        <a:xfrm>
          <a:off x="0" y="0"/>
          <a:ext cx="9977760" cy="9806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83" name="CustomShape 1"/>
        <xdr:cNvSpPr/>
      </xdr:nvSpPr>
      <xdr:spPr>
        <a:xfrm>
          <a:off x="0" y="0"/>
          <a:ext cx="9977760" cy="9806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84" name="CustomShape 1"/>
        <xdr:cNvSpPr/>
      </xdr:nvSpPr>
      <xdr:spPr>
        <a:xfrm>
          <a:off x="0" y="0"/>
          <a:ext cx="9977760" cy="9806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85" name="CustomShape 1"/>
        <xdr:cNvSpPr/>
      </xdr:nvSpPr>
      <xdr:spPr>
        <a:xfrm>
          <a:off x="0" y="0"/>
          <a:ext cx="9977760" cy="9806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86" name="CustomShape 1"/>
        <xdr:cNvSpPr/>
      </xdr:nvSpPr>
      <xdr:spPr>
        <a:xfrm>
          <a:off x="0" y="0"/>
          <a:ext cx="9977760" cy="9806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87" name="CustomShape 1"/>
        <xdr:cNvSpPr/>
      </xdr:nvSpPr>
      <xdr:spPr>
        <a:xfrm>
          <a:off x="0" y="0"/>
          <a:ext cx="9977760" cy="9806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466200</xdr:colOff>
      <xdr:row>44</xdr:row>
      <xdr:rowOff>104400</xdr:rowOff>
    </xdr:to>
    <xdr:sp>
      <xdr:nvSpPr>
        <xdr:cNvPr id="188" name="CustomShape 1"/>
        <xdr:cNvSpPr/>
      </xdr:nvSpPr>
      <xdr:spPr>
        <a:xfrm>
          <a:off x="0" y="0"/>
          <a:ext cx="9977760" cy="9806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393840</xdr:colOff>
      <xdr:row>45</xdr:row>
      <xdr:rowOff>75960</xdr:rowOff>
    </xdr:to>
    <xdr:sp>
      <xdr:nvSpPr>
        <xdr:cNvPr id="189" name="CustomShape 1"/>
        <xdr:cNvSpPr/>
      </xdr:nvSpPr>
      <xdr:spPr>
        <a:xfrm>
          <a:off x="0" y="0"/>
          <a:ext cx="8816760" cy="9978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393840</xdr:colOff>
      <xdr:row>45</xdr:row>
      <xdr:rowOff>75960</xdr:rowOff>
    </xdr:to>
    <xdr:sp>
      <xdr:nvSpPr>
        <xdr:cNvPr id="190" name="CustomShape 1"/>
        <xdr:cNvSpPr/>
      </xdr:nvSpPr>
      <xdr:spPr>
        <a:xfrm>
          <a:off x="0" y="0"/>
          <a:ext cx="8816760" cy="9978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393840</xdr:colOff>
      <xdr:row>45</xdr:row>
      <xdr:rowOff>75960</xdr:rowOff>
    </xdr:to>
    <xdr:sp>
      <xdr:nvSpPr>
        <xdr:cNvPr id="191" name="CustomShape 1"/>
        <xdr:cNvSpPr/>
      </xdr:nvSpPr>
      <xdr:spPr>
        <a:xfrm>
          <a:off x="0" y="0"/>
          <a:ext cx="8816760" cy="9978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393840</xdr:colOff>
      <xdr:row>45</xdr:row>
      <xdr:rowOff>75960</xdr:rowOff>
    </xdr:to>
    <xdr:sp>
      <xdr:nvSpPr>
        <xdr:cNvPr id="192" name="CustomShape 1"/>
        <xdr:cNvSpPr/>
      </xdr:nvSpPr>
      <xdr:spPr>
        <a:xfrm>
          <a:off x="0" y="0"/>
          <a:ext cx="8816760" cy="9978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393840</xdr:colOff>
      <xdr:row>45</xdr:row>
      <xdr:rowOff>75960</xdr:rowOff>
    </xdr:to>
    <xdr:sp>
      <xdr:nvSpPr>
        <xdr:cNvPr id="193" name="CustomShape 1"/>
        <xdr:cNvSpPr/>
      </xdr:nvSpPr>
      <xdr:spPr>
        <a:xfrm>
          <a:off x="0" y="0"/>
          <a:ext cx="8816760" cy="9978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393840</xdr:colOff>
      <xdr:row>45</xdr:row>
      <xdr:rowOff>75960</xdr:rowOff>
    </xdr:to>
    <xdr:sp>
      <xdr:nvSpPr>
        <xdr:cNvPr id="194" name="CustomShape 1"/>
        <xdr:cNvSpPr/>
      </xdr:nvSpPr>
      <xdr:spPr>
        <a:xfrm>
          <a:off x="0" y="0"/>
          <a:ext cx="8816760" cy="9978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393840</xdr:colOff>
      <xdr:row>45</xdr:row>
      <xdr:rowOff>75960</xdr:rowOff>
    </xdr:to>
    <xdr:sp>
      <xdr:nvSpPr>
        <xdr:cNvPr id="195" name="CustomShape 1"/>
        <xdr:cNvSpPr/>
      </xdr:nvSpPr>
      <xdr:spPr>
        <a:xfrm>
          <a:off x="0" y="0"/>
          <a:ext cx="8816760" cy="9978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393840</xdr:colOff>
      <xdr:row>45</xdr:row>
      <xdr:rowOff>75960</xdr:rowOff>
    </xdr:to>
    <xdr:sp>
      <xdr:nvSpPr>
        <xdr:cNvPr id="196" name="CustomShape 1"/>
        <xdr:cNvSpPr/>
      </xdr:nvSpPr>
      <xdr:spPr>
        <a:xfrm>
          <a:off x="0" y="0"/>
          <a:ext cx="8816760" cy="9978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393840</xdr:colOff>
      <xdr:row>45</xdr:row>
      <xdr:rowOff>75960</xdr:rowOff>
    </xdr:to>
    <xdr:sp>
      <xdr:nvSpPr>
        <xdr:cNvPr id="197" name="CustomShape 1"/>
        <xdr:cNvSpPr/>
      </xdr:nvSpPr>
      <xdr:spPr>
        <a:xfrm>
          <a:off x="0" y="0"/>
          <a:ext cx="8816760" cy="9978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393840</xdr:colOff>
      <xdr:row>45</xdr:row>
      <xdr:rowOff>75960</xdr:rowOff>
    </xdr:to>
    <xdr:sp>
      <xdr:nvSpPr>
        <xdr:cNvPr id="198" name="CustomShape 1"/>
        <xdr:cNvSpPr/>
      </xdr:nvSpPr>
      <xdr:spPr>
        <a:xfrm>
          <a:off x="0" y="0"/>
          <a:ext cx="8816760" cy="9978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393840</xdr:colOff>
      <xdr:row>45</xdr:row>
      <xdr:rowOff>75960</xdr:rowOff>
    </xdr:to>
    <xdr:sp>
      <xdr:nvSpPr>
        <xdr:cNvPr id="199" name="CustomShape 1"/>
        <xdr:cNvSpPr/>
      </xdr:nvSpPr>
      <xdr:spPr>
        <a:xfrm>
          <a:off x="0" y="0"/>
          <a:ext cx="8816760" cy="9978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393840</xdr:colOff>
      <xdr:row>45</xdr:row>
      <xdr:rowOff>75960</xdr:rowOff>
    </xdr:to>
    <xdr:sp>
      <xdr:nvSpPr>
        <xdr:cNvPr id="200" name="CustomShape 1"/>
        <xdr:cNvSpPr/>
      </xdr:nvSpPr>
      <xdr:spPr>
        <a:xfrm>
          <a:off x="0" y="0"/>
          <a:ext cx="8816760" cy="9978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393840</xdr:colOff>
      <xdr:row>45</xdr:row>
      <xdr:rowOff>75960</xdr:rowOff>
    </xdr:to>
    <xdr:sp>
      <xdr:nvSpPr>
        <xdr:cNvPr id="201" name="CustomShape 1"/>
        <xdr:cNvSpPr/>
      </xdr:nvSpPr>
      <xdr:spPr>
        <a:xfrm>
          <a:off x="0" y="0"/>
          <a:ext cx="8816760" cy="99781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02"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03"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04"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05"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06"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07"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08"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09"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10"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11"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12"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13"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14"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15"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16"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17"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18"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19"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20"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21"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22"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23"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24"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25"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26"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27"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28"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29"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30"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31"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32"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33"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34"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35"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36"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37"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38"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39"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40"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41"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42"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43"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44"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45"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46"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47"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48"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49"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50"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51"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52"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533160</xdr:colOff>
      <xdr:row>43</xdr:row>
      <xdr:rowOff>104760</xdr:rowOff>
    </xdr:to>
    <xdr:sp>
      <xdr:nvSpPr>
        <xdr:cNvPr id="253" name="CustomShape 1"/>
        <xdr:cNvSpPr/>
      </xdr:nvSpPr>
      <xdr:spPr>
        <a:xfrm>
          <a:off x="0" y="0"/>
          <a:ext cx="10044720" cy="960660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12</xdr:col>
      <xdr:colOff>18720</xdr:colOff>
      <xdr:row>49</xdr:row>
      <xdr:rowOff>171000</xdr:rowOff>
    </xdr:to>
    <xdr:sp>
      <xdr:nvSpPr>
        <xdr:cNvPr id="254" name="CustomShape 1" hidden="1"/>
        <xdr:cNvSpPr/>
      </xdr:nvSpPr>
      <xdr:spPr>
        <a:xfrm>
          <a:off x="0" y="0"/>
          <a:ext cx="997164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12</xdr:col>
      <xdr:colOff>18720</xdr:colOff>
      <xdr:row>49</xdr:row>
      <xdr:rowOff>171000</xdr:rowOff>
    </xdr:to>
    <xdr:sp>
      <xdr:nvSpPr>
        <xdr:cNvPr id="255" name="CustomShape 1" hidden="1"/>
        <xdr:cNvSpPr/>
      </xdr:nvSpPr>
      <xdr:spPr>
        <a:xfrm>
          <a:off x="0" y="0"/>
          <a:ext cx="997164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12</xdr:col>
      <xdr:colOff>18720</xdr:colOff>
      <xdr:row>49</xdr:row>
      <xdr:rowOff>171000</xdr:rowOff>
    </xdr:to>
    <xdr:sp>
      <xdr:nvSpPr>
        <xdr:cNvPr id="256" name="CustomShape 1"/>
        <xdr:cNvSpPr/>
      </xdr:nvSpPr>
      <xdr:spPr>
        <a:xfrm>
          <a:off x="0" y="0"/>
          <a:ext cx="997164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12</xdr:col>
      <xdr:colOff>18720</xdr:colOff>
      <xdr:row>49</xdr:row>
      <xdr:rowOff>171000</xdr:rowOff>
    </xdr:to>
    <xdr:sp>
      <xdr:nvSpPr>
        <xdr:cNvPr id="257" name="CustomShape 1"/>
        <xdr:cNvSpPr/>
      </xdr:nvSpPr>
      <xdr:spPr>
        <a:xfrm>
          <a:off x="0" y="0"/>
          <a:ext cx="997164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10</xdr:col>
      <xdr:colOff>456840</xdr:colOff>
      <xdr:row>49</xdr:row>
      <xdr:rowOff>164880</xdr:rowOff>
    </xdr:to>
    <xdr:sp>
      <xdr:nvSpPr>
        <xdr:cNvPr id="258" name="CustomShape 1"/>
        <xdr:cNvSpPr/>
      </xdr:nvSpPr>
      <xdr:spPr>
        <a:xfrm>
          <a:off x="0" y="0"/>
          <a:ext cx="8798040" cy="9518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10</xdr:col>
      <xdr:colOff>456840</xdr:colOff>
      <xdr:row>49</xdr:row>
      <xdr:rowOff>164880</xdr:rowOff>
    </xdr:to>
    <xdr:sp>
      <xdr:nvSpPr>
        <xdr:cNvPr id="259" name="CustomShape 1"/>
        <xdr:cNvSpPr/>
      </xdr:nvSpPr>
      <xdr:spPr>
        <a:xfrm>
          <a:off x="0" y="0"/>
          <a:ext cx="8798040" cy="95184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12</xdr:col>
      <xdr:colOff>114120</xdr:colOff>
      <xdr:row>49</xdr:row>
      <xdr:rowOff>171000</xdr:rowOff>
    </xdr:to>
    <xdr:sp>
      <xdr:nvSpPr>
        <xdr:cNvPr id="260" name="CustomShape 1"/>
        <xdr:cNvSpPr/>
      </xdr:nvSpPr>
      <xdr:spPr>
        <a:xfrm>
          <a:off x="0" y="0"/>
          <a:ext cx="1006704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12</xdr:col>
      <xdr:colOff>114120</xdr:colOff>
      <xdr:row>49</xdr:row>
      <xdr:rowOff>171000</xdr:rowOff>
    </xdr:to>
    <xdr:sp>
      <xdr:nvSpPr>
        <xdr:cNvPr id="261" name="CustomShape 1"/>
        <xdr:cNvSpPr/>
      </xdr:nvSpPr>
      <xdr:spPr>
        <a:xfrm>
          <a:off x="0" y="0"/>
          <a:ext cx="1006704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12</xdr:col>
      <xdr:colOff>114120</xdr:colOff>
      <xdr:row>49</xdr:row>
      <xdr:rowOff>171000</xdr:rowOff>
    </xdr:to>
    <xdr:sp>
      <xdr:nvSpPr>
        <xdr:cNvPr id="262" name="CustomShape 1"/>
        <xdr:cNvSpPr/>
      </xdr:nvSpPr>
      <xdr:spPr>
        <a:xfrm>
          <a:off x="0" y="0"/>
          <a:ext cx="1006704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12</xdr:col>
      <xdr:colOff>114120</xdr:colOff>
      <xdr:row>49</xdr:row>
      <xdr:rowOff>171000</xdr:rowOff>
    </xdr:to>
    <xdr:sp>
      <xdr:nvSpPr>
        <xdr:cNvPr id="263" name="CustomShape 1"/>
        <xdr:cNvSpPr/>
      </xdr:nvSpPr>
      <xdr:spPr>
        <a:xfrm>
          <a:off x="0" y="0"/>
          <a:ext cx="1006704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12</xdr:col>
      <xdr:colOff>114120</xdr:colOff>
      <xdr:row>49</xdr:row>
      <xdr:rowOff>171000</xdr:rowOff>
    </xdr:to>
    <xdr:sp>
      <xdr:nvSpPr>
        <xdr:cNvPr id="264" name="CustomShape 1"/>
        <xdr:cNvSpPr/>
      </xdr:nvSpPr>
      <xdr:spPr>
        <a:xfrm>
          <a:off x="0" y="0"/>
          <a:ext cx="1006704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12</xdr:col>
      <xdr:colOff>114120</xdr:colOff>
      <xdr:row>49</xdr:row>
      <xdr:rowOff>171000</xdr:rowOff>
    </xdr:to>
    <xdr:sp>
      <xdr:nvSpPr>
        <xdr:cNvPr id="265" name="CustomShape 1"/>
        <xdr:cNvSpPr/>
      </xdr:nvSpPr>
      <xdr:spPr>
        <a:xfrm>
          <a:off x="0" y="0"/>
          <a:ext cx="1006704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12</xdr:col>
      <xdr:colOff>114120</xdr:colOff>
      <xdr:row>49</xdr:row>
      <xdr:rowOff>171000</xdr:rowOff>
    </xdr:to>
    <xdr:sp>
      <xdr:nvSpPr>
        <xdr:cNvPr id="266" name="CustomShape 1"/>
        <xdr:cNvSpPr/>
      </xdr:nvSpPr>
      <xdr:spPr>
        <a:xfrm>
          <a:off x="0" y="0"/>
          <a:ext cx="1006704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12</xdr:col>
      <xdr:colOff>114120</xdr:colOff>
      <xdr:row>49</xdr:row>
      <xdr:rowOff>171000</xdr:rowOff>
    </xdr:to>
    <xdr:sp>
      <xdr:nvSpPr>
        <xdr:cNvPr id="267" name="CustomShape 1"/>
        <xdr:cNvSpPr/>
      </xdr:nvSpPr>
      <xdr:spPr>
        <a:xfrm>
          <a:off x="0" y="0"/>
          <a:ext cx="1006704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152280</xdr:rowOff>
    </xdr:from>
    <xdr:to>
      <xdr:col>6</xdr:col>
      <xdr:colOff>511560</xdr:colOff>
      <xdr:row>56</xdr:row>
      <xdr:rowOff>6480</xdr:rowOff>
    </xdr:to>
    <xdr:graphicFrame>
      <xdr:nvGraphicFramePr>
        <xdr:cNvPr id="268" name="Gráfico 1"/>
        <xdr:cNvGraphicFramePr/>
      </xdr:nvGraphicFramePr>
      <xdr:xfrm>
        <a:off x="0" y="7010280"/>
        <a:ext cx="7767360" cy="4616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166680</xdr:colOff>
      <xdr:row>2</xdr:row>
      <xdr:rowOff>152280</xdr:rowOff>
    </xdr:from>
    <xdr:to>
      <xdr:col>21</xdr:col>
      <xdr:colOff>311400</xdr:colOff>
      <xdr:row>29</xdr:row>
      <xdr:rowOff>63720</xdr:rowOff>
    </xdr:to>
    <xdr:graphicFrame>
      <xdr:nvGraphicFramePr>
        <xdr:cNvPr id="269" name="Gráfico 2"/>
        <xdr:cNvGraphicFramePr/>
      </xdr:nvGraphicFramePr>
      <xdr:xfrm>
        <a:off x="16039440" y="533160"/>
        <a:ext cx="6350760" cy="58168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752400</xdr:colOff>
      <xdr:row>65</xdr:row>
      <xdr:rowOff>171360</xdr:rowOff>
    </xdr:from>
    <xdr:to>
      <xdr:col>17</xdr:col>
      <xdr:colOff>25560</xdr:colOff>
      <xdr:row>91</xdr:row>
      <xdr:rowOff>187560</xdr:rowOff>
    </xdr:to>
    <xdr:graphicFrame>
      <xdr:nvGraphicFramePr>
        <xdr:cNvPr id="270" name="Gráfico 3"/>
        <xdr:cNvGraphicFramePr/>
      </xdr:nvGraphicFramePr>
      <xdr:xfrm>
        <a:off x="9691920" y="13506120"/>
        <a:ext cx="9471240" cy="49694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twoCell">
    <xdr:from>
      <xdr:col>0</xdr:col>
      <xdr:colOff>0</xdr:colOff>
      <xdr:row>0</xdr:row>
      <xdr:rowOff>0</xdr:rowOff>
    </xdr:from>
    <xdr:to>
      <xdr:col>7</xdr:col>
      <xdr:colOff>1076040</xdr:colOff>
      <xdr:row>44</xdr:row>
      <xdr:rowOff>190080</xdr:rowOff>
    </xdr:to>
    <xdr:sp>
      <xdr:nvSpPr>
        <xdr:cNvPr id="271" name="CustomShape 1" hidden="1"/>
        <xdr:cNvSpPr/>
      </xdr:nvSpPr>
      <xdr:spPr>
        <a:xfrm>
          <a:off x="0" y="0"/>
          <a:ext cx="1001556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1076040</xdr:colOff>
      <xdr:row>44</xdr:row>
      <xdr:rowOff>190080</xdr:rowOff>
    </xdr:to>
    <xdr:sp>
      <xdr:nvSpPr>
        <xdr:cNvPr id="272" name="CustomShape 1"/>
        <xdr:cNvSpPr/>
      </xdr:nvSpPr>
      <xdr:spPr>
        <a:xfrm>
          <a:off x="0" y="0"/>
          <a:ext cx="10015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6</xdr:col>
      <xdr:colOff>1676160</xdr:colOff>
      <xdr:row>45</xdr:row>
      <xdr:rowOff>190080</xdr:rowOff>
    </xdr:to>
    <xdr:sp>
      <xdr:nvSpPr>
        <xdr:cNvPr id="273" name="CustomShape 1"/>
        <xdr:cNvSpPr/>
      </xdr:nvSpPr>
      <xdr:spPr>
        <a:xfrm>
          <a:off x="0" y="0"/>
          <a:ext cx="8931960" cy="97149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1076040</xdr:colOff>
      <xdr:row>44</xdr:row>
      <xdr:rowOff>190080</xdr:rowOff>
    </xdr:to>
    <xdr:sp>
      <xdr:nvSpPr>
        <xdr:cNvPr id="274" name="CustomShape 1"/>
        <xdr:cNvSpPr/>
      </xdr:nvSpPr>
      <xdr:spPr>
        <a:xfrm>
          <a:off x="0" y="0"/>
          <a:ext cx="10015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1076040</xdr:colOff>
      <xdr:row>44</xdr:row>
      <xdr:rowOff>190080</xdr:rowOff>
    </xdr:to>
    <xdr:sp>
      <xdr:nvSpPr>
        <xdr:cNvPr id="275" name="CustomShape 1"/>
        <xdr:cNvSpPr/>
      </xdr:nvSpPr>
      <xdr:spPr>
        <a:xfrm>
          <a:off x="0" y="0"/>
          <a:ext cx="10015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1076040</xdr:colOff>
      <xdr:row>44</xdr:row>
      <xdr:rowOff>190080</xdr:rowOff>
    </xdr:to>
    <xdr:sp>
      <xdr:nvSpPr>
        <xdr:cNvPr id="276" name="CustomShape 1"/>
        <xdr:cNvSpPr/>
      </xdr:nvSpPr>
      <xdr:spPr>
        <a:xfrm>
          <a:off x="0" y="0"/>
          <a:ext cx="10015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1076040</xdr:colOff>
      <xdr:row>44</xdr:row>
      <xdr:rowOff>190080</xdr:rowOff>
    </xdr:to>
    <xdr:sp>
      <xdr:nvSpPr>
        <xdr:cNvPr id="277" name="CustomShape 1"/>
        <xdr:cNvSpPr/>
      </xdr:nvSpPr>
      <xdr:spPr>
        <a:xfrm>
          <a:off x="0" y="0"/>
          <a:ext cx="1001556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114480</xdr:colOff>
      <xdr:row>31</xdr:row>
      <xdr:rowOff>66960</xdr:rowOff>
    </xdr:from>
    <xdr:to>
      <xdr:col>9</xdr:col>
      <xdr:colOff>578160</xdr:colOff>
      <xdr:row>65</xdr:row>
      <xdr:rowOff>117360</xdr:rowOff>
    </xdr:to>
    <xdr:graphicFrame>
      <xdr:nvGraphicFramePr>
        <xdr:cNvPr id="278" name="Gráfico 1"/>
        <xdr:cNvGraphicFramePr/>
      </xdr:nvGraphicFramePr>
      <xdr:xfrm>
        <a:off x="920160" y="6486480"/>
        <a:ext cx="11932920" cy="6512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866880</xdr:colOff>
      <xdr:row>36</xdr:row>
      <xdr:rowOff>120240</xdr:rowOff>
    </xdr:from>
    <xdr:to>
      <xdr:col>28</xdr:col>
      <xdr:colOff>343440</xdr:colOff>
      <xdr:row>69</xdr:row>
      <xdr:rowOff>126720</xdr:rowOff>
    </xdr:to>
    <xdr:graphicFrame>
      <xdr:nvGraphicFramePr>
        <xdr:cNvPr id="279" name="Gráfico 2"/>
        <xdr:cNvGraphicFramePr/>
      </xdr:nvGraphicFramePr>
      <xdr:xfrm>
        <a:off x="25698240" y="7477200"/>
        <a:ext cx="10039320" cy="6292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0</xdr:colOff>
      <xdr:row>38</xdr:row>
      <xdr:rowOff>24840</xdr:rowOff>
    </xdr:from>
    <xdr:to>
      <xdr:col>33</xdr:col>
      <xdr:colOff>401760</xdr:colOff>
      <xdr:row>67</xdr:row>
      <xdr:rowOff>115560</xdr:rowOff>
    </xdr:to>
    <xdr:graphicFrame>
      <xdr:nvGraphicFramePr>
        <xdr:cNvPr id="280" name="Gráfico 1"/>
        <xdr:cNvGraphicFramePr/>
      </xdr:nvGraphicFramePr>
      <xdr:xfrm>
        <a:off x="32985000" y="7762680"/>
        <a:ext cx="7899120" cy="56152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714240</xdr:colOff>
      <xdr:row>112</xdr:row>
      <xdr:rowOff>108000</xdr:rowOff>
    </xdr:from>
    <xdr:to>
      <xdr:col>7</xdr:col>
      <xdr:colOff>416160</xdr:colOff>
      <xdr:row>143</xdr:row>
      <xdr:rowOff>176760</xdr:rowOff>
    </xdr:to>
    <xdr:graphicFrame>
      <xdr:nvGraphicFramePr>
        <xdr:cNvPr id="281" name="Gráfico 5"/>
        <xdr:cNvGraphicFramePr/>
      </xdr:nvGraphicFramePr>
      <xdr:xfrm>
        <a:off x="1519920" y="21943080"/>
        <a:ext cx="8238240" cy="5974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0</xdr:colOff>
      <xdr:row>67</xdr:row>
      <xdr:rowOff>24840</xdr:rowOff>
    </xdr:from>
    <xdr:to>
      <xdr:col>20</xdr:col>
      <xdr:colOff>768600</xdr:colOff>
      <xdr:row>100</xdr:row>
      <xdr:rowOff>30960</xdr:rowOff>
    </xdr:to>
    <xdr:graphicFrame>
      <xdr:nvGraphicFramePr>
        <xdr:cNvPr id="282" name="Gráfico 6"/>
        <xdr:cNvGraphicFramePr/>
      </xdr:nvGraphicFramePr>
      <xdr:xfrm>
        <a:off x="17455320" y="13287240"/>
        <a:ext cx="9898560" cy="62928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twoCell">
    <xdr:from>
      <xdr:col>0</xdr:col>
      <xdr:colOff>0</xdr:colOff>
      <xdr:row>0</xdr:row>
      <xdr:rowOff>0</xdr:rowOff>
    </xdr:from>
    <xdr:to>
      <xdr:col>7</xdr:col>
      <xdr:colOff>676080</xdr:colOff>
      <xdr:row>47</xdr:row>
      <xdr:rowOff>81720</xdr:rowOff>
    </xdr:to>
    <xdr:sp>
      <xdr:nvSpPr>
        <xdr:cNvPr id="283" name="CustomShape 1" hidden="1"/>
        <xdr:cNvSpPr/>
      </xdr:nvSpPr>
      <xdr:spPr>
        <a:xfrm>
          <a:off x="0" y="0"/>
          <a:ext cx="10018080" cy="9534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676080</xdr:colOff>
      <xdr:row>47</xdr:row>
      <xdr:rowOff>81720</xdr:rowOff>
    </xdr:to>
    <xdr:sp>
      <xdr:nvSpPr>
        <xdr:cNvPr id="284" name="CustomShape 1" hidden="1"/>
        <xdr:cNvSpPr/>
      </xdr:nvSpPr>
      <xdr:spPr>
        <a:xfrm>
          <a:off x="0" y="0"/>
          <a:ext cx="10018080" cy="95342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676080</xdr:colOff>
      <xdr:row>47</xdr:row>
      <xdr:rowOff>81720</xdr:rowOff>
    </xdr:to>
    <xdr:sp>
      <xdr:nvSpPr>
        <xdr:cNvPr id="285" name="CustomShape 1"/>
        <xdr:cNvSpPr/>
      </xdr:nvSpPr>
      <xdr:spPr>
        <a:xfrm>
          <a:off x="0" y="0"/>
          <a:ext cx="10018080" cy="95342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676080</xdr:colOff>
      <xdr:row>47</xdr:row>
      <xdr:rowOff>81720</xdr:rowOff>
    </xdr:to>
    <xdr:sp>
      <xdr:nvSpPr>
        <xdr:cNvPr id="286" name="CustomShape 1"/>
        <xdr:cNvSpPr/>
      </xdr:nvSpPr>
      <xdr:spPr>
        <a:xfrm>
          <a:off x="0" y="0"/>
          <a:ext cx="10018080" cy="95342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6</xdr:col>
      <xdr:colOff>1142640</xdr:colOff>
      <xdr:row>41</xdr:row>
      <xdr:rowOff>11520</xdr:rowOff>
    </xdr:to>
    <xdr:sp>
      <xdr:nvSpPr>
        <xdr:cNvPr id="287" name="CustomShape 1"/>
        <xdr:cNvSpPr/>
      </xdr:nvSpPr>
      <xdr:spPr>
        <a:xfrm>
          <a:off x="0" y="0"/>
          <a:ext cx="8871840" cy="83210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6</xdr:col>
      <xdr:colOff>1142640</xdr:colOff>
      <xdr:row>41</xdr:row>
      <xdr:rowOff>11520</xdr:rowOff>
    </xdr:to>
    <xdr:sp>
      <xdr:nvSpPr>
        <xdr:cNvPr id="288" name="CustomShape 1"/>
        <xdr:cNvSpPr/>
      </xdr:nvSpPr>
      <xdr:spPr>
        <a:xfrm>
          <a:off x="0" y="0"/>
          <a:ext cx="8871840" cy="83210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694800</xdr:colOff>
      <xdr:row>47</xdr:row>
      <xdr:rowOff>72000</xdr:rowOff>
    </xdr:to>
    <xdr:sp>
      <xdr:nvSpPr>
        <xdr:cNvPr id="289" name="CustomShape 1"/>
        <xdr:cNvSpPr/>
      </xdr:nvSpPr>
      <xdr:spPr>
        <a:xfrm>
          <a:off x="0" y="0"/>
          <a:ext cx="1003680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694800</xdr:colOff>
      <xdr:row>47</xdr:row>
      <xdr:rowOff>72000</xdr:rowOff>
    </xdr:to>
    <xdr:sp>
      <xdr:nvSpPr>
        <xdr:cNvPr id="290" name="CustomShape 1"/>
        <xdr:cNvSpPr/>
      </xdr:nvSpPr>
      <xdr:spPr>
        <a:xfrm>
          <a:off x="0" y="0"/>
          <a:ext cx="1003680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694800</xdr:colOff>
      <xdr:row>47</xdr:row>
      <xdr:rowOff>72000</xdr:rowOff>
    </xdr:to>
    <xdr:sp>
      <xdr:nvSpPr>
        <xdr:cNvPr id="291" name="CustomShape 1"/>
        <xdr:cNvSpPr/>
      </xdr:nvSpPr>
      <xdr:spPr>
        <a:xfrm>
          <a:off x="0" y="0"/>
          <a:ext cx="1003680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694800</xdr:colOff>
      <xdr:row>47</xdr:row>
      <xdr:rowOff>72000</xdr:rowOff>
    </xdr:to>
    <xdr:sp>
      <xdr:nvSpPr>
        <xdr:cNvPr id="292" name="CustomShape 1"/>
        <xdr:cNvSpPr/>
      </xdr:nvSpPr>
      <xdr:spPr>
        <a:xfrm>
          <a:off x="0" y="0"/>
          <a:ext cx="1003680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694800</xdr:colOff>
      <xdr:row>47</xdr:row>
      <xdr:rowOff>72000</xdr:rowOff>
    </xdr:to>
    <xdr:sp>
      <xdr:nvSpPr>
        <xdr:cNvPr id="293" name="CustomShape 1"/>
        <xdr:cNvSpPr/>
      </xdr:nvSpPr>
      <xdr:spPr>
        <a:xfrm>
          <a:off x="0" y="0"/>
          <a:ext cx="1003680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694800</xdr:colOff>
      <xdr:row>47</xdr:row>
      <xdr:rowOff>72000</xdr:rowOff>
    </xdr:to>
    <xdr:sp>
      <xdr:nvSpPr>
        <xdr:cNvPr id="294" name="CustomShape 1"/>
        <xdr:cNvSpPr/>
      </xdr:nvSpPr>
      <xdr:spPr>
        <a:xfrm>
          <a:off x="0" y="0"/>
          <a:ext cx="1003680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694800</xdr:colOff>
      <xdr:row>47</xdr:row>
      <xdr:rowOff>72000</xdr:rowOff>
    </xdr:to>
    <xdr:sp>
      <xdr:nvSpPr>
        <xdr:cNvPr id="295" name="CustomShape 1"/>
        <xdr:cNvSpPr/>
      </xdr:nvSpPr>
      <xdr:spPr>
        <a:xfrm>
          <a:off x="0" y="0"/>
          <a:ext cx="1003680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694800</xdr:colOff>
      <xdr:row>47</xdr:row>
      <xdr:rowOff>72000</xdr:rowOff>
    </xdr:to>
    <xdr:sp>
      <xdr:nvSpPr>
        <xdr:cNvPr id="296" name="CustomShape 1"/>
        <xdr:cNvSpPr/>
      </xdr:nvSpPr>
      <xdr:spPr>
        <a:xfrm>
          <a:off x="0" y="0"/>
          <a:ext cx="1003680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oneCell">
    <xdr:from>
      <xdr:col>31</xdr:col>
      <xdr:colOff>0</xdr:colOff>
      <xdr:row>3</xdr:row>
      <xdr:rowOff>0</xdr:rowOff>
    </xdr:from>
    <xdr:to>
      <xdr:col>40</xdr:col>
      <xdr:colOff>135000</xdr:colOff>
      <xdr:row>29</xdr:row>
      <xdr:rowOff>128880</xdr:rowOff>
    </xdr:to>
    <xdr:graphicFrame>
      <xdr:nvGraphicFramePr>
        <xdr:cNvPr id="297" name="Gráfico 1"/>
        <xdr:cNvGraphicFramePr/>
      </xdr:nvGraphicFramePr>
      <xdr:xfrm>
        <a:off x="38517480" y="542880"/>
        <a:ext cx="7912800" cy="56152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34</xdr:col>
      <xdr:colOff>0</xdr:colOff>
      <xdr:row>30</xdr:row>
      <xdr:rowOff>0</xdr:rowOff>
    </xdr:from>
    <xdr:to>
      <xdr:col>43</xdr:col>
      <xdr:colOff>468360</xdr:colOff>
      <xdr:row>59</xdr:row>
      <xdr:rowOff>106200</xdr:rowOff>
    </xdr:to>
    <xdr:graphicFrame>
      <xdr:nvGraphicFramePr>
        <xdr:cNvPr id="298" name="Gráfico 1"/>
        <xdr:cNvGraphicFramePr/>
      </xdr:nvGraphicFramePr>
      <xdr:xfrm>
        <a:off x="41288040" y="6229080"/>
        <a:ext cx="7893000" cy="561564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392040</xdr:colOff>
      <xdr:row>32</xdr:row>
      <xdr:rowOff>18000</xdr:rowOff>
    </xdr:from>
    <xdr:to>
      <xdr:col>26</xdr:col>
      <xdr:colOff>299520</xdr:colOff>
      <xdr:row>71</xdr:row>
      <xdr:rowOff>42120</xdr:rowOff>
    </xdr:to>
    <xdr:graphicFrame>
      <xdr:nvGraphicFramePr>
        <xdr:cNvPr id="299" name="Gráfico 3"/>
        <xdr:cNvGraphicFramePr/>
      </xdr:nvGraphicFramePr>
      <xdr:xfrm>
        <a:off x="15114240" y="6428160"/>
        <a:ext cx="8802000" cy="7701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twoCell">
    <xdr:from>
      <xdr:col>26</xdr:col>
      <xdr:colOff>145800</xdr:colOff>
      <xdr:row>45</xdr:row>
      <xdr:rowOff>45000</xdr:rowOff>
    </xdr:from>
    <xdr:to>
      <xdr:col>26</xdr:col>
      <xdr:colOff>703080</xdr:colOff>
      <xdr:row>56</xdr:row>
      <xdr:rowOff>30960</xdr:rowOff>
    </xdr:to>
    <xdr:sp>
      <xdr:nvSpPr>
        <xdr:cNvPr id="300" name="CustomShape 1"/>
        <xdr:cNvSpPr/>
      </xdr:nvSpPr>
      <xdr:spPr>
        <a:xfrm>
          <a:off x="23762520" y="9027000"/>
          <a:ext cx="557280" cy="2186280"/>
        </a:xfrm>
        <a:prstGeom prst="rightBrace">
          <a:avLst>
            <a:gd name="adj1" fmla="val 8333"/>
            <a:gd name="adj2" fmla="val 50000"/>
          </a:avLst>
        </a:prstGeom>
        <a:noFill/>
        <a:ln>
          <a:noFill/>
        </a:ln>
      </xdr:spPr>
      <xdr:style>
        <a:lnRef idx="1">
          <a:schemeClr val="accent1"/>
        </a:lnRef>
        <a:fillRef idx="0">
          <a:schemeClr val="accent1"/>
        </a:fillRef>
        <a:effectRef idx="0">
          <a:schemeClr val="accent1"/>
        </a:effectRef>
        <a:fontRef idx="minor"/>
      </xdr:style>
    </xdr:sp>
    <xdr:clientData/>
  </xdr:twoCellAnchor>
  <xdr:twoCellAnchor editAs="twoCell">
    <xdr:from>
      <xdr:col>26</xdr:col>
      <xdr:colOff>0</xdr:colOff>
      <xdr:row>38</xdr:row>
      <xdr:rowOff>0</xdr:rowOff>
    </xdr:from>
    <xdr:to>
      <xdr:col>26</xdr:col>
      <xdr:colOff>557280</xdr:colOff>
      <xdr:row>45</xdr:row>
      <xdr:rowOff>8280</xdr:rowOff>
    </xdr:to>
    <xdr:sp>
      <xdr:nvSpPr>
        <xdr:cNvPr id="301" name="CustomShape 1"/>
        <xdr:cNvSpPr/>
      </xdr:nvSpPr>
      <xdr:spPr>
        <a:xfrm>
          <a:off x="23616720" y="7581600"/>
          <a:ext cx="557280" cy="1408680"/>
        </a:xfrm>
        <a:prstGeom prst="rightBrace">
          <a:avLst>
            <a:gd name="adj1" fmla="val 8333"/>
            <a:gd name="adj2" fmla="val 51575"/>
          </a:avLst>
        </a:prstGeom>
        <a:noFill/>
        <a:ln>
          <a:noFill/>
        </a:ln>
      </xdr:spPr>
      <xdr:style>
        <a:lnRef idx="1">
          <a:schemeClr val="accent1"/>
        </a:lnRef>
        <a:fillRef idx="0">
          <a:schemeClr val="accent1"/>
        </a:fillRef>
        <a:effectRef idx="0">
          <a:schemeClr val="accent1"/>
        </a:effectRef>
        <a:fontRef idx="minor"/>
      </xdr:style>
    </xdr:sp>
    <xdr:clientData/>
  </xdr:twoCellAnchor>
  <xdr:twoCellAnchor editAs="oneCell">
    <xdr:from>
      <xdr:col>7</xdr:col>
      <xdr:colOff>196200</xdr:colOff>
      <xdr:row>80</xdr:row>
      <xdr:rowOff>152280</xdr:rowOff>
    </xdr:from>
    <xdr:to>
      <xdr:col>14</xdr:col>
      <xdr:colOff>602280</xdr:colOff>
      <xdr:row>108</xdr:row>
      <xdr:rowOff>41760</xdr:rowOff>
    </xdr:to>
    <xdr:graphicFrame>
      <xdr:nvGraphicFramePr>
        <xdr:cNvPr id="302" name="Gráfico 2"/>
        <xdr:cNvGraphicFramePr/>
      </xdr:nvGraphicFramePr>
      <xdr:xfrm>
        <a:off x="8278200" y="15954120"/>
        <a:ext cx="7046280" cy="5223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twoCell">
    <xdr:from>
      <xdr:col>0</xdr:col>
      <xdr:colOff>0</xdr:colOff>
      <xdr:row>0</xdr:row>
      <xdr:rowOff>0</xdr:rowOff>
    </xdr:from>
    <xdr:to>
      <xdr:col>8</xdr:col>
      <xdr:colOff>990360</xdr:colOff>
      <xdr:row>47</xdr:row>
      <xdr:rowOff>142560</xdr:rowOff>
    </xdr:to>
    <xdr:sp>
      <xdr:nvSpPr>
        <xdr:cNvPr id="303" name="CustomShape 1" hidden="1"/>
        <xdr:cNvSpPr/>
      </xdr:nvSpPr>
      <xdr:spPr>
        <a:xfrm>
          <a:off x="0" y="0"/>
          <a:ext cx="100198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04" name="CustomShape 1" hidden="1"/>
        <xdr:cNvSpPr/>
      </xdr:nvSpPr>
      <xdr:spPr>
        <a:xfrm>
          <a:off x="0" y="0"/>
          <a:ext cx="100198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05" name="CustomShape 1" hidden="1"/>
        <xdr:cNvSpPr/>
      </xdr:nvSpPr>
      <xdr:spPr>
        <a:xfrm>
          <a:off x="0" y="0"/>
          <a:ext cx="100198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06" name="CustomShape 1" hidden="1"/>
        <xdr:cNvSpPr/>
      </xdr:nvSpPr>
      <xdr:spPr>
        <a:xfrm>
          <a:off x="0" y="0"/>
          <a:ext cx="100198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07" name="CustomShape 1" hidden="1"/>
        <xdr:cNvSpPr/>
      </xdr:nvSpPr>
      <xdr:spPr>
        <a:xfrm>
          <a:off x="0" y="0"/>
          <a:ext cx="100198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08" name="CustomShape 1" hidden="1"/>
        <xdr:cNvSpPr/>
      </xdr:nvSpPr>
      <xdr:spPr>
        <a:xfrm>
          <a:off x="0" y="0"/>
          <a:ext cx="100198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09" name="CustomShape 1" hidden="1"/>
        <xdr:cNvSpPr/>
      </xdr:nvSpPr>
      <xdr:spPr>
        <a:xfrm>
          <a:off x="0" y="0"/>
          <a:ext cx="100198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10" name="CustomShape 1" hidden="1"/>
        <xdr:cNvSpPr/>
      </xdr:nvSpPr>
      <xdr:spPr>
        <a:xfrm>
          <a:off x="0" y="0"/>
          <a:ext cx="100198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11" name="CustomShape 1" hidden="1"/>
        <xdr:cNvSpPr/>
      </xdr:nvSpPr>
      <xdr:spPr>
        <a:xfrm>
          <a:off x="0" y="0"/>
          <a:ext cx="10019880" cy="9524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12"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13"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14"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15"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16"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17"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18"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19"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20"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761760</xdr:colOff>
      <xdr:row>41</xdr:row>
      <xdr:rowOff>25200</xdr:rowOff>
    </xdr:to>
    <xdr:sp>
      <xdr:nvSpPr>
        <xdr:cNvPr id="321" name="CustomShape 1"/>
        <xdr:cNvSpPr/>
      </xdr:nvSpPr>
      <xdr:spPr>
        <a:xfrm>
          <a:off x="0" y="0"/>
          <a:ext cx="8843760" cy="8206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761760</xdr:colOff>
      <xdr:row>41</xdr:row>
      <xdr:rowOff>25200</xdr:rowOff>
    </xdr:to>
    <xdr:sp>
      <xdr:nvSpPr>
        <xdr:cNvPr id="322" name="CustomShape 1"/>
        <xdr:cNvSpPr/>
      </xdr:nvSpPr>
      <xdr:spPr>
        <a:xfrm>
          <a:off x="0" y="0"/>
          <a:ext cx="8843760" cy="8206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761760</xdr:colOff>
      <xdr:row>41</xdr:row>
      <xdr:rowOff>25200</xdr:rowOff>
    </xdr:to>
    <xdr:sp>
      <xdr:nvSpPr>
        <xdr:cNvPr id="323" name="CustomShape 1"/>
        <xdr:cNvSpPr/>
      </xdr:nvSpPr>
      <xdr:spPr>
        <a:xfrm>
          <a:off x="0" y="0"/>
          <a:ext cx="8843760" cy="8206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761760</xdr:colOff>
      <xdr:row>41</xdr:row>
      <xdr:rowOff>25200</xdr:rowOff>
    </xdr:to>
    <xdr:sp>
      <xdr:nvSpPr>
        <xdr:cNvPr id="324" name="CustomShape 1"/>
        <xdr:cNvSpPr/>
      </xdr:nvSpPr>
      <xdr:spPr>
        <a:xfrm>
          <a:off x="0" y="0"/>
          <a:ext cx="8843760" cy="8206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761760</xdr:colOff>
      <xdr:row>41</xdr:row>
      <xdr:rowOff>25200</xdr:rowOff>
    </xdr:to>
    <xdr:sp>
      <xdr:nvSpPr>
        <xdr:cNvPr id="325" name="CustomShape 1"/>
        <xdr:cNvSpPr/>
      </xdr:nvSpPr>
      <xdr:spPr>
        <a:xfrm>
          <a:off x="0" y="0"/>
          <a:ext cx="8843760" cy="8206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761760</xdr:colOff>
      <xdr:row>41</xdr:row>
      <xdr:rowOff>25200</xdr:rowOff>
    </xdr:to>
    <xdr:sp>
      <xdr:nvSpPr>
        <xdr:cNvPr id="326" name="CustomShape 1"/>
        <xdr:cNvSpPr/>
      </xdr:nvSpPr>
      <xdr:spPr>
        <a:xfrm>
          <a:off x="0" y="0"/>
          <a:ext cx="8843760" cy="8206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761760</xdr:colOff>
      <xdr:row>41</xdr:row>
      <xdr:rowOff>25200</xdr:rowOff>
    </xdr:to>
    <xdr:sp>
      <xdr:nvSpPr>
        <xdr:cNvPr id="327" name="CustomShape 1"/>
        <xdr:cNvSpPr/>
      </xdr:nvSpPr>
      <xdr:spPr>
        <a:xfrm>
          <a:off x="0" y="0"/>
          <a:ext cx="8843760" cy="8206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761760</xdr:colOff>
      <xdr:row>41</xdr:row>
      <xdr:rowOff>25200</xdr:rowOff>
    </xdr:to>
    <xdr:sp>
      <xdr:nvSpPr>
        <xdr:cNvPr id="328" name="CustomShape 1"/>
        <xdr:cNvSpPr/>
      </xdr:nvSpPr>
      <xdr:spPr>
        <a:xfrm>
          <a:off x="0" y="0"/>
          <a:ext cx="8843760" cy="8206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761760</xdr:colOff>
      <xdr:row>41</xdr:row>
      <xdr:rowOff>25200</xdr:rowOff>
    </xdr:to>
    <xdr:sp>
      <xdr:nvSpPr>
        <xdr:cNvPr id="329" name="CustomShape 1"/>
        <xdr:cNvSpPr/>
      </xdr:nvSpPr>
      <xdr:spPr>
        <a:xfrm>
          <a:off x="0" y="0"/>
          <a:ext cx="8843760" cy="82069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30"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31"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32"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33"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34"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35"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36"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37"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38"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39"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40"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41"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42"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43"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44"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45"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46"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47"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48"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49"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50"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51"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52"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53"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54"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55"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56"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57"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58"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59"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60"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61"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62"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63"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64"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990360</xdr:colOff>
      <xdr:row>47</xdr:row>
      <xdr:rowOff>142560</xdr:rowOff>
    </xdr:to>
    <xdr:sp>
      <xdr:nvSpPr>
        <xdr:cNvPr id="365" name="CustomShape 1"/>
        <xdr:cNvSpPr/>
      </xdr:nvSpPr>
      <xdr:spPr>
        <a:xfrm>
          <a:off x="0" y="0"/>
          <a:ext cx="10019880" cy="952452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ension_and_family_benefits_coverage.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Seg_fis_finan.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Población 2000-2009"/>
      <sheetName val="Población 2000-2009 (2)"/>
      <sheetName val="Población 2000-2040"/>
      <sheetName val="Población 1950-2100"/>
      <sheetName val="Contribuyentes ANSES"/>
      <sheetName val="Beneficiarios de jubilaciones"/>
      <sheetName val="Cobertura y contribuyentes"/>
      <sheetName val="Beneficiarios de AAFF y AUH"/>
      <sheetName val="Prestaciones medias, BESS"/>
    </sheetNames>
    <sheetDataSet>
      <sheetData sheetId="0"/>
      <sheetData sheetId="1"/>
      <sheetData sheetId="2"/>
      <sheetData sheetId="3">
        <row r="80">
          <cell r="AU80">
            <v>4040905</v>
          </cell>
          <cell r="AV80">
            <v>4112680.76</v>
          </cell>
          <cell r="AW80">
            <v>4182225.24</v>
          </cell>
          <cell r="AX80">
            <v>4250497.24</v>
          </cell>
          <cell r="AY80">
            <v>4318455.56</v>
          </cell>
          <cell r="AZ80">
            <v>4387059</v>
          </cell>
          <cell r="BA80">
            <v>4455013.72</v>
          </cell>
          <cell r="BB80">
            <v>4521680.52</v>
          </cell>
          <cell r="BC80">
            <v>4589000.16</v>
          </cell>
          <cell r="BD80">
            <v>4658913.4</v>
          </cell>
          <cell r="BE80">
            <v>4733361</v>
          </cell>
          <cell r="BF80">
            <v>4811709.472</v>
          </cell>
          <cell r="BG80">
            <v>4892664.976</v>
          </cell>
          <cell r="BH80">
            <v>4977177.744</v>
          </cell>
          <cell r="BI80">
            <v>5066198.008</v>
          </cell>
          <cell r="BJ80">
            <v>5160676</v>
          </cell>
          <cell r="BK80">
            <v>5261575.864</v>
          </cell>
          <cell r="BL80">
            <v>5368264.112</v>
          </cell>
          <cell r="BM80">
            <v>5479294.528</v>
          </cell>
          <cell r="BN80">
            <v>5593220.896</v>
          </cell>
          <cell r="BO80">
            <v>5708597</v>
          </cell>
          <cell r="BP80">
            <v>5826034.904</v>
          </cell>
          <cell r="BQ80">
            <v>5946498.752</v>
          </cell>
          <cell r="BR80">
            <v>6069070.448</v>
          </cell>
        </row>
        <row r="81">
          <cell r="AU81">
            <v>12140489.2</v>
          </cell>
          <cell r="AV81">
            <v>12185908.2336</v>
          </cell>
          <cell r="AW81">
            <v>12209892.3328</v>
          </cell>
          <cell r="AX81">
            <v>12223394.1952</v>
          </cell>
          <cell r="AY81">
            <v>12237366.5184</v>
          </cell>
          <cell r="AZ81">
            <v>12262762</v>
          </cell>
          <cell r="BA81">
            <v>12301815.248</v>
          </cell>
          <cell r="BB81">
            <v>12347224.464</v>
          </cell>
          <cell r="BC81">
            <v>12395637.736</v>
          </cell>
          <cell r="BD81">
            <v>12443703.152</v>
          </cell>
          <cell r="BE81">
            <v>12488068.8</v>
          </cell>
          <cell r="BF81">
            <v>12527275.0768</v>
          </cell>
          <cell r="BG81">
            <v>12563556.5904</v>
          </cell>
          <cell r="BH81">
            <v>12599102.7456</v>
          </cell>
          <cell r="BI81">
            <v>12636102.9472</v>
          </cell>
          <cell r="BJ81">
            <v>12676746.6</v>
          </cell>
          <cell r="BK81">
            <v>12723795.512</v>
          </cell>
          <cell r="BL81">
            <v>12775790.08</v>
          </cell>
          <cell r="BM81">
            <v>12828587.592</v>
          </cell>
          <cell r="BN81">
            <v>12878045.336</v>
          </cell>
          <cell r="BO81">
            <v>12920020.6</v>
          </cell>
          <cell r="BP81">
            <v>12955806.0848</v>
          </cell>
          <cell r="BQ81">
            <v>12988163.5984</v>
          </cell>
          <cell r="BR81">
            <v>13015154.0896</v>
          </cell>
        </row>
        <row r="82">
          <cell r="AU82">
            <v>18754568.8</v>
          </cell>
          <cell r="AV82">
            <v>19058546.7024</v>
          </cell>
          <cell r="AW82">
            <v>19374363.7952</v>
          </cell>
          <cell r="AX82">
            <v>19695549.3568</v>
          </cell>
          <cell r="AY82">
            <v>20015632.6656</v>
          </cell>
          <cell r="AZ82">
            <v>20328143</v>
          </cell>
          <cell r="BA82">
            <v>20632062.104</v>
          </cell>
          <cell r="BB82">
            <v>20931703.792</v>
          </cell>
          <cell r="BC82">
            <v>21228595.448</v>
          </cell>
          <cell r="BD82">
            <v>21524264.456</v>
          </cell>
          <cell r="BE82">
            <v>21820238.2</v>
          </cell>
          <cell r="BF82">
            <v>22117816.9712</v>
          </cell>
          <cell r="BG82">
            <v>22415982.5136</v>
          </cell>
          <cell r="BH82">
            <v>22712784.3904</v>
          </cell>
          <cell r="BI82">
            <v>23006272.1648</v>
          </cell>
          <cell r="BJ82">
            <v>23294495.4</v>
          </cell>
          <cell r="BK82">
            <v>23577540.24</v>
          </cell>
          <cell r="BL82">
            <v>23856706.976</v>
          </cell>
          <cell r="BM82">
            <v>24131866.392</v>
          </cell>
          <cell r="BN82">
            <v>24402889.272</v>
          </cell>
          <cell r="BO82">
            <v>24669646.4</v>
          </cell>
          <cell r="BP82">
            <v>24930601.9392</v>
          </cell>
          <cell r="BQ82">
            <v>25185842.0336</v>
          </cell>
          <cell r="BR82">
            <v>25437670.4384</v>
          </cell>
        </row>
      </sheetData>
      <sheetData sheetId="4">
        <row r="4">
          <cell r="D4">
            <v>2.6</v>
          </cell>
        </row>
        <row r="5">
          <cell r="C5">
            <v>1.9</v>
          </cell>
          <cell r="D5">
            <v>2.9</v>
          </cell>
        </row>
        <row r="6">
          <cell r="C6">
            <v>1.6</v>
          </cell>
          <cell r="D6">
            <v>3.5</v>
          </cell>
        </row>
        <row r="7">
          <cell r="C7">
            <v>1.3</v>
          </cell>
          <cell r="D7">
            <v>4.1</v>
          </cell>
        </row>
        <row r="8">
          <cell r="C8">
            <v>1.2</v>
          </cell>
          <cell r="D8">
            <v>4.4</v>
          </cell>
        </row>
        <row r="9">
          <cell r="C9">
            <v>1.1</v>
          </cell>
          <cell r="D9">
            <v>4.5</v>
          </cell>
        </row>
        <row r="10">
          <cell r="C10">
            <v>1</v>
          </cell>
          <cell r="D10">
            <v>4.5</v>
          </cell>
        </row>
        <row r="11">
          <cell r="C11">
            <v>0.9</v>
          </cell>
          <cell r="D11">
            <v>4.2</v>
          </cell>
        </row>
        <row r="12">
          <cell r="C12">
            <v>0.8</v>
          </cell>
          <cell r="D12">
            <v>4</v>
          </cell>
        </row>
        <row r="13">
          <cell r="C13">
            <v>0.9</v>
          </cell>
          <cell r="D13">
            <v>4.5</v>
          </cell>
        </row>
        <row r="14">
          <cell r="C14">
            <v>1</v>
          </cell>
          <cell r="D14">
            <v>5.1</v>
          </cell>
        </row>
        <row r="15">
          <cell r="C15">
            <v>1.2</v>
          </cell>
          <cell r="D15">
            <v>5.5</v>
          </cell>
        </row>
        <row r="16">
          <cell r="C16">
            <v>1.4</v>
          </cell>
          <cell r="D16">
            <v>5.9</v>
          </cell>
        </row>
        <row r="17">
          <cell r="C17">
            <v>2.2</v>
          </cell>
          <cell r="D17">
            <v>5.6</v>
          </cell>
        </row>
        <row r="18">
          <cell r="C18">
            <v>3.4</v>
          </cell>
          <cell r="D18">
            <v>4.8</v>
          </cell>
        </row>
        <row r="55">
          <cell r="D55" t="str">
            <v>Total de aportantes(1)</v>
          </cell>
          <cell r="E55" t="str">
            <v>Relación de
dependencia</v>
          </cell>
          <cell r="F55" t="str">
            <v>Casas Particulares</v>
          </cell>
          <cell r="G55" t="str">
            <v>Autónomos</v>
          </cell>
          <cell r="H55" t="str">
            <v>Monotributo(2)</v>
          </cell>
        </row>
        <row r="56">
          <cell r="D56">
            <v>5133337</v>
          </cell>
          <cell r="E56">
            <v>3700589</v>
          </cell>
          <cell r="F56">
            <v>0</v>
          </cell>
          <cell r="G56">
            <v>1530834</v>
          </cell>
          <cell r="H56">
            <v>0</v>
          </cell>
        </row>
        <row r="57">
          <cell r="D57">
            <v>4706946</v>
          </cell>
          <cell r="E57">
            <v>3481583</v>
          </cell>
          <cell r="F57">
            <v>0</v>
          </cell>
          <cell r="G57">
            <v>1313960</v>
          </cell>
          <cell r="H57">
            <v>0</v>
          </cell>
        </row>
        <row r="58">
          <cell r="D58">
            <v>4910831</v>
          </cell>
          <cell r="E58">
            <v>3929008</v>
          </cell>
          <cell r="F58">
            <v>0</v>
          </cell>
          <cell r="G58">
            <v>1061710</v>
          </cell>
          <cell r="H58">
            <v>0</v>
          </cell>
        </row>
        <row r="59">
          <cell r="D59">
            <v>5123196</v>
          </cell>
          <cell r="E59">
            <v>4250090</v>
          </cell>
          <cell r="F59">
            <v>0</v>
          </cell>
          <cell r="G59">
            <v>947318</v>
          </cell>
          <cell r="H59">
            <v>0</v>
          </cell>
        </row>
        <row r="60">
          <cell r="D60">
            <v>5492389</v>
          </cell>
          <cell r="E60">
            <v>4428527</v>
          </cell>
          <cell r="F60">
            <v>0</v>
          </cell>
          <cell r="G60">
            <v>640733</v>
          </cell>
          <cell r="H60">
            <v>520176</v>
          </cell>
        </row>
        <row r="61">
          <cell r="D61">
            <v>5430679</v>
          </cell>
          <cell r="E61">
            <v>4426683</v>
          </cell>
          <cell r="F61">
            <v>29408</v>
          </cell>
          <cell r="G61">
            <v>550873</v>
          </cell>
          <cell r="H61">
            <v>513105</v>
          </cell>
        </row>
        <row r="62">
          <cell r="D62">
            <v>5619684</v>
          </cell>
          <cell r="E62">
            <v>4500218</v>
          </cell>
          <cell r="F62">
            <v>228443</v>
          </cell>
          <cell r="G62">
            <v>483737</v>
          </cell>
          <cell r="H62">
            <v>489449</v>
          </cell>
        </row>
        <row r="63">
          <cell r="D63">
            <v>5153611</v>
          </cell>
          <cell r="E63">
            <v>4206056</v>
          </cell>
          <cell r="F63">
            <v>206202</v>
          </cell>
          <cell r="G63">
            <v>382867</v>
          </cell>
          <cell r="H63">
            <v>424417</v>
          </cell>
        </row>
        <row r="64">
          <cell r="D64">
            <v>4888873</v>
          </cell>
          <cell r="E64">
            <v>4028297</v>
          </cell>
          <cell r="F64">
            <v>154862</v>
          </cell>
          <cell r="G64">
            <v>365312</v>
          </cell>
          <cell r="H64">
            <v>400843</v>
          </cell>
        </row>
        <row r="65">
          <cell r="D65">
            <v>5334381</v>
          </cell>
          <cell r="E65">
            <v>4424825</v>
          </cell>
          <cell r="F65">
            <v>116073</v>
          </cell>
          <cell r="G65">
            <v>376555</v>
          </cell>
          <cell r="H65">
            <v>485924</v>
          </cell>
        </row>
        <row r="66">
          <cell r="D66">
            <v>6110177</v>
          </cell>
          <cell r="E66">
            <v>4879470</v>
          </cell>
          <cell r="F66">
            <v>87718</v>
          </cell>
          <cell r="G66">
            <v>439787</v>
          </cell>
          <cell r="H66">
            <v>779181</v>
          </cell>
        </row>
        <row r="67">
          <cell r="D67">
            <v>6764381</v>
          </cell>
          <cell r="E67">
            <v>5389343</v>
          </cell>
          <cell r="F67">
            <v>133458</v>
          </cell>
          <cell r="G67">
            <v>440819</v>
          </cell>
          <cell r="H67">
            <v>886284</v>
          </cell>
        </row>
        <row r="68">
          <cell r="D68">
            <v>7423536</v>
          </cell>
          <cell r="E68">
            <v>5801523</v>
          </cell>
          <cell r="F68">
            <v>239800</v>
          </cell>
          <cell r="G68">
            <v>454273</v>
          </cell>
          <cell r="H68">
            <v>1025496</v>
          </cell>
        </row>
        <row r="69">
          <cell r="D69">
            <v>7992422</v>
          </cell>
          <cell r="E69">
            <v>6246984</v>
          </cell>
          <cell r="F69">
            <v>295405</v>
          </cell>
          <cell r="G69">
            <v>454473</v>
          </cell>
          <cell r="H69">
            <v>1095610</v>
          </cell>
        </row>
        <row r="70">
          <cell r="D70">
            <v>8323526</v>
          </cell>
          <cell r="E70">
            <v>6414915</v>
          </cell>
          <cell r="F70">
            <v>337756</v>
          </cell>
          <cell r="G70">
            <v>470958</v>
          </cell>
          <cell r="H70">
            <v>1209482</v>
          </cell>
        </row>
        <row r="71">
          <cell r="D71">
            <v>8490198</v>
          </cell>
          <cell r="E71">
            <v>6474374</v>
          </cell>
          <cell r="F71">
            <v>367171</v>
          </cell>
          <cell r="G71">
            <v>475396</v>
          </cell>
          <cell r="H71">
            <v>1282208</v>
          </cell>
        </row>
        <row r="72">
          <cell r="D72">
            <v>8857445</v>
          </cell>
          <cell r="E72">
            <v>6732665</v>
          </cell>
          <cell r="F72">
            <v>368967</v>
          </cell>
          <cell r="G72">
            <v>487435</v>
          </cell>
          <cell r="H72">
            <v>1375997</v>
          </cell>
        </row>
        <row r="73">
          <cell r="D73">
            <v>9230788</v>
          </cell>
          <cell r="E73">
            <v>6986246</v>
          </cell>
          <cell r="F73">
            <v>359525</v>
          </cell>
          <cell r="G73">
            <v>508622</v>
          </cell>
          <cell r="H73">
            <v>1493047</v>
          </cell>
        </row>
        <row r="74">
          <cell r="D74">
            <v>9351697</v>
          </cell>
          <cell r="E74">
            <v>7002490</v>
          </cell>
          <cell r="F74">
            <v>370095</v>
          </cell>
          <cell r="G74">
            <v>523613</v>
          </cell>
          <cell r="H74">
            <v>1571985</v>
          </cell>
        </row>
        <row r="75">
          <cell r="D75">
            <v>9695337</v>
          </cell>
          <cell r="E75">
            <v>7070532</v>
          </cell>
          <cell r="F75">
            <v>435877</v>
          </cell>
          <cell r="G75">
            <v>545582</v>
          </cell>
          <cell r="H75">
            <v>1767615</v>
          </cell>
        </row>
        <row r="76">
          <cell r="D76">
            <v>9714843</v>
          </cell>
          <cell r="E76">
            <v>7094528</v>
          </cell>
          <cell r="F76">
            <v>403386</v>
          </cell>
          <cell r="G76">
            <v>535911</v>
          </cell>
          <cell r="H76">
            <v>1801260</v>
          </cell>
        </row>
        <row r="77">
          <cell r="D77">
            <v>9857400</v>
          </cell>
          <cell r="E77">
            <v>7201832</v>
          </cell>
          <cell r="F77">
            <v>415030</v>
          </cell>
          <cell r="G77">
            <v>541906</v>
          </cell>
          <cell r="H77">
            <v>1829713</v>
          </cell>
        </row>
        <row r="78">
          <cell r="D78">
            <v>9927705</v>
          </cell>
          <cell r="E78">
            <v>7167657</v>
          </cell>
          <cell r="F78">
            <v>433905</v>
          </cell>
          <cell r="G78">
            <v>551932</v>
          </cell>
          <cell r="H78">
            <v>1903193</v>
          </cell>
        </row>
        <row r="79">
          <cell r="D79">
            <v>10091261</v>
          </cell>
          <cell r="E79">
            <v>7246488</v>
          </cell>
          <cell r="F79">
            <v>440285</v>
          </cell>
          <cell r="G79">
            <v>531204</v>
          </cell>
          <cell r="H79">
            <v>1994420</v>
          </cell>
        </row>
        <row r="80">
          <cell r="C80" t="str">
            <v>ene-18</v>
          </cell>
          <cell r="D80">
            <v>10038343</v>
          </cell>
          <cell r="E80">
            <v>7215590</v>
          </cell>
          <cell r="F80">
            <v>438700</v>
          </cell>
          <cell r="G80">
            <v>521741</v>
          </cell>
          <cell r="H80">
            <v>1980368</v>
          </cell>
        </row>
        <row r="81">
          <cell r="C81" t="str">
            <v>feb-18</v>
          </cell>
          <cell r="D81">
            <v>10021368</v>
          </cell>
          <cell r="E81">
            <v>7225474</v>
          </cell>
          <cell r="F81">
            <v>437882</v>
          </cell>
          <cell r="G81">
            <v>518010</v>
          </cell>
          <cell r="H81">
            <v>1956393</v>
          </cell>
        </row>
        <row r="82">
          <cell r="C82" t="str">
            <v>mar-18</v>
          </cell>
          <cell r="D82">
            <v>10022307</v>
          </cell>
          <cell r="E82">
            <v>7238154</v>
          </cell>
          <cell r="F82">
            <v>435924</v>
          </cell>
          <cell r="G82">
            <v>513556</v>
          </cell>
          <cell r="H82">
            <v>1952185</v>
          </cell>
        </row>
        <row r="83">
          <cell r="C83" t="str">
            <v>abr-18</v>
          </cell>
          <cell r="D83">
            <v>9960986</v>
          </cell>
          <cell r="E83">
            <v>7189145</v>
          </cell>
          <cell r="F83">
            <v>436013</v>
          </cell>
          <cell r="G83">
            <v>507462</v>
          </cell>
          <cell r="H83">
            <v>1942634</v>
          </cell>
        </row>
        <row r="84">
          <cell r="C84" t="str">
            <v>may-18</v>
          </cell>
          <cell r="D84">
            <v>9854133</v>
          </cell>
          <cell r="E84">
            <v>7155155</v>
          </cell>
          <cell r="F84">
            <v>434552</v>
          </cell>
          <cell r="G84">
            <v>498482</v>
          </cell>
          <cell r="H84">
            <v>1876179</v>
          </cell>
        </row>
        <row r="85">
          <cell r="C85" t="str">
            <v>jun-18 </v>
          </cell>
          <cell r="D85">
            <v>9804889</v>
          </cell>
          <cell r="E85">
            <v>7148925</v>
          </cell>
          <cell r="F85">
            <v>430724</v>
          </cell>
          <cell r="G85">
            <v>488020</v>
          </cell>
          <cell r="H85">
            <v>1844605</v>
          </cell>
        </row>
      </sheetData>
      <sheetData sheetId="5">
        <row r="3">
          <cell r="B3">
            <v>512</v>
          </cell>
        </row>
        <row r="4">
          <cell r="B4">
            <v>3243</v>
          </cell>
        </row>
        <row r="4">
          <cell r="V4">
            <v>2042440</v>
          </cell>
        </row>
        <row r="5">
          <cell r="B5">
            <v>9540</v>
          </cell>
        </row>
        <row r="5">
          <cell r="O5">
            <v>2062170</v>
          </cell>
        </row>
        <row r="5">
          <cell r="V5">
            <v>2062170</v>
          </cell>
        </row>
        <row r="6">
          <cell r="B6">
            <v>16977</v>
          </cell>
        </row>
        <row r="6">
          <cell r="O6">
            <v>2114215</v>
          </cell>
        </row>
        <row r="6">
          <cell r="V6">
            <v>2114215</v>
          </cell>
        </row>
        <row r="7">
          <cell r="B7">
            <v>29594</v>
          </cell>
        </row>
        <row r="7">
          <cell r="O7">
            <v>1984508</v>
          </cell>
        </row>
        <row r="7">
          <cell r="V7">
            <v>1984508</v>
          </cell>
        </row>
        <row r="8">
          <cell r="B8">
            <v>45633</v>
          </cell>
        </row>
        <row r="8">
          <cell r="O8">
            <v>1929201.25</v>
          </cell>
        </row>
        <row r="8">
          <cell r="Q8">
            <v>160323.5</v>
          </cell>
        </row>
        <row r="8">
          <cell r="V8">
            <v>2089524.75</v>
          </cell>
        </row>
        <row r="9">
          <cell r="B9">
            <v>66070</v>
          </cell>
        </row>
        <row r="9">
          <cell r="O9">
            <v>1873669.25</v>
          </cell>
        </row>
        <row r="9">
          <cell r="Q9">
            <v>160719.5</v>
          </cell>
        </row>
        <row r="9">
          <cell r="V9">
            <v>2034388.75</v>
          </cell>
        </row>
        <row r="10">
          <cell r="B10">
            <v>95278</v>
          </cell>
        </row>
        <row r="10">
          <cell r="O10">
            <v>1816487.5</v>
          </cell>
        </row>
        <row r="10">
          <cell r="Q10">
            <v>159759.75</v>
          </cell>
        </row>
        <row r="10">
          <cell r="V10">
            <v>1976247.25</v>
          </cell>
        </row>
        <row r="11">
          <cell r="B11">
            <v>139427</v>
          </cell>
        </row>
        <row r="11">
          <cell r="O11">
            <v>1780036.25</v>
          </cell>
        </row>
        <row r="11">
          <cell r="Q11">
            <v>156758.75</v>
          </cell>
        </row>
        <row r="11">
          <cell r="V11">
            <v>1936795</v>
          </cell>
        </row>
        <row r="12">
          <cell r="B12">
            <v>178203</v>
          </cell>
        </row>
        <row r="12">
          <cell r="O12">
            <v>1739152</v>
          </cell>
        </row>
        <row r="12">
          <cell r="Q12">
            <v>154176</v>
          </cell>
        </row>
        <row r="12">
          <cell r="V12">
            <v>1893328</v>
          </cell>
        </row>
        <row r="13">
          <cell r="B13">
            <v>217307</v>
          </cell>
        </row>
        <row r="13">
          <cell r="O13">
            <v>1710244</v>
          </cell>
        </row>
        <row r="13">
          <cell r="Q13">
            <v>151415</v>
          </cell>
        </row>
        <row r="13">
          <cell r="V13">
            <v>1861659</v>
          </cell>
        </row>
        <row r="14">
          <cell r="B14">
            <v>271628</v>
          </cell>
        </row>
        <row r="14">
          <cell r="O14">
            <v>1670828</v>
          </cell>
        </row>
        <row r="14">
          <cell r="Q14">
            <v>148720</v>
          </cell>
        </row>
        <row r="14">
          <cell r="V14">
            <v>1819548</v>
          </cell>
        </row>
        <row r="15">
          <cell r="B15">
            <v>388953</v>
          </cell>
        </row>
        <row r="15">
          <cell r="O15">
            <v>1651284</v>
          </cell>
        </row>
        <row r="15">
          <cell r="Q15">
            <v>145029</v>
          </cell>
        </row>
        <row r="15">
          <cell r="V15">
            <v>1796313</v>
          </cell>
        </row>
        <row r="16">
          <cell r="B16">
            <v>406260</v>
          </cell>
        </row>
        <row r="16">
          <cell r="O16">
            <v>1830544</v>
          </cell>
        </row>
        <row r="16">
          <cell r="Q16">
            <v>141931</v>
          </cell>
        </row>
        <row r="16">
          <cell r="V16">
            <v>1972475</v>
          </cell>
        </row>
        <row r="17">
          <cell r="B17">
            <v>0</v>
          </cell>
        </row>
        <row r="17">
          <cell r="O17">
            <v>1587249</v>
          </cell>
        </row>
        <row r="17">
          <cell r="Q17">
            <v>138494</v>
          </cell>
        </row>
        <row r="17">
          <cell r="S17">
            <v>1369110</v>
          </cell>
        </row>
        <row r="17">
          <cell r="V17">
            <v>3094853</v>
          </cell>
        </row>
        <row r="18">
          <cell r="O18">
            <v>1560436</v>
          </cell>
        </row>
        <row r="18">
          <cell r="Q18">
            <v>135753</v>
          </cell>
        </row>
        <row r="18">
          <cell r="S18">
            <v>1813023</v>
          </cell>
        </row>
        <row r="18">
          <cell r="V18">
            <v>3509212</v>
          </cell>
        </row>
        <row r="19">
          <cell r="O19">
            <v>1826938</v>
          </cell>
        </row>
        <row r="19">
          <cell r="Q19">
            <v>132405</v>
          </cell>
        </row>
        <row r="19">
          <cell r="S19">
            <v>2025782</v>
          </cell>
        </row>
        <row r="19">
          <cell r="V19">
            <v>4052910.08333333</v>
          </cell>
        </row>
        <row r="20">
          <cell r="O20">
            <v>1733010</v>
          </cell>
        </row>
        <row r="20">
          <cell r="Q20">
            <v>128735.75</v>
          </cell>
        </row>
        <row r="20">
          <cell r="S20">
            <v>2273926.75</v>
          </cell>
        </row>
        <row r="20">
          <cell r="V20">
            <v>4223283</v>
          </cell>
        </row>
        <row r="21">
          <cell r="O21">
            <v>1699636</v>
          </cell>
        </row>
        <row r="21">
          <cell r="Q21">
            <v>124508</v>
          </cell>
        </row>
        <row r="21">
          <cell r="S21">
            <v>2381780</v>
          </cell>
        </row>
        <row r="21">
          <cell r="V21">
            <v>4280817</v>
          </cell>
        </row>
        <row r="22">
          <cell r="O22">
            <v>1741129</v>
          </cell>
        </row>
        <row r="22">
          <cell r="Q22">
            <v>120691</v>
          </cell>
        </row>
        <row r="22">
          <cell r="S22">
            <v>2368263</v>
          </cell>
        </row>
        <row r="22">
          <cell r="V22">
            <v>4308211.58333333</v>
          </cell>
        </row>
        <row r="23">
          <cell r="O23">
            <v>1758132</v>
          </cell>
        </row>
        <row r="23">
          <cell r="Q23">
            <v>116798</v>
          </cell>
        </row>
        <row r="23">
          <cell r="S23">
            <v>2386454</v>
          </cell>
        </row>
        <row r="23">
          <cell r="V23">
            <v>4333967.16666667</v>
          </cell>
        </row>
        <row r="24">
          <cell r="O24">
            <v>1756591</v>
          </cell>
        </row>
        <row r="24">
          <cell r="Q24">
            <v>113028</v>
          </cell>
        </row>
        <row r="24">
          <cell r="S24">
            <v>2430300</v>
          </cell>
        </row>
        <row r="24">
          <cell r="V24">
            <v>4367908.66666667</v>
          </cell>
        </row>
        <row r="25">
          <cell r="O25">
            <v>1759038</v>
          </cell>
        </row>
        <row r="25">
          <cell r="Q25">
            <v>109777</v>
          </cell>
        </row>
        <row r="25">
          <cell r="S25">
            <v>2887586</v>
          </cell>
        </row>
        <row r="25">
          <cell r="V25">
            <v>4826700.25</v>
          </cell>
        </row>
        <row r="26">
          <cell r="O26">
            <v>1748351</v>
          </cell>
        </row>
        <row r="26">
          <cell r="Q26">
            <v>105918</v>
          </cell>
        </row>
        <row r="26">
          <cell r="S26">
            <v>3174201</v>
          </cell>
        </row>
        <row r="26">
          <cell r="V26">
            <v>5110261</v>
          </cell>
        </row>
        <row r="27">
          <cell r="O27">
            <v>1703751</v>
          </cell>
        </row>
        <row r="27">
          <cell r="Q27">
            <v>102642</v>
          </cell>
        </row>
        <row r="27">
          <cell r="S27">
            <v>3367166</v>
          </cell>
        </row>
        <row r="27">
          <cell r="V27">
            <v>5248962.08333333</v>
          </cell>
        </row>
        <row r="28">
          <cell r="O28">
            <v>1715744</v>
          </cell>
        </row>
        <row r="28">
          <cell r="Q28">
            <v>99113</v>
          </cell>
        </row>
        <row r="28">
          <cell r="S28">
            <v>3364152</v>
          </cell>
        </row>
        <row r="28">
          <cell r="U28">
            <v>89390</v>
          </cell>
          <cell r="V28">
            <v>5266548.22222222</v>
          </cell>
        </row>
      </sheetData>
      <sheetData sheetId="6"/>
      <sheetData sheetId="7">
        <row r="5">
          <cell r="C5">
            <v>44890</v>
          </cell>
          <cell r="D5">
            <v>26900</v>
          </cell>
          <cell r="E5">
            <v>0</v>
          </cell>
          <cell r="F5">
            <v>0</v>
          </cell>
        </row>
        <row r="6">
          <cell r="C6">
            <v>138704</v>
          </cell>
          <cell r="D6">
            <v>20100</v>
          </cell>
          <cell r="E6">
            <v>0</v>
          </cell>
          <cell r="F6">
            <v>0</v>
          </cell>
        </row>
        <row r="7">
          <cell r="C7">
            <v>412061</v>
          </cell>
          <cell r="D7">
            <v>43900</v>
          </cell>
          <cell r="E7">
            <v>0</v>
          </cell>
          <cell r="F7">
            <v>0</v>
          </cell>
        </row>
        <row r="8">
          <cell r="C8">
            <v>438128.25</v>
          </cell>
          <cell r="D8">
            <v>3021</v>
          </cell>
          <cell r="E8">
            <v>0</v>
          </cell>
          <cell r="F8">
            <v>0</v>
          </cell>
        </row>
        <row r="9">
          <cell r="C9">
            <v>443417</v>
          </cell>
          <cell r="D9">
            <v>3146.5</v>
          </cell>
          <cell r="E9">
            <v>0</v>
          </cell>
          <cell r="F9">
            <v>0</v>
          </cell>
        </row>
        <row r="10">
          <cell r="C10">
            <v>516825.5</v>
          </cell>
          <cell r="D10">
            <v>4128.75</v>
          </cell>
          <cell r="E10">
            <v>0</v>
          </cell>
          <cell r="F10">
            <v>0</v>
          </cell>
        </row>
        <row r="11">
          <cell r="C11">
            <v>497081</v>
          </cell>
          <cell r="D11">
            <v>4529.5</v>
          </cell>
          <cell r="E11">
            <v>0</v>
          </cell>
          <cell r="F11">
            <v>0</v>
          </cell>
        </row>
        <row r="12">
          <cell r="C12">
            <v>487612</v>
          </cell>
          <cell r="D12">
            <v>4950</v>
          </cell>
          <cell r="E12">
            <v>111595</v>
          </cell>
          <cell r="F12">
            <v>47222</v>
          </cell>
        </row>
        <row r="13">
          <cell r="C13">
            <v>396543</v>
          </cell>
          <cell r="D13">
            <v>4485</v>
          </cell>
          <cell r="E13">
            <v>104610</v>
          </cell>
          <cell r="F13">
            <v>48594</v>
          </cell>
        </row>
        <row r="14">
          <cell r="C14">
            <v>546344</v>
          </cell>
          <cell r="D14">
            <v>6662</v>
          </cell>
          <cell r="E14">
            <v>106988</v>
          </cell>
          <cell r="F14">
            <v>49959</v>
          </cell>
        </row>
        <row r="15">
          <cell r="C15">
            <v>999731</v>
          </cell>
          <cell r="D15">
            <v>12464</v>
          </cell>
          <cell r="E15">
            <v>104379</v>
          </cell>
          <cell r="F15">
            <v>48859</v>
          </cell>
        </row>
        <row r="16">
          <cell r="C16">
            <v>1409856</v>
          </cell>
          <cell r="D16">
            <v>20818</v>
          </cell>
          <cell r="E16">
            <v>107722</v>
          </cell>
          <cell r="F16">
            <v>52719</v>
          </cell>
        </row>
        <row r="17">
          <cell r="C17">
            <v>1749654</v>
          </cell>
          <cell r="D17">
            <v>24265</v>
          </cell>
          <cell r="E17">
            <v>106409</v>
          </cell>
          <cell r="F17">
            <v>54809</v>
          </cell>
        </row>
        <row r="18">
          <cell r="C18">
            <v>2123445</v>
          </cell>
          <cell r="D18">
            <v>31142</v>
          </cell>
          <cell r="E18">
            <v>105996</v>
          </cell>
          <cell r="F18">
            <v>58735</v>
          </cell>
        </row>
        <row r="19">
          <cell r="C19">
            <v>2838577</v>
          </cell>
          <cell r="D19">
            <v>44063</v>
          </cell>
          <cell r="E19">
            <v>114648</v>
          </cell>
          <cell r="F19">
            <v>64573</v>
          </cell>
          <cell r="G19">
            <v>3351090</v>
          </cell>
          <cell r="H19">
            <v>8923.5</v>
          </cell>
        </row>
        <row r="20">
          <cell r="C20">
            <v>3052468</v>
          </cell>
          <cell r="D20">
            <v>55692</v>
          </cell>
          <cell r="E20">
            <v>117035.25</v>
          </cell>
          <cell r="F20">
            <v>69750</v>
          </cell>
          <cell r="G20">
            <v>3472982.75</v>
          </cell>
          <cell r="H20">
            <v>12077.75</v>
          </cell>
        </row>
        <row r="21">
          <cell r="C21">
            <v>3254844</v>
          </cell>
          <cell r="D21">
            <v>72264</v>
          </cell>
          <cell r="E21">
            <v>197932</v>
          </cell>
          <cell r="F21">
            <v>82578</v>
          </cell>
          <cell r="G21">
            <v>3512143.66666667</v>
          </cell>
          <cell r="H21">
            <v>17849.5</v>
          </cell>
        </row>
        <row r="22">
          <cell r="C22">
            <v>2789749.66666667</v>
          </cell>
          <cell r="D22">
            <v>77066.9166666667</v>
          </cell>
          <cell r="E22">
            <v>320218.5</v>
          </cell>
          <cell r="F22">
            <v>87445.4166666667</v>
          </cell>
          <cell r="G22">
            <v>3369728.33333333</v>
          </cell>
          <cell r="H22">
            <v>21219.8333333333</v>
          </cell>
        </row>
        <row r="23">
          <cell r="C23">
            <v>3288106.16666667</v>
          </cell>
          <cell r="D23">
            <v>84092.25</v>
          </cell>
          <cell r="E23">
            <v>369330.083333333</v>
          </cell>
          <cell r="F23">
            <v>84988.0833333333</v>
          </cell>
          <cell r="G23">
            <v>3317260.66666667</v>
          </cell>
          <cell r="H23">
            <v>22231.25</v>
          </cell>
        </row>
        <row r="24">
          <cell r="C24">
            <v>3613253</v>
          </cell>
          <cell r="D24">
            <v>90784.0833333333</v>
          </cell>
          <cell r="E24">
            <v>424570</v>
          </cell>
          <cell r="F24">
            <v>89848</v>
          </cell>
          <cell r="G24">
            <v>3398574.08333333</v>
          </cell>
          <cell r="H24">
            <v>22463.5</v>
          </cell>
        </row>
        <row r="25">
          <cell r="C25">
            <v>3153458.66666667</v>
          </cell>
          <cell r="D25">
            <v>93008.0833333333</v>
          </cell>
          <cell r="E25">
            <v>475357.25</v>
          </cell>
          <cell r="F25">
            <v>93036.5</v>
          </cell>
          <cell r="G25">
            <v>3537825.41666667</v>
          </cell>
          <cell r="H25">
            <v>22878.5833333333</v>
          </cell>
        </row>
        <row r="26">
          <cell r="C26">
            <v>3719510.33333333</v>
          </cell>
          <cell r="D26">
            <v>96634</v>
          </cell>
          <cell r="E26">
            <v>585970.333333333</v>
          </cell>
          <cell r="F26">
            <v>100600.75</v>
          </cell>
          <cell r="G26">
            <v>3837659.25</v>
          </cell>
          <cell r="H26">
            <v>24425.9166666667</v>
          </cell>
        </row>
        <row r="27">
          <cell r="C27">
            <v>4063640.5</v>
          </cell>
          <cell r="D27">
            <v>106936.166666667</v>
          </cell>
          <cell r="E27">
            <v>626559.75</v>
          </cell>
          <cell r="F27">
            <v>109016.916666667</v>
          </cell>
          <cell r="G27">
            <v>3860344.58333333</v>
          </cell>
          <cell r="H27">
            <v>27058.25</v>
          </cell>
        </row>
        <row r="28">
          <cell r="C28">
            <v>4113536.77777778</v>
          </cell>
          <cell r="D28">
            <v>113556.222222222</v>
          </cell>
          <cell r="E28">
            <v>683086.222222222</v>
          </cell>
          <cell r="F28">
            <v>120571</v>
          </cell>
          <cell r="G28">
            <v>3889185.44444444</v>
          </cell>
          <cell r="H28">
            <v>30887.8888888889</v>
          </cell>
        </row>
      </sheetData>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Versión ordenada"/>
      <sheetName val="Versión ordenada trimestral"/>
      <sheetName val="AIF 2017 base caja"/>
    </sheetNames>
    <sheetDataSet>
      <sheetData sheetId="0"/>
      <sheetData sheetId="1">
        <row r="4">
          <cell r="F4">
            <v>12101231.26153</v>
          </cell>
          <cell r="G4">
            <v>17114534.20865</v>
          </cell>
          <cell r="H4">
            <v>22556633.14887</v>
          </cell>
          <cell r="I4">
            <v>30103200.373</v>
          </cell>
          <cell r="J4">
            <v>42603817.777</v>
          </cell>
          <cell r="K4">
            <v>57898365.858</v>
          </cell>
          <cell r="L4">
            <v>75696458.511</v>
          </cell>
          <cell r="M4">
            <v>99898227.856</v>
          </cell>
          <cell r="N4">
            <v>163000273.562</v>
          </cell>
          <cell r="O4">
            <v>232987860.245</v>
          </cell>
          <cell r="P4">
            <v>313647752.271</v>
          </cell>
          <cell r="Q4">
            <v>387898073.195</v>
          </cell>
        </row>
        <row r="11">
          <cell r="I11">
            <v>6339851.775</v>
          </cell>
          <cell r="J11">
            <v>9036656.567</v>
          </cell>
          <cell r="K11">
            <v>11168573.68</v>
          </cell>
          <cell r="L11">
            <v>15804790.313</v>
          </cell>
          <cell r="M11">
            <v>22114876.989</v>
          </cell>
          <cell r="N11">
            <v>34035477.985</v>
          </cell>
          <cell r="O11">
            <v>50474558.744</v>
          </cell>
          <cell r="P11">
            <v>60115565.007</v>
          </cell>
          <cell r="Q11">
            <v>89219468.068</v>
          </cell>
        </row>
        <row r="16">
          <cell r="M16">
            <v>2358010.21</v>
          </cell>
          <cell r="N16">
            <v>6868294.927</v>
          </cell>
          <cell r="O16">
            <v>9045301.221</v>
          </cell>
          <cell r="P16">
            <v>8156877.3</v>
          </cell>
          <cell r="Q16">
            <v>678257.489</v>
          </cell>
        </row>
        <row r="17">
          <cell r="P17">
            <v>2970227.038</v>
          </cell>
          <cell r="Q17">
            <v>8603980.081</v>
          </cell>
        </row>
      </sheetData>
      <sheetData sheetId="2"/>
      <sheetData sheetId="3"/>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www.economia.gob.ar/secretarias/politica-economica/programacion-macroeconomica/" TargetMode="External"/><Relationship Id="rId3" Type="http://schemas.openxmlformats.org/officeDocument/2006/relationships/hyperlink" Target="http://www.mecon.gov.ar/hacienda/cgn/cuenta/" TargetMode="External"/><Relationship Id="rId4" Type="http://schemas.openxmlformats.org/officeDocument/2006/relationships/hyperlink" Target="http://www.mecon.gov.ar/onp/html/resultado/caja/c1993/1993.htm" TargetMode="External"/><Relationship Id="rId5" Type="http://schemas.openxmlformats.org/officeDocument/2006/relationships/hyperlink" Target="http://www.mecon.gov.ar/onp/html/series/Serie1961-2004.pdf" TargetMode="External"/><Relationship Id="rId6" Type="http://schemas.openxmlformats.org/officeDocument/2006/relationships/drawing" Target="../drawings/drawing2.xml"/><Relationship Id="rId7"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5.xml"/><Relationship Id="rId3"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6.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A1:FC27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2.72265625" defaultRowHeight="15" zeroHeight="false" outlineLevelRow="0" outlineLevelCol="0"/>
  <cols>
    <col collapsed="false" customWidth="false" hidden="false" outlineLevel="0" max="46" min="27" style="1" width="12.71"/>
    <col collapsed="false" customWidth="true" hidden="false" outlineLevel="0" max="47" min="47" style="1" width="13.29"/>
    <col collapsed="false" customWidth="false" hidden="false" outlineLevel="0" max="87" min="48" style="1" width="12.71"/>
    <col collapsed="false" customWidth="true" hidden="false" outlineLevel="0" max="88" min="88" style="1" width="16.71"/>
    <col collapsed="false" customWidth="true" hidden="false" outlineLevel="0" max="89" min="89" style="1" width="17"/>
    <col collapsed="false" customWidth="true" hidden="false" outlineLevel="0" max="90" min="90" style="1" width="16.71"/>
    <col collapsed="false" customWidth="true" hidden="false" outlineLevel="0" max="91" min="91" style="1" width="18"/>
    <col collapsed="false" customWidth="true" hidden="false" outlineLevel="0" max="92" min="92" style="1" width="16.42"/>
    <col collapsed="false" customWidth="false" hidden="false" outlineLevel="0" max="159" min="93" style="1" width="12.71"/>
    <col collapsed="false" customWidth="true" hidden="false" outlineLevel="0" max="303" min="303" style="0" width="13.29"/>
    <col collapsed="false" customWidth="true" hidden="false" outlineLevel="0" max="344" min="344" style="0" width="16.71"/>
    <col collapsed="false" customWidth="true" hidden="false" outlineLevel="0" max="345" min="345" style="0" width="17"/>
    <col collapsed="false" customWidth="true" hidden="false" outlineLevel="0" max="346" min="346" style="0" width="16.71"/>
    <col collapsed="false" customWidth="true" hidden="false" outlineLevel="0" max="347" min="347" style="0" width="18"/>
    <col collapsed="false" customWidth="true" hidden="false" outlineLevel="0" max="348" min="348" style="0" width="16.42"/>
    <col collapsed="false" customWidth="true" hidden="false" outlineLevel="0" max="559" min="559" style="0" width="13.29"/>
    <col collapsed="false" customWidth="true" hidden="false" outlineLevel="0" max="600" min="600" style="0" width="16.71"/>
    <col collapsed="false" customWidth="true" hidden="false" outlineLevel="0" max="601" min="601" style="0" width="17"/>
    <col collapsed="false" customWidth="true" hidden="false" outlineLevel="0" max="602" min="602" style="0" width="16.71"/>
    <col collapsed="false" customWidth="true" hidden="false" outlineLevel="0" max="603" min="603" style="0" width="18"/>
    <col collapsed="false" customWidth="true" hidden="false" outlineLevel="0" max="604" min="604" style="0" width="16.42"/>
    <col collapsed="false" customWidth="true" hidden="false" outlineLevel="0" max="815" min="815" style="0" width="13.29"/>
    <col collapsed="false" customWidth="true" hidden="false" outlineLevel="0" max="856" min="856" style="0" width="16.71"/>
    <col collapsed="false" customWidth="true" hidden="false" outlineLevel="0" max="857" min="857" style="0" width="17"/>
    <col collapsed="false" customWidth="true" hidden="false" outlineLevel="0" max="858" min="858" style="0" width="16.71"/>
    <col collapsed="false" customWidth="true" hidden="false" outlineLevel="0" max="859" min="859" style="0" width="18"/>
    <col collapsed="false" customWidth="true" hidden="false" outlineLevel="0" max="860" min="860" style="0" width="16.42"/>
  </cols>
  <sheetData>
    <row r="1" customFormat="false" ht="12.75" hidden="false" customHeight="true" outlineLevel="0" collapsed="false">
      <c r="AA1" s="2" t="s">
        <v>0</v>
      </c>
      <c r="AB1" s="3"/>
      <c r="AC1" s="3"/>
      <c r="AD1" s="4"/>
      <c r="AE1" s="4"/>
      <c r="AF1" s="4"/>
      <c r="AG1" s="4"/>
      <c r="AH1" s="4"/>
      <c r="AI1" s="4"/>
      <c r="AJ1" s="4"/>
      <c r="AK1" s="4"/>
      <c r="AL1" s="4"/>
      <c r="AM1" s="4"/>
      <c r="AN1" s="4"/>
      <c r="AO1" s="4"/>
      <c r="AP1" s="4"/>
      <c r="AQ1" s="5"/>
      <c r="AR1" s="4"/>
      <c r="AS1" s="4"/>
      <c r="AT1" s="4"/>
      <c r="AU1" s="6"/>
      <c r="AV1" s="7"/>
      <c r="AW1" s="7"/>
      <c r="AX1" s="7"/>
      <c r="AY1" s="7"/>
      <c r="AZ1" s="7"/>
      <c r="BA1" s="8" t="s">
        <v>1</v>
      </c>
      <c r="BB1" s="8"/>
      <c r="BC1" s="9"/>
      <c r="BD1" s="9"/>
      <c r="BE1" s="10"/>
      <c r="BF1" s="10"/>
      <c r="BG1" s="10"/>
      <c r="BH1" s="10"/>
      <c r="BI1" s="10"/>
      <c r="BJ1" s="10"/>
      <c r="BK1" s="10"/>
      <c r="BL1" s="10"/>
      <c r="BM1" s="10"/>
      <c r="BN1" s="10"/>
      <c r="BO1" s="10"/>
      <c r="BP1" s="10"/>
      <c r="BQ1" s="10"/>
      <c r="BR1" s="10"/>
      <c r="BS1" s="10"/>
      <c r="BT1" s="10"/>
      <c r="BU1" s="10"/>
      <c r="BV1" s="11"/>
      <c r="BW1" s="12"/>
      <c r="BX1" s="12"/>
      <c r="BY1" s="12"/>
      <c r="BZ1" s="12"/>
      <c r="CA1" s="12"/>
      <c r="CH1" s="13"/>
      <c r="CI1" s="14"/>
      <c r="CJ1" s="15"/>
      <c r="CK1" s="15"/>
      <c r="CL1" s="15"/>
      <c r="CM1" s="15"/>
      <c r="CN1" s="15"/>
      <c r="CO1" s="15"/>
      <c r="CP1" s="15"/>
      <c r="CQ1" s="16"/>
      <c r="DM1" s="17"/>
      <c r="DN1" s="17"/>
      <c r="DO1" s="17"/>
      <c r="DP1" s="18" t="s">
        <v>2</v>
      </c>
      <c r="DQ1" s="17"/>
      <c r="DR1" s="17"/>
      <c r="DS1" s="17"/>
      <c r="DT1" s="17"/>
      <c r="DU1" s="17"/>
      <c r="DV1" s="17"/>
      <c r="DW1" s="17"/>
      <c r="DX1" s="17"/>
      <c r="EJ1" s="19" t="s">
        <v>3</v>
      </c>
      <c r="EK1" s="20" t="s">
        <v>4</v>
      </c>
      <c r="EL1" s="21" t="s">
        <v>5</v>
      </c>
    </row>
    <row r="2" customFormat="false" ht="12.75" hidden="false" customHeight="true" outlineLevel="0" collapsed="false">
      <c r="AA2" s="2"/>
      <c r="AB2" s="3"/>
      <c r="AC2" s="3"/>
      <c r="AD2" s="4"/>
      <c r="AE2" s="4"/>
      <c r="AF2" s="4"/>
      <c r="AG2" s="4"/>
      <c r="AH2" s="4"/>
      <c r="AI2" s="4"/>
      <c r="AJ2" s="4"/>
      <c r="AK2" s="4"/>
      <c r="AL2" s="4"/>
      <c r="AM2" s="4"/>
      <c r="AN2" s="4"/>
      <c r="AO2" s="4"/>
      <c r="AP2" s="4"/>
      <c r="AQ2" s="5"/>
      <c r="AR2" s="4"/>
      <c r="AS2" s="4"/>
      <c r="AT2" s="4"/>
      <c r="AU2" s="4"/>
      <c r="AV2" s="22" t="s">
        <v>6</v>
      </c>
      <c r="AW2" s="23"/>
      <c r="AX2" s="23"/>
      <c r="AY2" s="23"/>
      <c r="AZ2" s="23"/>
      <c r="BA2" s="8"/>
      <c r="BB2" s="8"/>
      <c r="BC2" s="9"/>
      <c r="BD2" s="9"/>
      <c r="BE2" s="10"/>
      <c r="BF2" s="10"/>
      <c r="BG2" s="10"/>
      <c r="BH2" s="10"/>
      <c r="BI2" s="10"/>
      <c r="BJ2" s="10"/>
      <c r="BK2" s="10"/>
      <c r="BL2" s="10"/>
      <c r="BM2" s="10"/>
      <c r="BN2" s="10"/>
      <c r="BO2" s="10"/>
      <c r="BP2" s="10"/>
      <c r="BQ2" s="10"/>
      <c r="BR2" s="10"/>
      <c r="BS2" s="10"/>
      <c r="BT2" s="10"/>
      <c r="BU2" s="10"/>
      <c r="BV2" s="10"/>
      <c r="BW2" s="24" t="s">
        <v>6</v>
      </c>
      <c r="BX2" s="24"/>
      <c r="BY2" s="24"/>
      <c r="BZ2" s="24"/>
      <c r="CA2" s="24"/>
      <c r="CH2" s="13"/>
      <c r="CI2" s="25" t="s">
        <v>7</v>
      </c>
      <c r="CJ2" s="26"/>
      <c r="CK2" s="26"/>
      <c r="CL2" s="26"/>
      <c r="CM2" s="26"/>
      <c r="CN2" s="26"/>
      <c r="CO2" s="26"/>
      <c r="CP2" s="26"/>
      <c r="CQ2" s="27"/>
      <c r="DI2" s="28" t="n">
        <v>176439843171</v>
      </c>
      <c r="DJ2" s="29" t="n">
        <v>174216541543</v>
      </c>
      <c r="DM2" s="17"/>
      <c r="DN2" s="17"/>
      <c r="DO2" s="17"/>
      <c r="DP2" s="17" t="s">
        <v>8</v>
      </c>
      <c r="DQ2" s="17"/>
      <c r="DR2" s="17"/>
      <c r="DS2" s="17"/>
      <c r="DT2" s="17"/>
      <c r="DU2" s="17"/>
      <c r="DV2" s="17"/>
      <c r="DW2" s="17"/>
      <c r="DX2" s="17"/>
      <c r="DY2" s="30" t="s">
        <v>9</v>
      </c>
      <c r="DZ2" s="30"/>
      <c r="EA2" s="30"/>
      <c r="EB2" s="30"/>
      <c r="EC2" s="30"/>
      <c r="ED2" s="30"/>
      <c r="EE2" s="30"/>
      <c r="EF2" s="30"/>
      <c r="EG2" s="30"/>
      <c r="EH2" s="30"/>
      <c r="EI2" s="30"/>
      <c r="EJ2" s="31" t="n">
        <v>1950</v>
      </c>
      <c r="EK2" s="32" t="n">
        <v>947.516</v>
      </c>
      <c r="EL2" s="33" t="n">
        <v>721.37</v>
      </c>
      <c r="FB2" s="34" t="n">
        <f aca="false">IVA!DG27/IVA!CN20/1000</f>
        <v>7.49764727494452E-005</v>
      </c>
    </row>
    <row r="3" customFormat="false" ht="12.75" hidden="false" customHeight="true" outlineLevel="0" collapsed="false">
      <c r="AA3" s="2"/>
      <c r="AB3" s="35"/>
      <c r="AC3" s="35"/>
      <c r="AD3" s="35"/>
      <c r="AE3" s="36"/>
      <c r="AF3" s="36"/>
      <c r="AG3" s="36"/>
      <c r="AH3" s="36"/>
      <c r="AI3" s="36"/>
      <c r="AJ3" s="36"/>
      <c r="AK3" s="36"/>
      <c r="AL3" s="36"/>
      <c r="AM3" s="36"/>
      <c r="AN3" s="36"/>
      <c r="AO3" s="36"/>
      <c r="AP3" s="36"/>
      <c r="AQ3" s="5"/>
      <c r="AR3" s="36"/>
      <c r="AS3" s="36"/>
      <c r="AT3" s="36"/>
      <c r="AU3" s="36"/>
      <c r="AV3" s="37"/>
      <c r="AW3" s="37"/>
      <c r="AX3" s="37"/>
      <c r="AY3" s="37"/>
      <c r="AZ3" s="37"/>
      <c r="BA3" s="8"/>
      <c r="BB3" s="8"/>
      <c r="BC3" s="38"/>
      <c r="BD3" s="38"/>
      <c r="BE3" s="38"/>
      <c r="BF3" s="39"/>
      <c r="BG3" s="39"/>
      <c r="BH3" s="39"/>
      <c r="BI3" s="39"/>
      <c r="BJ3" s="39"/>
      <c r="BK3" s="39"/>
      <c r="BL3" s="39"/>
      <c r="BM3" s="39"/>
      <c r="BN3" s="39"/>
      <c r="BO3" s="39"/>
      <c r="BP3" s="39"/>
      <c r="BQ3" s="39"/>
      <c r="BR3" s="39"/>
      <c r="BS3" s="39"/>
      <c r="BT3" s="39"/>
      <c r="BU3" s="39"/>
      <c r="BV3" s="39"/>
      <c r="BW3" s="40"/>
      <c r="BX3" s="40"/>
      <c r="BY3" s="40"/>
      <c r="BZ3" s="40"/>
      <c r="CA3" s="40"/>
      <c r="CH3" s="13"/>
      <c r="CI3" s="41"/>
      <c r="CJ3" s="42" t="s">
        <v>10</v>
      </c>
      <c r="CK3" s="43" t="s">
        <v>11</v>
      </c>
      <c r="CL3" s="43" t="s">
        <v>12</v>
      </c>
      <c r="CM3" s="43" t="s">
        <v>13</v>
      </c>
      <c r="CN3" s="44" t="s">
        <v>14</v>
      </c>
      <c r="CO3" s="26"/>
      <c r="CP3" s="26"/>
      <c r="CQ3" s="27"/>
      <c r="DC3" s="1" t="n">
        <v>1000</v>
      </c>
      <c r="DJ3" s="29" t="n">
        <v>213190375353</v>
      </c>
      <c r="DM3" s="17"/>
      <c r="DN3" s="17"/>
      <c r="DO3" s="17"/>
      <c r="DP3" s="17" t="s">
        <v>15</v>
      </c>
      <c r="DQ3" s="17"/>
      <c r="DR3" s="17"/>
      <c r="DS3" s="17"/>
      <c r="DT3" s="17"/>
      <c r="DU3" s="17"/>
      <c r="DV3" s="17"/>
      <c r="DW3" s="17"/>
      <c r="DX3" s="17"/>
      <c r="DY3" s="45"/>
      <c r="DZ3" s="45"/>
      <c r="EA3" s="45"/>
      <c r="EB3" s="46"/>
      <c r="EC3" s="45"/>
      <c r="ED3" s="45"/>
      <c r="EE3" s="45"/>
      <c r="EF3" s="45"/>
      <c r="EG3" s="45"/>
      <c r="EH3" s="45"/>
      <c r="EI3" s="45"/>
      <c r="EJ3" s="31" t="n">
        <v>1951</v>
      </c>
      <c r="EK3" s="32" t="n">
        <v>992.171</v>
      </c>
      <c r="EL3" s="33" t="n">
        <v>758.208</v>
      </c>
    </row>
    <row r="4" customFormat="false" ht="12.75" hidden="false" customHeight="true" outlineLevel="0" collapsed="false">
      <c r="AA4" s="47" t="s">
        <v>16</v>
      </c>
      <c r="AB4" s="35"/>
      <c r="AC4" s="35"/>
      <c r="AD4" s="35"/>
      <c r="AE4" s="36"/>
      <c r="AF4" s="36"/>
      <c r="AG4" s="36"/>
      <c r="AH4" s="36"/>
      <c r="AI4" s="36"/>
      <c r="AJ4" s="36"/>
      <c r="AK4" s="36"/>
      <c r="AL4" s="36"/>
      <c r="AM4" s="36"/>
      <c r="AN4" s="36"/>
      <c r="AO4" s="36"/>
      <c r="AP4" s="36"/>
      <c r="AQ4" s="5"/>
      <c r="AR4" s="36"/>
      <c r="AS4" s="36"/>
      <c r="AT4" s="36"/>
      <c r="AU4" s="48" t="s">
        <v>17</v>
      </c>
      <c r="AV4" s="49"/>
      <c r="AW4" s="49"/>
      <c r="AX4" s="49"/>
      <c r="AY4" s="49"/>
      <c r="AZ4" s="49"/>
      <c r="BA4" s="8" t="s">
        <v>18</v>
      </c>
      <c r="BB4" s="50"/>
      <c r="BC4" s="38"/>
      <c r="BD4" s="38"/>
      <c r="BE4" s="38"/>
      <c r="BF4" s="39"/>
      <c r="BG4" s="39"/>
      <c r="BH4" s="39"/>
      <c r="BI4" s="39"/>
      <c r="BJ4" s="39"/>
      <c r="BK4" s="39"/>
      <c r="BL4" s="39"/>
      <c r="BM4" s="39"/>
      <c r="BN4" s="39"/>
      <c r="BO4" s="39"/>
      <c r="BP4" s="39"/>
      <c r="BQ4" s="39"/>
      <c r="BR4" s="39"/>
      <c r="BS4" s="39"/>
      <c r="BT4" s="39"/>
      <c r="BU4" s="39"/>
      <c r="BV4" s="51"/>
      <c r="BW4" s="52"/>
      <c r="BX4" s="52"/>
      <c r="BY4" s="52"/>
      <c r="BZ4" s="52"/>
      <c r="CA4" s="52"/>
      <c r="CH4" s="13"/>
      <c r="CI4" s="53" t="n">
        <v>1995</v>
      </c>
      <c r="CJ4" s="54" t="n">
        <v>250405946.238777</v>
      </c>
      <c r="CK4" s="54" t="n">
        <v>261602918.007641</v>
      </c>
      <c r="CL4" s="54" t="n">
        <v>256868339.734697</v>
      </c>
      <c r="CM4" s="54" t="n">
        <v>263250336.152224</v>
      </c>
      <c r="CN4" s="55" t="n">
        <v>258031885.033335</v>
      </c>
      <c r="CO4" s="26"/>
      <c r="CP4" s="26"/>
      <c r="CQ4" s="27"/>
      <c r="CV4" s="56" t="s">
        <v>19</v>
      </c>
      <c r="DI4" s="1" t="s">
        <v>20</v>
      </c>
      <c r="DM4" s="17"/>
      <c r="DN4" s="17"/>
      <c r="DO4" s="17"/>
      <c r="DP4" s="17"/>
      <c r="DQ4" s="17"/>
      <c r="DR4" s="17"/>
      <c r="DS4" s="17"/>
      <c r="DT4" s="17"/>
      <c r="DU4" s="17"/>
      <c r="DV4" s="17"/>
      <c r="DW4" s="17"/>
      <c r="DX4" s="17"/>
      <c r="ED4" s="30" t="s">
        <v>21</v>
      </c>
      <c r="EE4" s="30"/>
      <c r="EH4" s="57"/>
      <c r="EI4" s="57"/>
      <c r="EJ4" s="31" t="n">
        <v>1952</v>
      </c>
      <c r="EK4" s="32" t="n">
        <v>1037.54</v>
      </c>
      <c r="EL4" s="33" t="n">
        <v>796.139</v>
      </c>
    </row>
    <row r="5" customFormat="false" ht="12.75" hidden="false" customHeight="true" outlineLevel="0" collapsed="false">
      <c r="AA5" s="35"/>
      <c r="AB5" s="35"/>
      <c r="AC5" s="35"/>
      <c r="AD5" s="58"/>
      <c r="AE5" s="58"/>
      <c r="AF5" s="58"/>
      <c r="AG5" s="58"/>
      <c r="AH5" s="58"/>
      <c r="AI5" s="58"/>
      <c r="AJ5" s="58"/>
      <c r="AK5" s="58"/>
      <c r="AL5" s="58"/>
      <c r="AM5" s="58"/>
      <c r="AN5" s="58"/>
      <c r="AO5" s="58"/>
      <c r="AP5" s="58"/>
      <c r="AQ5" s="59"/>
      <c r="AR5" s="58"/>
      <c r="AS5" s="58"/>
      <c r="AT5" s="58"/>
      <c r="AU5" s="58"/>
      <c r="AV5" s="60"/>
      <c r="AW5" s="60"/>
      <c r="AX5" s="60"/>
      <c r="AY5" s="60"/>
      <c r="AZ5" s="60"/>
      <c r="BA5" s="8"/>
      <c r="BB5" s="38"/>
      <c r="BC5" s="38"/>
      <c r="BD5" s="38"/>
      <c r="BE5" s="61"/>
      <c r="BF5" s="61"/>
      <c r="BG5" s="61"/>
      <c r="BH5" s="61"/>
      <c r="BI5" s="61"/>
      <c r="BJ5" s="61"/>
      <c r="BK5" s="61"/>
      <c r="BL5" s="61"/>
      <c r="BM5" s="61"/>
      <c r="BN5" s="61"/>
      <c r="BO5" s="61"/>
      <c r="BP5" s="61"/>
      <c r="BQ5" s="61"/>
      <c r="BR5" s="61"/>
      <c r="BS5" s="61"/>
      <c r="BT5" s="61"/>
      <c r="BU5" s="61"/>
      <c r="BV5" s="61"/>
      <c r="BW5" s="62"/>
      <c r="BX5" s="62"/>
      <c r="BY5" s="62"/>
      <c r="BZ5" s="62"/>
      <c r="CA5" s="62"/>
      <c r="CH5" s="13"/>
      <c r="CI5" s="53" t="n">
        <v>1996</v>
      </c>
      <c r="CJ5" s="54" t="n">
        <v>251199988.676488</v>
      </c>
      <c r="CK5" s="54" t="n">
        <v>280167136.445746</v>
      </c>
      <c r="CL5" s="54" t="n">
        <v>274502346.767011</v>
      </c>
      <c r="CM5" s="54" t="n">
        <v>282729559.355978</v>
      </c>
      <c r="CN5" s="55" t="n">
        <v>272149757.811306</v>
      </c>
      <c r="CO5" s="63"/>
      <c r="CP5" s="63"/>
      <c r="CQ5" s="13"/>
      <c r="CT5" s="1" t="s">
        <v>22</v>
      </c>
      <c r="DI5" s="64"/>
      <c r="DJ5" s="64"/>
      <c r="DK5" s="64"/>
      <c r="DL5" s="63"/>
      <c r="DM5" s="65"/>
      <c r="DN5" s="66"/>
      <c r="DO5" s="67" t="s">
        <v>23</v>
      </c>
      <c r="DP5" s="67"/>
      <c r="DQ5" s="67"/>
      <c r="DR5" s="67"/>
      <c r="DS5" s="66"/>
      <c r="DT5" s="68" t="s">
        <v>24</v>
      </c>
      <c r="DU5" s="68" t="s">
        <v>25</v>
      </c>
      <c r="DV5" s="68"/>
      <c r="DW5" s="69" t="s">
        <v>26</v>
      </c>
      <c r="DX5" s="70"/>
      <c r="DY5" s="45"/>
      <c r="DZ5" s="45"/>
      <c r="EA5" s="45"/>
      <c r="EB5" s="46"/>
      <c r="EC5" s="45"/>
      <c r="ED5" s="45"/>
      <c r="EE5" s="45"/>
      <c r="EF5" s="45"/>
      <c r="EG5" s="45"/>
      <c r="EH5" s="45"/>
      <c r="EI5" s="45"/>
      <c r="EJ5" s="31" t="n">
        <v>1953</v>
      </c>
      <c r="EK5" s="32" t="n">
        <v>1083.71</v>
      </c>
      <c r="EL5" s="33" t="n">
        <v>834.711</v>
      </c>
      <c r="EU5" s="71" t="s">
        <v>27</v>
      </c>
      <c r="EW5" s="72" t="s">
        <v>28</v>
      </c>
    </row>
    <row r="6" customFormat="false" ht="12.75" hidden="false" customHeight="true" outlineLevel="0" collapsed="false">
      <c r="AA6" s="73"/>
      <c r="AB6" s="74"/>
      <c r="AC6" s="74"/>
      <c r="AD6" s="74"/>
      <c r="AE6" s="75"/>
      <c r="AF6" s="75"/>
      <c r="AG6" s="75"/>
      <c r="AH6" s="75"/>
      <c r="AI6" s="75"/>
      <c r="AJ6" s="75"/>
      <c r="AK6" s="75"/>
      <c r="AL6" s="75"/>
      <c r="AM6" s="75"/>
      <c r="AN6" s="75"/>
      <c r="AO6" s="75"/>
      <c r="AP6" s="75"/>
      <c r="AQ6" s="76"/>
      <c r="AR6" s="75"/>
      <c r="AS6" s="75"/>
      <c r="AT6" s="75"/>
      <c r="AU6" s="77"/>
      <c r="AV6" s="78"/>
      <c r="AW6" s="78"/>
      <c r="AX6" s="78"/>
      <c r="AY6" s="78"/>
      <c r="AZ6" s="78"/>
      <c r="BA6" s="79"/>
      <c r="BB6" s="73"/>
      <c r="BC6" s="74"/>
      <c r="BD6" s="74"/>
      <c r="BE6" s="74"/>
      <c r="BF6" s="75"/>
      <c r="BG6" s="75"/>
      <c r="BH6" s="75"/>
      <c r="BI6" s="75"/>
      <c r="BJ6" s="75"/>
      <c r="BK6" s="75"/>
      <c r="BL6" s="75"/>
      <c r="BM6" s="75"/>
      <c r="BN6" s="75"/>
      <c r="BO6" s="75"/>
      <c r="BP6" s="75"/>
      <c r="BQ6" s="75"/>
      <c r="BR6" s="75"/>
      <c r="BS6" s="75"/>
      <c r="BT6" s="75"/>
      <c r="BU6" s="75"/>
      <c r="BV6" s="77"/>
      <c r="BW6" s="80"/>
      <c r="BX6" s="81"/>
      <c r="BY6" s="81"/>
      <c r="BZ6" s="81"/>
      <c r="CA6" s="81"/>
      <c r="CH6" s="13"/>
      <c r="CI6" s="53" t="n">
        <v>1997</v>
      </c>
      <c r="CJ6" s="54" t="n">
        <f aca="false">IVA!AQ262*1000</f>
        <v>271260000</v>
      </c>
      <c r="CK6" s="54" t="n">
        <f aca="false">IVA!AR262*1000</f>
        <v>299872538.771224</v>
      </c>
      <c r="CL6" s="54" t="n">
        <f aca="false">IVA!AS262*1000</f>
        <v>298264991.508642</v>
      </c>
      <c r="CM6" s="54" t="n">
        <f aca="false">IVA!AT262*1000</f>
        <v>302037522.729126</v>
      </c>
      <c r="CN6" s="55" t="n">
        <f aca="false">IVA!AU262*1000</f>
        <v>292858877.329543</v>
      </c>
      <c r="CO6" s="63"/>
      <c r="CP6" s="63"/>
      <c r="CQ6" s="13"/>
      <c r="CT6" s="1" t="s">
        <v>29</v>
      </c>
      <c r="DI6" s="82" t="n">
        <v>2013</v>
      </c>
      <c r="DJ6" s="82" t="s">
        <v>30</v>
      </c>
      <c r="DK6" s="83" t="n">
        <f aca="false">213190375353/1000</f>
        <v>213190375.353</v>
      </c>
      <c r="DL6" s="84"/>
      <c r="DM6" s="85" t="s">
        <v>31</v>
      </c>
      <c r="DN6" s="86" t="s">
        <v>32</v>
      </c>
      <c r="DO6" s="86" t="s">
        <v>33</v>
      </c>
      <c r="DP6" s="86" t="s">
        <v>34</v>
      </c>
      <c r="DQ6" s="86" t="s">
        <v>35</v>
      </c>
      <c r="DR6" s="86" t="s">
        <v>36</v>
      </c>
      <c r="DS6" s="86" t="s">
        <v>37</v>
      </c>
      <c r="DT6" s="86" t="s">
        <v>38</v>
      </c>
      <c r="DU6" s="86" t="s">
        <v>39</v>
      </c>
      <c r="DV6" s="86" t="s">
        <v>37</v>
      </c>
      <c r="DW6" s="87" t="s">
        <v>40</v>
      </c>
      <c r="DX6" s="88"/>
      <c r="DY6" s="30" t="s">
        <v>41</v>
      </c>
      <c r="DZ6" s="30"/>
      <c r="EA6" s="30"/>
      <c r="EB6" s="30"/>
      <c r="EC6" s="30"/>
      <c r="ED6" s="30"/>
      <c r="EE6" s="30"/>
      <c r="EF6" s="30"/>
      <c r="EG6" s="30"/>
      <c r="EH6" s="30"/>
      <c r="EI6" s="30"/>
      <c r="EJ6" s="31" t="n">
        <v>1954</v>
      </c>
      <c r="EK6" s="32" t="n">
        <v>1130.962</v>
      </c>
      <c r="EL6" s="33" t="n">
        <v>873.441</v>
      </c>
      <c r="EN6" s="71" t="s">
        <v>27</v>
      </c>
      <c r="EP6" s="72" t="s">
        <v>28</v>
      </c>
      <c r="EU6" s="89" t="s">
        <v>42</v>
      </c>
    </row>
    <row r="7" customFormat="false" ht="12.75" hidden="false" customHeight="true" outlineLevel="0" collapsed="false">
      <c r="AA7" s="90" t="s">
        <v>31</v>
      </c>
      <c r="AB7" s="90"/>
      <c r="AC7" s="90"/>
      <c r="AD7" s="90"/>
      <c r="AE7" s="91" t="s">
        <v>43</v>
      </c>
      <c r="AF7" s="91" t="s">
        <v>44</v>
      </c>
      <c r="AG7" s="91" t="s">
        <v>45</v>
      </c>
      <c r="AH7" s="91" t="s">
        <v>46</v>
      </c>
      <c r="AI7" s="91" t="s">
        <v>47</v>
      </c>
      <c r="AJ7" s="91" t="s">
        <v>48</v>
      </c>
      <c r="AK7" s="91" t="s">
        <v>49</v>
      </c>
      <c r="AL7" s="91" t="s">
        <v>50</v>
      </c>
      <c r="AM7" s="91" t="s">
        <v>51</v>
      </c>
      <c r="AN7" s="91" t="s">
        <v>52</v>
      </c>
      <c r="AO7" s="91" t="s">
        <v>53</v>
      </c>
      <c r="AP7" s="91" t="s">
        <v>54</v>
      </c>
      <c r="AQ7" s="92" t="s">
        <v>10</v>
      </c>
      <c r="AR7" s="91" t="s">
        <v>55</v>
      </c>
      <c r="AS7" s="91" t="s">
        <v>56</v>
      </c>
      <c r="AT7" s="91" t="s">
        <v>57</v>
      </c>
      <c r="AU7" s="93" t="s">
        <v>37</v>
      </c>
      <c r="AV7" s="94" t="s">
        <v>58</v>
      </c>
      <c r="AW7" s="94" t="s">
        <v>59</v>
      </c>
      <c r="AX7" s="94" t="s">
        <v>60</v>
      </c>
      <c r="AY7" s="94" t="s">
        <v>61</v>
      </c>
      <c r="AZ7" s="94" t="s">
        <v>62</v>
      </c>
      <c r="BA7" s="95" t="s">
        <v>63</v>
      </c>
      <c r="BB7" s="90" t="s">
        <v>31</v>
      </c>
      <c r="BC7" s="90"/>
      <c r="BD7" s="90"/>
      <c r="BE7" s="90"/>
      <c r="BF7" s="91" t="s">
        <v>43</v>
      </c>
      <c r="BG7" s="91" t="s">
        <v>44</v>
      </c>
      <c r="BH7" s="91" t="s">
        <v>45</v>
      </c>
      <c r="BI7" s="91" t="s">
        <v>46</v>
      </c>
      <c r="BJ7" s="91" t="s">
        <v>47</v>
      </c>
      <c r="BK7" s="91" t="s">
        <v>48</v>
      </c>
      <c r="BL7" s="91" t="s">
        <v>49</v>
      </c>
      <c r="BM7" s="91" t="s">
        <v>50</v>
      </c>
      <c r="BN7" s="91" t="s">
        <v>51</v>
      </c>
      <c r="BO7" s="91" t="s">
        <v>52</v>
      </c>
      <c r="BP7" s="91" t="s">
        <v>53</v>
      </c>
      <c r="BQ7" s="91" t="s">
        <v>54</v>
      </c>
      <c r="BR7" s="91" t="s">
        <v>10</v>
      </c>
      <c r="BS7" s="91" t="s">
        <v>55</v>
      </c>
      <c r="BT7" s="91" t="s">
        <v>56</v>
      </c>
      <c r="BU7" s="91" t="s">
        <v>57</v>
      </c>
      <c r="BV7" s="93" t="s">
        <v>37</v>
      </c>
      <c r="BW7" s="96" t="s">
        <v>58</v>
      </c>
      <c r="BX7" s="97" t="s">
        <v>59</v>
      </c>
      <c r="BY7" s="97" t="s">
        <v>60</v>
      </c>
      <c r="BZ7" s="97" t="s">
        <v>61</v>
      </c>
      <c r="CA7" s="97" t="s">
        <v>62</v>
      </c>
      <c r="CH7" s="13"/>
      <c r="CI7" s="53" t="n">
        <v>1998</v>
      </c>
      <c r="CJ7" s="54" t="n">
        <f aca="false">IVA!AQ263*1000</f>
        <v>282764000</v>
      </c>
      <c r="CK7" s="54" t="n">
        <f aca="false">IVA!AR263*1000</f>
        <v>312129111.033039</v>
      </c>
      <c r="CL7" s="54" t="n">
        <f aca="false">IVA!AS263*1000</f>
        <v>305474768.316651</v>
      </c>
      <c r="CM7" s="54" t="n">
        <f aca="false">IVA!AT263*1000</f>
        <v>295425322.568576</v>
      </c>
      <c r="CN7" s="55" t="n">
        <f aca="false">IVA!AU263*1000</f>
        <v>298948358.554208</v>
      </c>
      <c r="CO7" s="63"/>
      <c r="CP7" s="63"/>
      <c r="CQ7" s="13"/>
      <c r="CU7" s="17"/>
      <c r="CV7" s="17"/>
      <c r="CW7" s="17"/>
      <c r="CX7" s="17"/>
      <c r="CY7" s="17"/>
      <c r="CZ7" s="17"/>
      <c r="DA7" s="17"/>
      <c r="DB7" s="98" t="n">
        <v>241722702625</v>
      </c>
      <c r="DC7" s="98" t="n">
        <v>201515996203</v>
      </c>
      <c r="DD7" s="17"/>
      <c r="DE7" s="17"/>
      <c r="DF7" s="17"/>
      <c r="DG7" s="17"/>
      <c r="DH7" s="17"/>
      <c r="DI7" s="99" t="n">
        <v>2012</v>
      </c>
      <c r="DJ7" s="99" t="s">
        <v>64</v>
      </c>
      <c r="DK7" s="100" t="n">
        <f aca="false">176445.6*1000</f>
        <v>176445600</v>
      </c>
      <c r="DL7" s="84"/>
      <c r="DM7" s="101"/>
      <c r="DN7" s="102"/>
      <c r="DO7" s="86" t="s">
        <v>65</v>
      </c>
      <c r="DP7" s="86" t="s">
        <v>66</v>
      </c>
      <c r="DQ7" s="86" t="s">
        <v>67</v>
      </c>
      <c r="DR7" s="86" t="s">
        <v>68</v>
      </c>
      <c r="DS7" s="102"/>
      <c r="DT7" s="102"/>
      <c r="DU7" s="102"/>
      <c r="DV7" s="102"/>
      <c r="DW7" s="103" t="s">
        <v>69</v>
      </c>
      <c r="DX7" s="70"/>
      <c r="DY7" s="45"/>
      <c r="DZ7" s="45"/>
      <c r="EA7" s="45"/>
      <c r="EB7" s="46"/>
      <c r="EC7" s="45"/>
      <c r="ED7" s="45"/>
      <c r="EE7" s="45"/>
      <c r="EF7" s="45"/>
      <c r="EG7" s="45"/>
      <c r="EH7" s="45"/>
      <c r="EI7" s="45"/>
      <c r="EJ7" s="31" t="n">
        <v>1955</v>
      </c>
      <c r="EK7" s="32" t="n">
        <v>1179.566</v>
      </c>
      <c r="EL7" s="33" t="n">
        <v>912.202</v>
      </c>
      <c r="EN7" s="89" t="s">
        <v>70</v>
      </c>
      <c r="EV7" s="104" t="s">
        <v>71</v>
      </c>
    </row>
    <row r="8" customFormat="false" ht="12.75" hidden="false" customHeight="true" outlineLevel="0" collapsed="false">
      <c r="AA8" s="105"/>
      <c r="AB8" s="106"/>
      <c r="AC8" s="106"/>
      <c r="AD8" s="107"/>
      <c r="AE8" s="108"/>
      <c r="AF8" s="108"/>
      <c r="AG8" s="108"/>
      <c r="AH8" s="108"/>
      <c r="AI8" s="108"/>
      <c r="AJ8" s="108"/>
      <c r="AK8" s="108"/>
      <c r="AL8" s="108"/>
      <c r="AM8" s="108"/>
      <c r="AN8" s="108"/>
      <c r="AO8" s="108"/>
      <c r="AP8" s="108"/>
      <c r="AQ8" s="109"/>
      <c r="AR8" s="108"/>
      <c r="AS8" s="108"/>
      <c r="AT8" s="108"/>
      <c r="AU8" s="110"/>
      <c r="AV8" s="111"/>
      <c r="AW8" s="111"/>
      <c r="AX8" s="111"/>
      <c r="AY8" s="111"/>
      <c r="AZ8" s="111"/>
      <c r="BA8" s="112"/>
      <c r="BB8" s="105"/>
      <c r="BC8" s="106"/>
      <c r="BD8" s="106"/>
      <c r="BE8" s="107"/>
      <c r="BF8" s="108"/>
      <c r="BG8" s="108"/>
      <c r="BH8" s="108"/>
      <c r="BI8" s="108"/>
      <c r="BJ8" s="108"/>
      <c r="BK8" s="108"/>
      <c r="BL8" s="108"/>
      <c r="BM8" s="108"/>
      <c r="BN8" s="108"/>
      <c r="BO8" s="108"/>
      <c r="BP8" s="108"/>
      <c r="BQ8" s="108"/>
      <c r="BR8" s="108"/>
      <c r="BS8" s="108"/>
      <c r="BT8" s="108"/>
      <c r="BU8" s="108"/>
      <c r="BV8" s="110"/>
      <c r="BW8" s="113"/>
      <c r="BX8" s="114"/>
      <c r="BY8" s="113"/>
      <c r="BZ8" s="113"/>
      <c r="CA8" s="113"/>
      <c r="CH8" s="13"/>
      <c r="CI8" s="53" t="n">
        <v>1999</v>
      </c>
      <c r="CJ8" s="54" t="n">
        <f aca="false">IVA!AQ264*1000</f>
        <v>270746000</v>
      </c>
      <c r="CK8" s="54" t="n">
        <f aca="false">IVA!AR264*1000</f>
        <v>288829855.936148</v>
      </c>
      <c r="CL8" s="54" t="n">
        <f aca="false">IVA!AS264*1000</f>
        <v>285087021.390668</v>
      </c>
      <c r="CM8" s="54" t="n">
        <f aca="false">IVA!AT264*1000</f>
        <v>289428828.976948</v>
      </c>
      <c r="CN8" s="55" t="n">
        <f aca="false">IVA!AU264*1000</f>
        <v>283523023.980675</v>
      </c>
      <c r="CO8" s="63"/>
      <c r="CP8" s="63"/>
      <c r="CQ8" s="13"/>
      <c r="CU8" s="17"/>
      <c r="CV8" s="17"/>
      <c r="CW8" s="17"/>
      <c r="CX8" s="18" t="s">
        <v>72</v>
      </c>
      <c r="CY8" s="17"/>
      <c r="CZ8" s="17"/>
      <c r="DA8" s="17"/>
      <c r="DB8" s="17"/>
      <c r="DC8" s="17"/>
      <c r="DD8" s="17"/>
      <c r="DE8" s="17"/>
      <c r="DF8" s="17"/>
      <c r="DG8" s="17"/>
      <c r="DH8" s="17"/>
      <c r="DI8" s="115"/>
      <c r="DJ8" s="116" t="s">
        <v>73</v>
      </c>
      <c r="DK8" s="100" t="n">
        <f aca="false">174216541543/1000</f>
        <v>174216541.543</v>
      </c>
      <c r="DL8" s="84"/>
      <c r="DM8" s="117" t="s">
        <v>74</v>
      </c>
      <c r="DN8" s="118" t="n">
        <v>1993</v>
      </c>
      <c r="DO8" s="119" t="n">
        <v>202700</v>
      </c>
      <c r="DP8" s="119" t="n">
        <v>0</v>
      </c>
      <c r="DQ8" s="119" t="n">
        <v>0</v>
      </c>
      <c r="DR8" s="119" t="n">
        <v>12933400</v>
      </c>
      <c r="DS8" s="119" t="n">
        <v>13136100</v>
      </c>
      <c r="DT8" s="119"/>
      <c r="DU8" s="119" t="n">
        <v>0</v>
      </c>
      <c r="DV8" s="119" t="n">
        <v>13136100</v>
      </c>
      <c r="DW8" s="120"/>
      <c r="DX8" s="121"/>
      <c r="DY8" s="30" t="s">
        <v>75</v>
      </c>
      <c r="DZ8" s="30"/>
      <c r="EA8" s="30"/>
      <c r="EB8" s="30"/>
      <c r="EC8" s="30"/>
      <c r="ED8" s="30"/>
      <c r="EE8" s="30"/>
      <c r="EF8" s="30"/>
      <c r="EG8" s="30"/>
      <c r="EH8" s="30"/>
      <c r="EI8" s="30"/>
      <c r="EJ8" s="31" t="n">
        <v>1956</v>
      </c>
      <c r="EK8" s="32" t="n">
        <v>1234.545</v>
      </c>
      <c r="EL8" s="33" t="n">
        <v>957.069</v>
      </c>
      <c r="EP8" s="104" t="s">
        <v>76</v>
      </c>
      <c r="EW8" s="122" t="s">
        <v>77</v>
      </c>
      <c r="FA8" s="1" t="s">
        <v>78</v>
      </c>
      <c r="FB8" s="1" t="s">
        <v>78</v>
      </c>
    </row>
    <row r="9" customFormat="false" ht="12.75" hidden="false" customHeight="true" outlineLevel="0" collapsed="false">
      <c r="AA9" s="123" t="n">
        <v>1996</v>
      </c>
      <c r="AB9" s="123" t="s">
        <v>79</v>
      </c>
      <c r="AC9" s="124"/>
      <c r="AD9" s="125"/>
      <c r="AE9" s="126" t="n">
        <v>1503978</v>
      </c>
      <c r="AF9" s="126" t="n">
        <v>1477463</v>
      </c>
      <c r="AG9" s="126" t="n">
        <v>1524720</v>
      </c>
      <c r="AH9" s="126" t="n">
        <v>1439097</v>
      </c>
      <c r="AI9" s="126" t="n">
        <v>1530813</v>
      </c>
      <c r="AJ9" s="126" t="n">
        <v>1600866</v>
      </c>
      <c r="AK9" s="126" t="n">
        <v>1570017</v>
      </c>
      <c r="AL9" s="126" t="n">
        <v>1618198</v>
      </c>
      <c r="AM9" s="126" t="n">
        <v>1383158</v>
      </c>
      <c r="AN9" s="126" t="n">
        <v>1758421</v>
      </c>
      <c r="AO9" s="126" t="n">
        <v>1599548</v>
      </c>
      <c r="AP9" s="126" t="n">
        <v>1459126</v>
      </c>
      <c r="AQ9" s="127" t="n">
        <f aca="false">IVA!AE9+IVA!AF9+IVA!AG9</f>
        <v>4506161</v>
      </c>
      <c r="AR9" s="128" t="n">
        <f aca="false">IVA!AH9+IVA!AI9+IVA!AJ9</f>
        <v>4570776</v>
      </c>
      <c r="AS9" s="128" t="n">
        <f aca="false">IVA!AK9+IVA!AL9+IVA!AM9</f>
        <v>4571373</v>
      </c>
      <c r="AT9" s="128" t="n">
        <f aca="false">IVA!AN9+IVA!AO9+IVA!AP9</f>
        <v>4817095</v>
      </c>
      <c r="AU9" s="129" t="n">
        <f aca="false">IVA!AQ9+IVA!AR9+IVA!AS9+IVA!AT9</f>
        <v>18465405</v>
      </c>
      <c r="AV9" s="130"/>
      <c r="AW9" s="130"/>
      <c r="AX9" s="130"/>
      <c r="AY9" s="130"/>
      <c r="AZ9" s="131"/>
      <c r="BA9" s="132" t="n">
        <v>1996</v>
      </c>
      <c r="BB9" s="133" t="s">
        <v>80</v>
      </c>
      <c r="BC9" s="133"/>
      <c r="BD9" s="133"/>
      <c r="BE9" s="133"/>
      <c r="BF9" s="134" t="n">
        <f aca="false">0.89*IVA!AE9</f>
        <v>1338540.42</v>
      </c>
      <c r="BG9" s="134" t="n">
        <f aca="false">0.89*IVA!AF9</f>
        <v>1314942.07</v>
      </c>
      <c r="BH9" s="134" t="n">
        <f aca="false">0.89*IVA!AG9</f>
        <v>1357000.8</v>
      </c>
      <c r="BI9" s="134" t="n">
        <f aca="false">0.89*IVA!AH9</f>
        <v>1280796.33</v>
      </c>
      <c r="BJ9" s="134" t="n">
        <f aca="false">0.89*IVA!AI9</f>
        <v>1362423.57</v>
      </c>
      <c r="BK9" s="134" t="n">
        <f aca="false">0.89*IVA!AJ9</f>
        <v>1424770.74</v>
      </c>
      <c r="BL9" s="134" t="n">
        <f aca="false">0.89*IVA!AK9</f>
        <v>1397315.13</v>
      </c>
      <c r="BM9" s="134" t="n">
        <f aca="false">0.89*IVA!AL9</f>
        <v>1440196.22</v>
      </c>
      <c r="BN9" s="134" t="n">
        <f aca="false">0.89*IVA!AM9</f>
        <v>1231010.62</v>
      </c>
      <c r="BO9" s="134" t="n">
        <f aca="false">0.89*IVA!AN9</f>
        <v>1564994.69</v>
      </c>
      <c r="BP9" s="134" t="n">
        <f aca="false">0.89*IVA!AO9</f>
        <v>1423597.72</v>
      </c>
      <c r="BQ9" s="134" t="n">
        <f aca="false">0.89*IVA!AP9</f>
        <v>1298622.14</v>
      </c>
      <c r="BR9" s="135" t="n">
        <f aca="false">0.89*IVA!AQ9</f>
        <v>4010483.29</v>
      </c>
      <c r="BS9" s="135" t="n">
        <f aca="false">0.89*IVA!AR9</f>
        <v>4067990.64</v>
      </c>
      <c r="BT9" s="135" t="n">
        <f aca="false">0.89*IVA!AS9</f>
        <v>4068521.97</v>
      </c>
      <c r="BU9" s="136" t="n">
        <f aca="false">0.89*IVA!AT9</f>
        <v>4287214.55</v>
      </c>
      <c r="BV9" s="137" t="n">
        <f aca="false">0.89*IVA!AU9</f>
        <v>16434210.45</v>
      </c>
      <c r="BW9" s="138"/>
      <c r="BX9" s="139"/>
      <c r="BY9" s="138"/>
      <c r="BZ9" s="138"/>
      <c r="CA9" s="140"/>
      <c r="CH9" s="13"/>
      <c r="CI9" s="53" t="n">
        <v>2000</v>
      </c>
      <c r="CJ9" s="54" t="n">
        <f aca="false">IVA!AQ265*1000</f>
        <v>270444000</v>
      </c>
      <c r="CK9" s="54" t="n">
        <f aca="false">IVA!AR265*1000</f>
        <v>291796004.446794</v>
      </c>
      <c r="CL9" s="54" t="n">
        <f aca="false">IVA!AS265*1000</f>
        <v>287495642.393761</v>
      </c>
      <c r="CM9" s="54" t="n">
        <f aca="false">IVA!AT265*1000</f>
        <v>287079012.355848</v>
      </c>
      <c r="CN9" s="55" t="n">
        <f aca="false">IVA!AU265*1000</f>
        <v>284203739.314622</v>
      </c>
      <c r="CO9" s="63"/>
      <c r="CP9" s="63"/>
      <c r="CQ9" s="13"/>
      <c r="CU9" s="141"/>
      <c r="CV9" s="74"/>
      <c r="CW9" s="142" t="s">
        <v>81</v>
      </c>
      <c r="CX9" s="74"/>
      <c r="CY9" s="74"/>
      <c r="CZ9" s="74"/>
      <c r="DA9" s="74"/>
      <c r="DB9" s="143"/>
      <c r="DC9" s="144" t="s">
        <v>82</v>
      </c>
      <c r="DD9" s="74"/>
      <c r="DE9" s="74"/>
      <c r="DF9" s="143"/>
      <c r="DG9" s="145" t="s">
        <v>83</v>
      </c>
      <c r="DH9" s="146"/>
      <c r="DI9" s="99" t="n">
        <v>2011</v>
      </c>
      <c r="DJ9" s="99" t="s">
        <v>84</v>
      </c>
      <c r="DK9" s="147" t="n">
        <f aca="false">147897.7*1000</f>
        <v>147897700</v>
      </c>
      <c r="DL9" s="148"/>
      <c r="DM9" s="149" t="s">
        <v>74</v>
      </c>
      <c r="DN9" s="150" t="n">
        <v>1994</v>
      </c>
      <c r="DO9" s="151" t="n">
        <v>228200</v>
      </c>
      <c r="DP9" s="151" t="n">
        <v>62300</v>
      </c>
      <c r="DQ9" s="151" t="n">
        <v>0</v>
      </c>
      <c r="DR9" s="151" t="n">
        <v>15710300</v>
      </c>
      <c r="DS9" s="151" t="n">
        <v>16000800</v>
      </c>
      <c r="DT9" s="151"/>
      <c r="DU9" s="151" t="n">
        <v>0</v>
      </c>
      <c r="DV9" s="151" t="n">
        <v>16000800</v>
      </c>
      <c r="DW9" s="152"/>
      <c r="DX9" s="153"/>
      <c r="DY9" s="45"/>
      <c r="DZ9" s="45"/>
      <c r="EA9" s="45"/>
      <c r="EB9" s="45"/>
      <c r="EC9" s="45"/>
      <c r="ED9" s="45"/>
      <c r="EE9" s="45"/>
      <c r="EF9" s="45"/>
      <c r="EG9" s="45"/>
      <c r="EH9" s="57" t="s">
        <v>85</v>
      </c>
      <c r="EI9" s="57"/>
      <c r="EJ9" s="31" t="n">
        <v>1957</v>
      </c>
      <c r="EK9" s="32" t="n">
        <v>1290.489</v>
      </c>
      <c r="EL9" s="33" t="n">
        <v>1001.607</v>
      </c>
      <c r="EN9" s="154" t="s">
        <v>86</v>
      </c>
      <c r="EO9" s="122" t="s">
        <v>87</v>
      </c>
      <c r="EP9" s="122" t="s">
        <v>88</v>
      </c>
      <c r="EQ9" s="122" t="s">
        <v>89</v>
      </c>
      <c r="ER9" s="122" t="s">
        <v>90</v>
      </c>
      <c r="EV9" s="104" t="s">
        <v>91</v>
      </c>
      <c r="EX9" s="122" t="s">
        <v>92</v>
      </c>
      <c r="FA9" s="1" t="s">
        <v>93</v>
      </c>
      <c r="FB9" s="1" t="s">
        <v>93</v>
      </c>
    </row>
    <row r="10" customFormat="false" ht="12.75" hidden="false" customHeight="true" outlineLevel="0" collapsed="false">
      <c r="AA10" s="123" t="n">
        <v>1997</v>
      </c>
      <c r="AB10" s="123" t="s">
        <v>79</v>
      </c>
      <c r="AC10" s="124"/>
      <c r="AD10" s="125"/>
      <c r="AE10" s="126" t="n">
        <v>1754567</v>
      </c>
      <c r="AF10" s="126" t="n">
        <v>1533071</v>
      </c>
      <c r="AG10" s="126" t="n">
        <v>1520830</v>
      </c>
      <c r="AH10" s="126" t="n">
        <v>1554670</v>
      </c>
      <c r="AI10" s="126" t="n">
        <v>1699774</v>
      </c>
      <c r="AJ10" s="126" t="n">
        <v>1630440</v>
      </c>
      <c r="AK10" s="126" t="n">
        <v>1604393</v>
      </c>
      <c r="AL10" s="126" t="n">
        <v>1702040</v>
      </c>
      <c r="AM10" s="126" t="n">
        <v>1874730</v>
      </c>
      <c r="AN10" s="126" t="n">
        <v>1586598</v>
      </c>
      <c r="AO10" s="126" t="n">
        <v>1664550</v>
      </c>
      <c r="AP10" s="126" t="n">
        <v>1694701</v>
      </c>
      <c r="AQ10" s="127" t="n">
        <f aca="false">IVA!AE10+IVA!AF10+IVA!AG10</f>
        <v>4808468</v>
      </c>
      <c r="AR10" s="155" t="n">
        <f aca="false">IVA!AH10+IVA!AI10+IVA!AJ10</f>
        <v>4884884</v>
      </c>
      <c r="AS10" s="155" t="n">
        <f aca="false">IVA!AK10+IVA!AL10+IVA!AM10</f>
        <v>5181163</v>
      </c>
      <c r="AT10" s="155" t="n">
        <f aca="false">IVA!AN10+IVA!AO10+IVA!AP10</f>
        <v>4945849</v>
      </c>
      <c r="AU10" s="156" t="n">
        <f aca="false">IVA!AQ10+IVA!AR10+IVA!AS10+IVA!AT10</f>
        <v>19820364</v>
      </c>
      <c r="AV10" s="130" t="n">
        <f aca="false">IVA!AQ10/IVA!CJ6</f>
        <v>0.0177264174592642</v>
      </c>
      <c r="AW10" s="130" t="n">
        <f aca="false">IVA!AR10/IVA!CK6</f>
        <v>0.0162898677552023</v>
      </c>
      <c r="AX10" s="130" t="n">
        <f aca="false">IVA!AS10/IVA!CL6</f>
        <v>0.0173710061438769</v>
      </c>
      <c r="AY10" s="130" t="n">
        <f aca="false">IVA!AT10/IVA!CM6</f>
        <v>0.0163749488981061</v>
      </c>
      <c r="AZ10" s="157" t="n">
        <f aca="false">IVA!AU10/IVA!CN6</f>
        <v>0.0676788908730839</v>
      </c>
      <c r="BA10" s="132" t="n">
        <v>1997</v>
      </c>
      <c r="BB10" s="133" t="s">
        <v>80</v>
      </c>
      <c r="BC10" s="133"/>
      <c r="BD10" s="133"/>
      <c r="BE10" s="133"/>
      <c r="BF10" s="134" t="n">
        <f aca="false">0.89*IVA!AE10</f>
        <v>1561564.63</v>
      </c>
      <c r="BG10" s="134" t="n">
        <f aca="false">0.89*IVA!AF10</f>
        <v>1364433.19</v>
      </c>
      <c r="BH10" s="134" t="n">
        <f aca="false">0.89*IVA!AG10</f>
        <v>1353538.7</v>
      </c>
      <c r="BI10" s="134" t="n">
        <f aca="false">0.89*IVA!AH10</f>
        <v>1383656.3</v>
      </c>
      <c r="BJ10" s="134" t="n">
        <f aca="false">0.89*IVA!AI10</f>
        <v>1512798.86</v>
      </c>
      <c r="BK10" s="134" t="n">
        <f aca="false">0.89*IVA!AJ10</f>
        <v>1451091.6</v>
      </c>
      <c r="BL10" s="134" t="n">
        <f aca="false">0.89*IVA!AK10</f>
        <v>1427909.77</v>
      </c>
      <c r="BM10" s="134" t="n">
        <f aca="false">0.89*IVA!AL10</f>
        <v>1514815.6</v>
      </c>
      <c r="BN10" s="134" t="n">
        <f aca="false">0.89*IVA!AM10</f>
        <v>1668509.7</v>
      </c>
      <c r="BO10" s="134" t="n">
        <f aca="false">0.89*IVA!AN10</f>
        <v>1412072.22</v>
      </c>
      <c r="BP10" s="134" t="n">
        <f aca="false">0.89*IVA!AO10</f>
        <v>1481449.5</v>
      </c>
      <c r="BQ10" s="134" t="n">
        <f aca="false">0.89*IVA!AP10</f>
        <v>1508283.89</v>
      </c>
      <c r="BR10" s="135" t="n">
        <f aca="false">0.89*IVA!AQ10</f>
        <v>4279536.52</v>
      </c>
      <c r="BS10" s="135" t="n">
        <f aca="false">0.89*IVA!AR10</f>
        <v>4347546.76</v>
      </c>
      <c r="BT10" s="135" t="n">
        <f aca="false">0.89*IVA!AS10</f>
        <v>4611235.07</v>
      </c>
      <c r="BU10" s="136" t="n">
        <f aca="false">0.89*IVA!AT10</f>
        <v>4401805.61</v>
      </c>
      <c r="BV10" s="137" t="n">
        <f aca="false">0.89*IVA!AU10</f>
        <v>17640123.96</v>
      </c>
      <c r="BW10" s="138" t="n">
        <f aca="false">IVA!BR10/IVA!CJ6</f>
        <v>0.0157765115387451</v>
      </c>
      <c r="BX10" s="139" t="n">
        <f aca="false">IVA!BS10/IVA!CK6</f>
        <v>0.01449798230213</v>
      </c>
      <c r="BY10" s="138" t="n">
        <f aca="false">IVA!BT10/IVA!CL6</f>
        <v>0.0154601954680504</v>
      </c>
      <c r="BZ10" s="138" t="n">
        <f aca="false">IVA!BU10/IVA!CM6</f>
        <v>0.0145737045193144</v>
      </c>
      <c r="CA10" s="158" t="n">
        <f aca="false">IVA!BV10/IVA!CN6</f>
        <v>0.0602342128770447</v>
      </c>
      <c r="CH10" s="13"/>
      <c r="CI10" s="53" t="n">
        <v>2001</v>
      </c>
      <c r="CJ10" s="54" t="n">
        <f aca="false">IVA!AQ266*1000</f>
        <v>263331000</v>
      </c>
      <c r="CK10" s="54" t="n">
        <f aca="false">IVA!AR266*1000</f>
        <v>288026075.229806</v>
      </c>
      <c r="CL10" s="54" t="n">
        <f aca="false">IVA!AS266*1000</f>
        <v>271367227.09886</v>
      </c>
      <c r="CM10" s="54" t="n">
        <f aca="false">IVA!AT266*1000</f>
        <v>252062944.321547</v>
      </c>
      <c r="CN10" s="55" t="n">
        <f aca="false">IVA!AU266*1000</f>
        <v>268696708.834292</v>
      </c>
      <c r="CO10" s="63"/>
      <c r="CP10" s="63"/>
      <c r="CQ10" s="13"/>
      <c r="CU10" s="159"/>
      <c r="CV10" s="160" t="s">
        <v>94</v>
      </c>
      <c r="CW10" s="161"/>
      <c r="CX10" s="162" t="s">
        <v>95</v>
      </c>
      <c r="CY10" s="163" t="s">
        <v>96</v>
      </c>
      <c r="CZ10" s="163" t="s">
        <v>97</v>
      </c>
      <c r="DA10" s="163" t="s">
        <v>98</v>
      </c>
      <c r="DB10" s="163" t="s">
        <v>37</v>
      </c>
      <c r="DC10" s="159" t="s">
        <v>99</v>
      </c>
      <c r="DD10" s="164" t="s">
        <v>100</v>
      </c>
      <c r="DE10" s="164" t="s">
        <v>99</v>
      </c>
      <c r="DF10" s="163" t="s">
        <v>101</v>
      </c>
      <c r="DG10" s="165"/>
      <c r="DH10" s="162"/>
      <c r="DI10" s="115"/>
      <c r="DJ10" s="116" t="s">
        <v>102</v>
      </c>
      <c r="DK10" s="166" t="n">
        <f aca="false">146418.1*1000</f>
        <v>146418100</v>
      </c>
      <c r="DL10" s="148"/>
      <c r="DM10" s="117" t="s">
        <v>74</v>
      </c>
      <c r="DN10" s="118" t="n">
        <v>1995</v>
      </c>
      <c r="DO10" s="119" t="n">
        <v>0</v>
      </c>
      <c r="DP10" s="119" t="n">
        <v>416400</v>
      </c>
      <c r="DQ10" s="119" t="n">
        <v>0</v>
      </c>
      <c r="DR10" s="119" t="n">
        <v>15211400</v>
      </c>
      <c r="DS10" s="119" t="n">
        <v>15627800</v>
      </c>
      <c r="DT10" s="119" t="n">
        <v>0</v>
      </c>
      <c r="DU10" s="119" t="n">
        <v>0</v>
      </c>
      <c r="DV10" s="119" t="n">
        <v>15627800</v>
      </c>
      <c r="DW10" s="120"/>
      <c r="DX10" s="121"/>
      <c r="DY10" s="167"/>
      <c r="DZ10" s="168"/>
      <c r="EA10" s="169"/>
      <c r="EB10" s="169"/>
      <c r="EC10" s="169"/>
      <c r="ED10" s="169"/>
      <c r="EE10" s="169"/>
      <c r="EF10" s="169"/>
      <c r="EG10" s="170"/>
      <c r="EH10" s="171"/>
      <c r="EI10" s="172"/>
      <c r="EJ10" s="31" t="n">
        <v>1958</v>
      </c>
      <c r="EK10" s="32" t="n">
        <v>1347.531</v>
      </c>
      <c r="EL10" s="33" t="n">
        <v>1046.264</v>
      </c>
      <c r="EN10" s="122" t="s">
        <v>103</v>
      </c>
      <c r="EO10" s="173" t="s">
        <v>104</v>
      </c>
      <c r="EP10" s="174" t="n">
        <v>955.012</v>
      </c>
      <c r="EQ10" s="122" t="s">
        <v>105</v>
      </c>
      <c r="ER10" s="174" t="n">
        <v>4.742</v>
      </c>
      <c r="EU10" s="154" t="s">
        <v>86</v>
      </c>
      <c r="EW10" s="122" t="s">
        <v>106</v>
      </c>
      <c r="EX10" s="122" t="s">
        <v>107</v>
      </c>
      <c r="EY10" s="122" t="s">
        <v>87</v>
      </c>
      <c r="FA10" s="1" t="s">
        <v>108</v>
      </c>
      <c r="FB10" s="1" t="s">
        <v>109</v>
      </c>
    </row>
    <row r="11" customFormat="false" ht="12.75" hidden="false" customHeight="true" outlineLevel="0" collapsed="false">
      <c r="AA11" s="123" t="n">
        <v>1998</v>
      </c>
      <c r="AB11" s="123" t="s">
        <v>79</v>
      </c>
      <c r="AC11" s="124"/>
      <c r="AD11" s="125"/>
      <c r="AE11" s="126" t="n">
        <v>1706199</v>
      </c>
      <c r="AF11" s="126" t="n">
        <v>1660199</v>
      </c>
      <c r="AG11" s="126" t="n">
        <v>1791267</v>
      </c>
      <c r="AH11" s="126" t="n">
        <v>1545623</v>
      </c>
      <c r="AI11" s="126" t="n">
        <v>1682528</v>
      </c>
      <c r="AJ11" s="126" t="n">
        <v>1843422</v>
      </c>
      <c r="AK11" s="126" t="n">
        <v>1732800</v>
      </c>
      <c r="AL11" s="126" t="n">
        <v>1711940</v>
      </c>
      <c r="AM11" s="126" t="n">
        <v>1825987</v>
      </c>
      <c r="AN11" s="126" t="n">
        <v>1590844</v>
      </c>
      <c r="AO11" s="126" t="n">
        <v>1717257</v>
      </c>
      <c r="AP11" s="126" t="n">
        <v>1537680</v>
      </c>
      <c r="AQ11" s="155" t="n">
        <f aca="false">IVA!AE11+IVA!AF11+IVA!AG11</f>
        <v>5157665</v>
      </c>
      <c r="AR11" s="155" t="n">
        <f aca="false">IVA!AH11+IVA!AI11+IVA!AJ11</f>
        <v>5071573</v>
      </c>
      <c r="AS11" s="155" t="n">
        <f aca="false">IVA!AK11+IVA!AL11+IVA!AM11</f>
        <v>5270727</v>
      </c>
      <c r="AT11" s="155" t="n">
        <f aca="false">IVA!AN11+IVA!AO11+IVA!AP11</f>
        <v>4845781</v>
      </c>
      <c r="AU11" s="156" t="n">
        <f aca="false">IVA!AQ11+IVA!AR11+IVA!AS11+IVA!AT11</f>
        <v>20345746</v>
      </c>
      <c r="AV11" s="130" t="n">
        <f aca="false">IVA!AQ11/IVA!CJ7</f>
        <v>0.0182401755527578</v>
      </c>
      <c r="AW11" s="130" t="n">
        <f aca="false">IVA!AR11/IVA!CK7</f>
        <v>0.0162483178298072</v>
      </c>
      <c r="AX11" s="130" t="n">
        <f aca="false">IVA!AS11/IVA!CL7</f>
        <v>0.0172542139209888</v>
      </c>
      <c r="AY11" s="130" t="n">
        <f aca="false">IVA!AT11/IVA!CM7</f>
        <v>0.0164027272877909</v>
      </c>
      <c r="AZ11" s="131" t="n">
        <f aca="false">IVA!AU11/IVA!CN7</f>
        <v>0.068057727757387</v>
      </c>
      <c r="BA11" s="132" t="n">
        <v>1998</v>
      </c>
      <c r="BB11" s="133" t="s">
        <v>80</v>
      </c>
      <c r="BC11" s="133"/>
      <c r="BD11" s="133"/>
      <c r="BE11" s="133"/>
      <c r="BF11" s="134" t="n">
        <f aca="false">0.89*IVA!AE11</f>
        <v>1518517.11</v>
      </c>
      <c r="BG11" s="134" t="n">
        <f aca="false">0.89*IVA!AF11</f>
        <v>1477577.11</v>
      </c>
      <c r="BH11" s="134" t="n">
        <f aca="false">0.89*IVA!AG11</f>
        <v>1594227.63</v>
      </c>
      <c r="BI11" s="134" t="n">
        <f aca="false">0.89*IVA!AH11</f>
        <v>1375604.47</v>
      </c>
      <c r="BJ11" s="134" t="n">
        <f aca="false">0.89*IVA!AI11</f>
        <v>1497449.92</v>
      </c>
      <c r="BK11" s="134" t="n">
        <f aca="false">0.89*IVA!AJ11</f>
        <v>1640645.58</v>
      </c>
      <c r="BL11" s="134" t="n">
        <f aca="false">0.89*IVA!AK11</f>
        <v>1542192</v>
      </c>
      <c r="BM11" s="134" t="n">
        <f aca="false">0.89*IVA!AL11</f>
        <v>1523626.6</v>
      </c>
      <c r="BN11" s="134" t="n">
        <f aca="false">0.89*IVA!AM11</f>
        <v>1625128.43</v>
      </c>
      <c r="BO11" s="134" t="n">
        <f aca="false">0.89*IVA!AN11</f>
        <v>1415851.16</v>
      </c>
      <c r="BP11" s="134" t="n">
        <f aca="false">0.89*IVA!AO11</f>
        <v>1528358.73</v>
      </c>
      <c r="BQ11" s="134" t="n">
        <f aca="false">0.89*IVA!AP11</f>
        <v>1368535.2</v>
      </c>
      <c r="BR11" s="175" t="n">
        <f aca="false">0.89*IVA!AQ11</f>
        <v>4590321.85</v>
      </c>
      <c r="BS11" s="175" t="n">
        <f aca="false">0.89*IVA!AR11</f>
        <v>4513699.97</v>
      </c>
      <c r="BT11" s="175" t="n">
        <f aca="false">0.89*IVA!AS11</f>
        <v>4690947.03</v>
      </c>
      <c r="BU11" s="176" t="n">
        <f aca="false">0.89*IVA!AT11</f>
        <v>4312745.09</v>
      </c>
      <c r="BV11" s="137" t="n">
        <f aca="false">0.89*IVA!AU11</f>
        <v>18107713.94</v>
      </c>
      <c r="BW11" s="138" t="n">
        <f aca="false">IVA!BR11/IVA!CJ7</f>
        <v>0.0162337562419544</v>
      </c>
      <c r="BX11" s="139" t="n">
        <f aca="false">IVA!BS11/IVA!CK7</f>
        <v>0.0144610028685284</v>
      </c>
      <c r="BY11" s="138" t="n">
        <f aca="false">IVA!BT11/IVA!CL7</f>
        <v>0.0153562503896801</v>
      </c>
      <c r="BZ11" s="138" t="n">
        <f aca="false">IVA!BU11/IVA!CM7</f>
        <v>0.0145984272861339</v>
      </c>
      <c r="CA11" s="140" t="n">
        <f aca="false">IVA!BV11/IVA!CN7</f>
        <v>0.0605713777040744</v>
      </c>
      <c r="CH11" s="13"/>
      <c r="CI11" s="53" t="n">
        <v>2002</v>
      </c>
      <c r="CJ11" s="54" t="n">
        <f aca="false">IVA!AQ267*1000</f>
        <v>237057000</v>
      </c>
      <c r="CK11" s="54" t="n">
        <f aca="false">IVA!AR267*1000</f>
        <v>339008201.679561</v>
      </c>
      <c r="CL11" s="54" t="n">
        <f aca="false">IVA!AS267*1000</f>
        <v>334006230.849009</v>
      </c>
      <c r="CM11" s="54" t="n">
        <f aca="false">IVA!AT267*1000</f>
        <v>340249423.023982</v>
      </c>
      <c r="CN11" s="55" t="n">
        <f aca="false">IVA!AU267*1000</f>
        <v>312580143.860367</v>
      </c>
      <c r="CO11" s="63"/>
      <c r="CP11" s="63"/>
      <c r="CQ11" s="13"/>
      <c r="CU11" s="159"/>
      <c r="CV11" s="162"/>
      <c r="CW11" s="161"/>
      <c r="CX11" s="162" t="s">
        <v>110</v>
      </c>
      <c r="CY11" s="163" t="s">
        <v>111</v>
      </c>
      <c r="CZ11" s="163" t="s">
        <v>112</v>
      </c>
      <c r="DA11" s="163" t="s">
        <v>113</v>
      </c>
      <c r="DB11" s="163"/>
      <c r="DC11" s="159" t="s">
        <v>114</v>
      </c>
      <c r="DD11" s="164" t="s">
        <v>115</v>
      </c>
      <c r="DE11" s="164" t="s">
        <v>116</v>
      </c>
      <c r="DF11" s="164"/>
      <c r="DG11" s="165"/>
      <c r="DH11" s="162"/>
      <c r="DI11" s="99" t="n">
        <v>2010</v>
      </c>
      <c r="DJ11" s="99" t="s">
        <v>84</v>
      </c>
      <c r="DK11" s="147" t="n">
        <v>106352500</v>
      </c>
      <c r="DL11" s="148"/>
      <c r="DM11" s="149" t="s">
        <v>74</v>
      </c>
      <c r="DN11" s="150" t="n">
        <v>1996</v>
      </c>
      <c r="DO11" s="151" t="n">
        <v>16400</v>
      </c>
      <c r="DP11" s="151" t="n">
        <v>780500</v>
      </c>
      <c r="DQ11" s="151" t="n">
        <v>0</v>
      </c>
      <c r="DR11" s="151" t="n">
        <v>14647000</v>
      </c>
      <c r="DS11" s="151" t="n">
        <v>15443900</v>
      </c>
      <c r="DT11" s="151" t="n">
        <v>0</v>
      </c>
      <c r="DU11" s="151" t="n">
        <v>0</v>
      </c>
      <c r="DV11" s="151" t="n">
        <v>15443900</v>
      </c>
      <c r="DW11" s="152"/>
      <c r="DX11" s="153"/>
      <c r="DY11" s="177" t="s">
        <v>117</v>
      </c>
      <c r="EA11" s="178" t="s">
        <v>32</v>
      </c>
      <c r="EB11" s="178" t="s">
        <v>118</v>
      </c>
      <c r="EC11" s="178" t="s">
        <v>119</v>
      </c>
      <c r="ED11" s="178" t="s">
        <v>118</v>
      </c>
      <c r="EE11" s="178" t="s">
        <v>120</v>
      </c>
      <c r="EF11" s="178" t="s">
        <v>121</v>
      </c>
      <c r="EG11" s="179" t="s">
        <v>122</v>
      </c>
      <c r="EH11" s="180" t="s">
        <v>118</v>
      </c>
      <c r="EI11" s="30"/>
      <c r="EJ11" s="31" t="n">
        <v>1959</v>
      </c>
      <c r="EK11" s="32" t="n">
        <v>1405.778</v>
      </c>
      <c r="EL11" s="33" t="n">
        <v>1091.627</v>
      </c>
      <c r="EN11" s="122" t="s">
        <v>123</v>
      </c>
      <c r="EO11" s="173" t="s">
        <v>124</v>
      </c>
      <c r="EP11" s="122" t="s">
        <v>125</v>
      </c>
      <c r="EQ11" s="122" t="s">
        <v>126</v>
      </c>
      <c r="ER11" s="174" t="n">
        <v>22.314</v>
      </c>
      <c r="EU11" s="122" t="s">
        <v>103</v>
      </c>
      <c r="EV11" s="181" t="n">
        <v>150</v>
      </c>
      <c r="EW11" s="122" t="s">
        <v>127</v>
      </c>
      <c r="EX11" s="122" t="s">
        <v>128</v>
      </c>
      <c r="EY11" s="122" t="s">
        <v>129</v>
      </c>
      <c r="FA11" s="182" t="n">
        <f aca="false">IVA!EY11*IVA!EO10*12/1000</f>
        <v>7918742.05608</v>
      </c>
      <c r="FB11" s="34" t="n">
        <f aca="false">IVA!FA11/IVA!CM4</f>
        <v>0.0300806531601198</v>
      </c>
      <c r="FC11" s="34"/>
    </row>
    <row r="12" customFormat="false" ht="12.75" hidden="false" customHeight="true" outlineLevel="0" collapsed="false">
      <c r="AA12" s="123" t="n">
        <v>1999</v>
      </c>
      <c r="AB12" s="123" t="s">
        <v>79</v>
      </c>
      <c r="AC12" s="124"/>
      <c r="AD12" s="125"/>
      <c r="AE12" s="126" t="n">
        <v>1629627</v>
      </c>
      <c r="AF12" s="126" t="n">
        <v>1465821</v>
      </c>
      <c r="AG12" s="126" t="n">
        <v>1631707</v>
      </c>
      <c r="AH12" s="126" t="n">
        <v>1468978</v>
      </c>
      <c r="AI12" s="126" t="n">
        <v>1389274</v>
      </c>
      <c r="AJ12" s="126" t="n">
        <v>1552426</v>
      </c>
      <c r="AK12" s="126" t="n">
        <v>1409236</v>
      </c>
      <c r="AL12" s="126" t="n">
        <v>1553644</v>
      </c>
      <c r="AM12" s="126" t="n">
        <v>1602550</v>
      </c>
      <c r="AN12" s="126" t="n">
        <v>1508164</v>
      </c>
      <c r="AO12" s="126" t="n">
        <v>1559006</v>
      </c>
      <c r="AP12" s="126" t="n">
        <v>1426494</v>
      </c>
      <c r="AQ12" s="155" t="n">
        <f aca="false">IVA!AE12+IVA!AF12+IVA!AG12</f>
        <v>4727155</v>
      </c>
      <c r="AR12" s="155" t="n">
        <f aca="false">IVA!AH12+IVA!AI12+IVA!AJ12</f>
        <v>4410678</v>
      </c>
      <c r="AS12" s="155" t="n">
        <f aca="false">IVA!AK12+IVA!AL12+IVA!AM12</f>
        <v>4565430</v>
      </c>
      <c r="AT12" s="155" t="n">
        <f aca="false">IVA!AN12+IVA!AO12+IVA!AP12</f>
        <v>4493664</v>
      </c>
      <c r="AU12" s="129" t="n">
        <f aca="false">IVA!AQ12+IVA!AR12+IVA!AS12+IVA!AT12</f>
        <v>18196927</v>
      </c>
      <c r="AV12" s="130" t="n">
        <f aca="false">IVA!AQ12/IVA!CJ8</f>
        <v>0.017459740864131</v>
      </c>
      <c r="AW12" s="130" t="n">
        <f aca="false">IVA!AR12/IVA!CK8</f>
        <v>0.0152708520582272</v>
      </c>
      <c r="AX12" s="130" t="n">
        <f aca="false">IVA!AS12/IVA!CL8</f>
        <v>0.0160141628956998</v>
      </c>
      <c r="AY12" s="130" t="n">
        <f aca="false">IVA!AT12/IVA!CM8</f>
        <v>0.0155259723638584</v>
      </c>
      <c r="AZ12" s="131" t="n">
        <f aca="false">IVA!AU12/IVA!CN8</f>
        <v>0.0641814789660268</v>
      </c>
      <c r="BA12" s="132" t="n">
        <v>1999</v>
      </c>
      <c r="BB12" s="133" t="s">
        <v>80</v>
      </c>
      <c r="BC12" s="133"/>
      <c r="BD12" s="133"/>
      <c r="BE12" s="133"/>
      <c r="BF12" s="134" t="n">
        <f aca="false">0.89*IVA!AE12</f>
        <v>1450368.03</v>
      </c>
      <c r="BG12" s="134" t="n">
        <f aca="false">0.89*IVA!AF12</f>
        <v>1304580.69</v>
      </c>
      <c r="BH12" s="134" t="n">
        <f aca="false">0.89*IVA!AG12</f>
        <v>1452219.23</v>
      </c>
      <c r="BI12" s="134" t="n">
        <f aca="false">0.89*IVA!AH12</f>
        <v>1307390.42</v>
      </c>
      <c r="BJ12" s="134" t="n">
        <f aca="false">0.89*IVA!AI12</f>
        <v>1236453.86</v>
      </c>
      <c r="BK12" s="134" t="n">
        <f aca="false">0.89*IVA!AJ12</f>
        <v>1381659.14</v>
      </c>
      <c r="BL12" s="134" t="n">
        <f aca="false">0.89*IVA!AK12</f>
        <v>1254220.04</v>
      </c>
      <c r="BM12" s="134" t="n">
        <f aca="false">0.89*IVA!AL12</f>
        <v>1382743.16</v>
      </c>
      <c r="BN12" s="134" t="n">
        <f aca="false">0.89*IVA!AM12</f>
        <v>1426269.5</v>
      </c>
      <c r="BO12" s="134" t="n">
        <f aca="false">0.89*IVA!AN12</f>
        <v>1342265.96</v>
      </c>
      <c r="BP12" s="134" t="n">
        <f aca="false">0.89*IVA!AO12</f>
        <v>1387515.34</v>
      </c>
      <c r="BQ12" s="134" t="n">
        <f aca="false">0.89*IVA!AP12</f>
        <v>1269579.66</v>
      </c>
      <c r="BR12" s="175" t="n">
        <f aca="false">0.89*IVA!AQ12</f>
        <v>4207167.95</v>
      </c>
      <c r="BS12" s="175" t="n">
        <f aca="false">0.89*IVA!AR12</f>
        <v>3925503.42</v>
      </c>
      <c r="BT12" s="175" t="n">
        <f aca="false">0.89*IVA!AS12</f>
        <v>4063232.7</v>
      </c>
      <c r="BU12" s="176" t="n">
        <f aca="false">0.89*IVA!AT12</f>
        <v>3999360.96</v>
      </c>
      <c r="BV12" s="137" t="n">
        <f aca="false">0.89*IVA!AU12</f>
        <v>16195265.03</v>
      </c>
      <c r="BW12" s="138" t="n">
        <f aca="false">IVA!BR12/IVA!CJ8</f>
        <v>0.0155391693690766</v>
      </c>
      <c r="BX12" s="139" t="n">
        <f aca="false">IVA!BS12/IVA!CK8</f>
        <v>0.0135910583318222</v>
      </c>
      <c r="BY12" s="138" t="n">
        <f aca="false">IVA!BT12/IVA!CL8</f>
        <v>0.0142526049771728</v>
      </c>
      <c r="BZ12" s="138" t="n">
        <f aca="false">IVA!BU12/IVA!CM8</f>
        <v>0.013818115403834</v>
      </c>
      <c r="CA12" s="140" t="n">
        <f aca="false">IVA!BV12/IVA!CN8</f>
        <v>0.0571215162797638</v>
      </c>
      <c r="CH12" s="13"/>
      <c r="CI12" s="53" t="n">
        <v>2003</v>
      </c>
      <c r="CJ12" s="54" t="n">
        <f aca="false">IVA!AQ268*1000</f>
        <v>327362000</v>
      </c>
      <c r="CK12" s="54" t="n">
        <f aca="false">IVA!AR268*1000</f>
        <v>399118836.681335</v>
      </c>
      <c r="CL12" s="54" t="n">
        <f aca="false">IVA!AS268*1000</f>
        <v>377887242.827428</v>
      </c>
      <c r="CM12" s="54" t="n">
        <f aca="false">IVA!AT268*1000</f>
        <v>399269599.017877</v>
      </c>
      <c r="CN12" s="55" t="n">
        <f aca="false">IVA!AU268*1000</f>
        <v>375909361.396649</v>
      </c>
      <c r="CO12" s="63"/>
      <c r="CP12" s="63"/>
      <c r="CQ12" s="13"/>
      <c r="CU12" s="183" t="s">
        <v>130</v>
      </c>
      <c r="CV12" s="184" t="s">
        <v>131</v>
      </c>
      <c r="CW12" s="185" t="s">
        <v>132</v>
      </c>
      <c r="CX12" s="106"/>
      <c r="CY12" s="186" t="s">
        <v>133</v>
      </c>
      <c r="CZ12" s="186"/>
      <c r="DA12" s="186"/>
      <c r="DB12" s="186"/>
      <c r="DC12" s="187" t="s">
        <v>112</v>
      </c>
      <c r="DD12" s="184"/>
      <c r="DE12" s="184"/>
      <c r="DF12" s="184"/>
      <c r="DG12" s="188"/>
      <c r="DH12" s="162"/>
      <c r="DI12" s="115"/>
      <c r="DJ12" s="116" t="s">
        <v>102</v>
      </c>
      <c r="DK12" s="166" t="n">
        <v>106003600</v>
      </c>
      <c r="DL12" s="148"/>
      <c r="DM12" s="117" t="s">
        <v>74</v>
      </c>
      <c r="DN12" s="118" t="n">
        <v>1997</v>
      </c>
      <c r="DO12" s="119" t="n">
        <v>69500</v>
      </c>
      <c r="DP12" s="119" t="n">
        <v>884000</v>
      </c>
      <c r="DQ12" s="119" t="n">
        <v>0</v>
      </c>
      <c r="DR12" s="119" t="n">
        <v>14253100</v>
      </c>
      <c r="DS12" s="119" t="n">
        <v>15206600</v>
      </c>
      <c r="DT12" s="119" t="n">
        <v>1992700</v>
      </c>
      <c r="DU12" s="119" t="n">
        <v>0</v>
      </c>
      <c r="DV12" s="119" t="n">
        <v>17199300</v>
      </c>
      <c r="DW12" s="120"/>
      <c r="DX12" s="121"/>
      <c r="DY12" s="189" t="s">
        <v>134</v>
      </c>
      <c r="EA12" s="178"/>
      <c r="EB12" s="179" t="s">
        <v>135</v>
      </c>
      <c r="EC12" s="190"/>
      <c r="ED12" s="179" t="s">
        <v>136</v>
      </c>
      <c r="EE12" s="191"/>
      <c r="EF12" s="191"/>
      <c r="EG12" s="190"/>
      <c r="EH12" s="180" t="s">
        <v>137</v>
      </c>
      <c r="EI12" s="30"/>
      <c r="EJ12" s="31" t="n">
        <v>1960</v>
      </c>
      <c r="EK12" s="32" t="n">
        <v>1465.495</v>
      </c>
      <c r="EL12" s="33" t="n">
        <v>1138.227</v>
      </c>
      <c r="EN12" s="122" t="s">
        <v>138</v>
      </c>
      <c r="EO12" s="173" t="s">
        <v>139</v>
      </c>
      <c r="EP12" s="122" t="s">
        <v>140</v>
      </c>
      <c r="EQ12" s="122" t="s">
        <v>141</v>
      </c>
      <c r="ER12" s="174" t="n">
        <v>117.458</v>
      </c>
      <c r="EU12" s="122" t="s">
        <v>123</v>
      </c>
      <c r="EV12" s="181" t="n">
        <v>150</v>
      </c>
      <c r="EW12" s="122" t="s">
        <v>142</v>
      </c>
      <c r="EX12" s="122" t="s">
        <v>143</v>
      </c>
      <c r="EY12" s="122" t="s">
        <v>144</v>
      </c>
      <c r="FA12" s="182" t="n">
        <f aca="false">IVA!EY12*IVA!EO11*12/1000</f>
        <v>8940623.62536</v>
      </c>
      <c r="FB12" s="34" t="n">
        <f aca="false">IVA!FA12/IVA!CM5</f>
        <v>0.0316225287717549</v>
      </c>
      <c r="FC12" s="34"/>
    </row>
    <row r="13" customFormat="false" ht="12.75" hidden="false" customHeight="true" outlineLevel="0" collapsed="false">
      <c r="AA13" s="123" t="n">
        <v>2000</v>
      </c>
      <c r="AB13" s="123" t="s">
        <v>79</v>
      </c>
      <c r="AC13" s="124"/>
      <c r="AD13" s="125"/>
      <c r="AE13" s="192" t="n">
        <v>1650628.23989</v>
      </c>
      <c r="AF13" s="192" t="n">
        <v>1378905.37456</v>
      </c>
      <c r="AG13" s="192" t="n">
        <v>1615341.46246</v>
      </c>
      <c r="AH13" s="192" t="n">
        <v>1559602.85232</v>
      </c>
      <c r="AI13" s="192" t="n">
        <v>1547778.15034</v>
      </c>
      <c r="AJ13" s="192" t="n">
        <v>1709946.85396</v>
      </c>
      <c r="AK13" s="192" t="n">
        <v>1630323.8277</v>
      </c>
      <c r="AL13" s="192" t="n">
        <v>1640054.8654</v>
      </c>
      <c r="AM13" s="192" t="n">
        <v>1666929.4891</v>
      </c>
      <c r="AN13" s="192" t="n">
        <v>1508372.8452</v>
      </c>
      <c r="AO13" s="192" t="n">
        <v>1557909.5529</v>
      </c>
      <c r="AP13" s="192" t="n">
        <v>1542749.92184</v>
      </c>
      <c r="AQ13" s="128" t="n">
        <f aca="false">IVA!AE13+IVA!AF13+IVA!AG13</f>
        <v>4644875.07691</v>
      </c>
      <c r="AR13" s="128" t="n">
        <f aca="false">IVA!AH13+IVA!AI13+IVA!AJ13</f>
        <v>4817327.85662</v>
      </c>
      <c r="AS13" s="128" t="n">
        <f aca="false">IVA!AK13+IVA!AL13+IVA!AM13</f>
        <v>4937308.1822</v>
      </c>
      <c r="AT13" s="128" t="n">
        <f aca="false">IVA!AN13+IVA!AO13+IVA!AP13</f>
        <v>4609032.31994</v>
      </c>
      <c r="AU13" s="129" t="n">
        <f aca="false">IVA!AQ13+IVA!AR13+IVA!AS13+IVA!AT13</f>
        <v>19008543.43567</v>
      </c>
      <c r="AV13" s="130" t="n">
        <f aca="false">IVA!AQ13/IVA!CJ9</f>
        <v>0.017174997696048</v>
      </c>
      <c r="AW13" s="130" t="n">
        <f aca="false">IVA!AR13/IVA!CK9</f>
        <v>0.0165092317345229</v>
      </c>
      <c r="AX13" s="130" t="n">
        <f aca="false">IVA!AS13/IVA!CL9</f>
        <v>0.0171735061480958</v>
      </c>
      <c r="AY13" s="130" t="n">
        <f aca="false">IVA!AT13/IVA!CM9</f>
        <v>0.0160549260711086</v>
      </c>
      <c r="AZ13" s="131" t="n">
        <f aca="false">IVA!AU13/IVA!CN9</f>
        <v>0.0668835092793307</v>
      </c>
      <c r="BA13" s="132" t="n">
        <v>2000</v>
      </c>
      <c r="BB13" s="133" t="s">
        <v>80</v>
      </c>
      <c r="BC13" s="133"/>
      <c r="BD13" s="133"/>
      <c r="BE13" s="133"/>
      <c r="BF13" s="134" t="n">
        <f aca="false">0.89*IVA!AE13</f>
        <v>1469059.1335021</v>
      </c>
      <c r="BG13" s="134" t="n">
        <f aca="false">0.89*IVA!AF13</f>
        <v>1227225.7833584</v>
      </c>
      <c r="BH13" s="134" t="n">
        <f aca="false">0.89*IVA!AG13</f>
        <v>1437653.9015894</v>
      </c>
      <c r="BI13" s="134" t="n">
        <f aca="false">0.89*IVA!AH13</f>
        <v>1388046.5385648</v>
      </c>
      <c r="BJ13" s="134" t="n">
        <f aca="false">0.89*IVA!AI13</f>
        <v>1377522.5538026</v>
      </c>
      <c r="BK13" s="134" t="n">
        <f aca="false">0.89*IVA!AJ13</f>
        <v>1521852.7000244</v>
      </c>
      <c r="BL13" s="134" t="n">
        <f aca="false">0.89*IVA!AK13</f>
        <v>1450988.206653</v>
      </c>
      <c r="BM13" s="134" t="n">
        <f aca="false">0.89*IVA!AL13</f>
        <v>1459648.830206</v>
      </c>
      <c r="BN13" s="134" t="n">
        <f aca="false">0.89*IVA!AM13</f>
        <v>1483567.245299</v>
      </c>
      <c r="BO13" s="134" t="n">
        <f aca="false">0.89*IVA!AN13</f>
        <v>1342451.832228</v>
      </c>
      <c r="BP13" s="134" t="n">
        <f aca="false">0.89*IVA!AO13</f>
        <v>1386539.502081</v>
      </c>
      <c r="BQ13" s="134" t="n">
        <f aca="false">0.89*IVA!AP13</f>
        <v>1373047.4304376</v>
      </c>
      <c r="BR13" s="175" t="n">
        <f aca="false">0.89*IVA!AQ13</f>
        <v>4133938.8184499</v>
      </c>
      <c r="BS13" s="175" t="n">
        <f aca="false">0.89*IVA!AR13</f>
        <v>4287421.7923918</v>
      </c>
      <c r="BT13" s="175" t="n">
        <f aca="false">0.89*IVA!AS13</f>
        <v>4394204.282158</v>
      </c>
      <c r="BU13" s="176" t="n">
        <f aca="false">0.89*IVA!AT13</f>
        <v>4102038.7647466</v>
      </c>
      <c r="BV13" s="137" t="n">
        <f aca="false">0.89*IVA!AU13</f>
        <v>16917603.6577463</v>
      </c>
      <c r="BW13" s="138" t="n">
        <f aca="false">IVA!BR13/IVA!CJ9</f>
        <v>0.0152857479494827</v>
      </c>
      <c r="BX13" s="139" t="n">
        <f aca="false">IVA!BS13/IVA!CK9</f>
        <v>0.0146932162437254</v>
      </c>
      <c r="BY13" s="138" t="n">
        <f aca="false">IVA!BT13/IVA!CL9</f>
        <v>0.0152844204718052</v>
      </c>
      <c r="BZ13" s="138" t="n">
        <f aca="false">IVA!BU13/IVA!CM9</f>
        <v>0.0142888842032866</v>
      </c>
      <c r="CA13" s="140" t="n">
        <f aca="false">IVA!BV13/IVA!CN9</f>
        <v>0.0595263232586043</v>
      </c>
      <c r="CH13" s="13"/>
      <c r="CI13" s="53" t="n">
        <v>2004</v>
      </c>
      <c r="CJ13" s="54" t="n">
        <f aca="false">IVA!AQ269*1000</f>
        <v>392817000</v>
      </c>
      <c r="CK13" s="54" t="n">
        <f aca="false">IVA!AR269*1000</f>
        <v>474213080.063172</v>
      </c>
      <c r="CL13" s="54" t="n">
        <f aca="false">IVA!AS269*1000</f>
        <v>452079663.840847</v>
      </c>
      <c r="CM13" s="54" t="n">
        <f aca="false">IVA!AT269*1000</f>
        <v>471463528.666443</v>
      </c>
      <c r="CN13" s="55" t="n">
        <f aca="false">IVA!AU269*1000</f>
        <v>447643425.641841</v>
      </c>
      <c r="CO13" s="63"/>
      <c r="CP13" s="63"/>
      <c r="CQ13" s="13"/>
      <c r="CU13" s="193"/>
      <c r="CV13" s="164"/>
      <c r="CW13" s="161"/>
      <c r="CX13" s="162"/>
      <c r="CY13" s="164"/>
      <c r="CZ13" s="164"/>
      <c r="DA13" s="164"/>
      <c r="DB13" s="164"/>
      <c r="DC13" s="159"/>
      <c r="DD13" s="164"/>
      <c r="DE13" s="164"/>
      <c r="DF13" s="164"/>
      <c r="DG13" s="165"/>
      <c r="DH13" s="162"/>
      <c r="DI13" s="99" t="n">
        <v>2009</v>
      </c>
      <c r="DJ13" s="99" t="s">
        <v>84</v>
      </c>
      <c r="DK13" s="147" t="n">
        <v>85429500</v>
      </c>
      <c r="DL13" s="148"/>
      <c r="DM13" s="149" t="s">
        <v>74</v>
      </c>
      <c r="DN13" s="150" t="n">
        <v>1998</v>
      </c>
      <c r="DO13" s="151" t="n">
        <v>46800</v>
      </c>
      <c r="DP13" s="151" t="n">
        <v>913500</v>
      </c>
      <c r="DQ13" s="151" t="n">
        <v>800</v>
      </c>
      <c r="DR13" s="151" t="n">
        <v>14543000</v>
      </c>
      <c r="DS13" s="151" t="n">
        <v>17480600</v>
      </c>
      <c r="DT13" s="151" t="n">
        <v>1976500</v>
      </c>
      <c r="DU13" s="151" t="n">
        <v>0</v>
      </c>
      <c r="DV13" s="151" t="n">
        <v>17480600</v>
      </c>
      <c r="DW13" s="152"/>
      <c r="DX13" s="153"/>
      <c r="DY13" s="189" t="s">
        <v>145</v>
      </c>
      <c r="EA13" s="194"/>
      <c r="EB13" s="194"/>
      <c r="EC13" s="194"/>
      <c r="ED13" s="194"/>
      <c r="EE13" s="194"/>
      <c r="EF13" s="194"/>
      <c r="EG13" s="195"/>
      <c r="EH13" s="196"/>
      <c r="EI13" s="172"/>
      <c r="EJ13" s="31" t="n">
        <v>1961</v>
      </c>
      <c r="EK13" s="32" t="n">
        <v>1523.551</v>
      </c>
      <c r="EL13" s="33" t="n">
        <v>1184.013</v>
      </c>
      <c r="EN13" s="122" t="s">
        <v>146</v>
      </c>
      <c r="EO13" s="173" t="s">
        <v>147</v>
      </c>
      <c r="EP13" s="122" t="s">
        <v>148</v>
      </c>
      <c r="EQ13" s="122" t="s">
        <v>149</v>
      </c>
      <c r="ER13" s="174" t="n">
        <v>62.409</v>
      </c>
      <c r="EU13" s="122" t="s">
        <v>138</v>
      </c>
      <c r="EV13" s="181" t="n">
        <v>150</v>
      </c>
      <c r="EW13" s="122" t="s">
        <v>150</v>
      </c>
      <c r="EX13" s="122" t="s">
        <v>151</v>
      </c>
      <c r="EY13" s="122" t="s">
        <v>152</v>
      </c>
      <c r="FA13" s="182" t="n">
        <f aca="false">IVA!EY13*IVA!EO12*12/1000</f>
        <v>12603455.93664</v>
      </c>
      <c r="FB13" s="34" t="n">
        <f aca="false">IVA!FA13/IVA!CM6</f>
        <v>0.0417281131918933</v>
      </c>
      <c r="FC13" s="34"/>
    </row>
    <row r="14" customFormat="false" ht="12.75" hidden="false" customHeight="true" outlineLevel="0" collapsed="false">
      <c r="AA14" s="123" t="n">
        <v>2001</v>
      </c>
      <c r="AB14" s="123" t="s">
        <v>79</v>
      </c>
      <c r="AC14" s="124"/>
      <c r="AD14" s="125"/>
      <c r="AE14" s="192" t="n">
        <v>1630627.35194</v>
      </c>
      <c r="AF14" s="192" t="n">
        <v>1348256.0668</v>
      </c>
      <c r="AG14" s="192" t="n">
        <v>1423564.79709</v>
      </c>
      <c r="AH14" s="192" t="n">
        <v>1413483.50442</v>
      </c>
      <c r="AI14" s="192" t="n">
        <v>1382851.24556</v>
      </c>
      <c r="AJ14" s="192" t="n">
        <v>1393490.70769</v>
      </c>
      <c r="AK14" s="192" t="n">
        <v>1264755.58527</v>
      </c>
      <c r="AL14" s="192" t="n">
        <v>1356638.67408</v>
      </c>
      <c r="AM14" s="192" t="n">
        <v>1142905.25692</v>
      </c>
      <c r="AN14" s="192" t="n">
        <v>1079026.15787</v>
      </c>
      <c r="AO14" s="192" t="n">
        <v>1090223.88605</v>
      </c>
      <c r="AP14" s="192" t="n">
        <v>825183.50613</v>
      </c>
      <c r="AQ14" s="128" t="n">
        <f aca="false">IVA!AE14+IVA!AF14+IVA!AG14</f>
        <v>4402448.21583</v>
      </c>
      <c r="AR14" s="128" t="n">
        <f aca="false">IVA!AH14+IVA!AI14+IVA!AJ14</f>
        <v>4189825.45767</v>
      </c>
      <c r="AS14" s="128" t="n">
        <f aca="false">IVA!AK14+IVA!AL14+IVA!AM14</f>
        <v>3764299.51627</v>
      </c>
      <c r="AT14" s="128" t="n">
        <f aca="false">IVA!AN14+IVA!AO14+IVA!AP14</f>
        <v>2994433.55005</v>
      </c>
      <c r="AU14" s="129" t="n">
        <f aca="false">IVA!AQ14+IVA!AR14+IVA!AS14+IVA!AT14</f>
        <v>15351006.73982</v>
      </c>
      <c r="AV14" s="130" t="n">
        <f aca="false">IVA!AQ14/IVA!CJ10</f>
        <v>0.0167183059185208</v>
      </c>
      <c r="AW14" s="130" t="n">
        <f aca="false">IVA!AR14/IVA!CK10</f>
        <v>0.0145466880188784</v>
      </c>
      <c r="AX14" s="130" t="n">
        <f aca="false">IVA!AS14/IVA!CL10</f>
        <v>0.0138716069604774</v>
      </c>
      <c r="AY14" s="130" t="n">
        <f aca="false">IVA!AT14/IVA!CM10</f>
        <v>0.011879705516056</v>
      </c>
      <c r="AZ14" s="131" t="n">
        <f aca="false">IVA!AU14/IVA!CN10</f>
        <v>0.0571313538093506</v>
      </c>
      <c r="BA14" s="132" t="n">
        <v>2001</v>
      </c>
      <c r="BB14" s="133" t="s">
        <v>80</v>
      </c>
      <c r="BC14" s="133"/>
      <c r="BD14" s="133"/>
      <c r="BE14" s="133"/>
      <c r="BF14" s="134" t="n">
        <f aca="false">0.89*IVA!AE14</f>
        <v>1451258.3432266</v>
      </c>
      <c r="BG14" s="134" t="n">
        <f aca="false">0.89*IVA!AF14</f>
        <v>1199947.899452</v>
      </c>
      <c r="BH14" s="134" t="n">
        <f aca="false">0.89*IVA!AG14</f>
        <v>1266972.6694101</v>
      </c>
      <c r="BI14" s="134" t="n">
        <f aca="false">0.89*IVA!AH14</f>
        <v>1258000.3189338</v>
      </c>
      <c r="BJ14" s="134" t="n">
        <f aca="false">0.89*IVA!AI14</f>
        <v>1230737.6085484</v>
      </c>
      <c r="BK14" s="134" t="n">
        <f aca="false">0.89*IVA!AJ14</f>
        <v>1240206.7298441</v>
      </c>
      <c r="BL14" s="134" t="n">
        <f aca="false">0.89*IVA!AK14</f>
        <v>1125632.4708903</v>
      </c>
      <c r="BM14" s="134" t="n">
        <f aca="false">0.89*IVA!AL14</f>
        <v>1207408.4199312</v>
      </c>
      <c r="BN14" s="134" t="n">
        <f aca="false">0.89*IVA!AM14</f>
        <v>1017185.6786588</v>
      </c>
      <c r="BO14" s="134" t="n">
        <f aca="false">0.89*IVA!AN14</f>
        <v>960333.2805043</v>
      </c>
      <c r="BP14" s="134" t="n">
        <f aca="false">0.89*IVA!AO14</f>
        <v>970299.2585845</v>
      </c>
      <c r="BQ14" s="134" t="n">
        <f aca="false">0.89*IVA!AP14</f>
        <v>734413.3204557</v>
      </c>
      <c r="BR14" s="175" t="n">
        <f aca="false">0.89*IVA!AQ14</f>
        <v>3918178.9120887</v>
      </c>
      <c r="BS14" s="175" t="n">
        <f aca="false">0.89*IVA!AR14</f>
        <v>3728944.6573263</v>
      </c>
      <c r="BT14" s="175" t="n">
        <f aca="false">0.89*IVA!AS14</f>
        <v>3350226.5694803</v>
      </c>
      <c r="BU14" s="176" t="n">
        <f aca="false">0.89*IVA!AT14</f>
        <v>2665045.8595445</v>
      </c>
      <c r="BV14" s="137" t="n">
        <f aca="false">0.89*IVA!AU14</f>
        <v>13662395.9984398</v>
      </c>
      <c r="BW14" s="138" t="n">
        <f aca="false">IVA!BR14/IVA!CJ10</f>
        <v>0.0148792922674835</v>
      </c>
      <c r="BX14" s="139" t="n">
        <f aca="false">IVA!BS14/IVA!CK10</f>
        <v>0.0129465523368018</v>
      </c>
      <c r="BY14" s="138" t="n">
        <f aca="false">IVA!BT14/IVA!CL10</f>
        <v>0.0123457301948249</v>
      </c>
      <c r="BZ14" s="138" t="n">
        <f aca="false">IVA!BU14/IVA!CM10</f>
        <v>0.0105729379092898</v>
      </c>
      <c r="CA14" s="140" t="n">
        <f aca="false">IVA!BV14/IVA!CN10</f>
        <v>0.050846904890322</v>
      </c>
      <c r="CH14" s="13"/>
      <c r="CI14" s="53" t="n">
        <v>2005</v>
      </c>
      <c r="CJ14" s="54" t="n">
        <f aca="false">IVA!AQ270*1000</f>
        <v>456764000</v>
      </c>
      <c r="CK14" s="54" t="n">
        <f aca="false">IVA!AR270*1000</f>
        <v>552411829.673941</v>
      </c>
      <c r="CL14" s="54" t="n">
        <f aca="false">IVA!AS270*1000</f>
        <v>544228166.865614</v>
      </c>
      <c r="CM14" s="54" t="n">
        <f aca="false">IVA!AT270*1000</f>
        <v>574351154.07466</v>
      </c>
      <c r="CN14" s="55" t="n">
        <f aca="false">IVA!AU270*1000</f>
        <v>531938722.296405</v>
      </c>
      <c r="CO14" s="63"/>
      <c r="CP14" s="63"/>
      <c r="CQ14" s="13"/>
      <c r="CS14" s="197" t="s">
        <v>153</v>
      </c>
      <c r="CT14" s="197" t="s">
        <v>154</v>
      </c>
      <c r="CU14" s="198"/>
      <c r="CV14" s="199"/>
      <c r="CW14" s="200"/>
      <c r="CX14" s="148"/>
      <c r="CY14" s="199"/>
      <c r="CZ14" s="199"/>
      <c r="DA14" s="199"/>
      <c r="DB14" s="199"/>
      <c r="DC14" s="201"/>
      <c r="DD14" s="199"/>
      <c r="DE14" s="199"/>
      <c r="DF14" s="199"/>
      <c r="DG14" s="202"/>
      <c r="DH14" s="148"/>
      <c r="DI14" s="115"/>
      <c r="DJ14" s="116" t="s">
        <v>102</v>
      </c>
      <c r="DK14" s="166" t="n">
        <v>83091700</v>
      </c>
      <c r="DL14" s="148"/>
      <c r="DM14" s="117" t="s">
        <v>74</v>
      </c>
      <c r="DN14" s="118" t="n">
        <v>1999</v>
      </c>
      <c r="DO14" s="119" t="n">
        <v>44300</v>
      </c>
      <c r="DP14" s="119" t="n">
        <v>957600</v>
      </c>
      <c r="DQ14" s="119" t="n">
        <v>500</v>
      </c>
      <c r="DR14" s="119" t="n">
        <v>14414600</v>
      </c>
      <c r="DS14" s="119" t="n">
        <v>17436400</v>
      </c>
      <c r="DT14" s="119" t="n">
        <v>2019400</v>
      </c>
      <c r="DU14" s="119" t="n">
        <v>0</v>
      </c>
      <c r="DV14" s="119" t="n">
        <v>17436400</v>
      </c>
      <c r="DW14" s="120"/>
      <c r="DX14" s="121"/>
      <c r="DY14" s="203"/>
      <c r="DZ14" s="204"/>
      <c r="EA14" s="205"/>
      <c r="EB14" s="205"/>
      <c r="EC14" s="205"/>
      <c r="ED14" s="205"/>
      <c r="EE14" s="205"/>
      <c r="EF14" s="205"/>
      <c r="EG14" s="206"/>
      <c r="EH14" s="207"/>
      <c r="EI14" s="172"/>
      <c r="EJ14" s="31" t="n">
        <v>1962</v>
      </c>
      <c r="EK14" s="32" t="n">
        <v>1581.933</v>
      </c>
      <c r="EL14" s="33" t="n">
        <v>1229.748</v>
      </c>
      <c r="EN14" s="122" t="s">
        <v>155</v>
      </c>
      <c r="EO14" s="173" t="s">
        <v>156</v>
      </c>
      <c r="EP14" s="122" t="s">
        <v>157</v>
      </c>
      <c r="EQ14" s="122" t="s">
        <v>158</v>
      </c>
      <c r="ER14" s="174" t="n">
        <v>57.977</v>
      </c>
      <c r="EU14" s="122" t="s">
        <v>146</v>
      </c>
      <c r="EV14" s="181" t="n">
        <v>150</v>
      </c>
      <c r="EW14" s="122" t="s">
        <v>159</v>
      </c>
      <c r="EX14" s="122" t="s">
        <v>160</v>
      </c>
      <c r="EY14" s="122" t="s">
        <v>161</v>
      </c>
      <c r="FA14" s="182" t="n">
        <f aca="false">IVA!EY14*IVA!EO13*12/1000</f>
        <v>12525840.0522</v>
      </c>
      <c r="FB14" s="34" t="n">
        <f aca="false">IVA!FA14/IVA!CM7</f>
        <v>0.0423993445900103</v>
      </c>
      <c r="FC14" s="34"/>
    </row>
    <row r="15" customFormat="false" ht="12.75" hidden="false" customHeight="true" outlineLevel="0" collapsed="false">
      <c r="AA15" s="123" t="n">
        <v>2002</v>
      </c>
      <c r="AB15" s="123" t="s">
        <v>79</v>
      </c>
      <c r="AC15" s="124"/>
      <c r="AD15" s="125"/>
      <c r="AE15" s="192" t="n">
        <v>1008828.40513</v>
      </c>
      <c r="AF15" s="192" t="n">
        <v>1026745.64271</v>
      </c>
      <c r="AG15" s="192" t="n">
        <v>1036153.40374</v>
      </c>
      <c r="AH15" s="192" t="n">
        <v>898808.55325</v>
      </c>
      <c r="AI15" s="192" t="n">
        <v>1510907.3894</v>
      </c>
      <c r="AJ15" s="192" t="n">
        <v>1403144.87891</v>
      </c>
      <c r="AK15" s="192" t="n">
        <v>1412876.73591</v>
      </c>
      <c r="AL15" s="192" t="n">
        <v>1364219.37824</v>
      </c>
      <c r="AM15" s="192" t="n">
        <v>1340262.68174</v>
      </c>
      <c r="AN15" s="192" t="n">
        <v>1424096.25533</v>
      </c>
      <c r="AO15" s="192" t="n">
        <v>1501747.0616</v>
      </c>
      <c r="AP15" s="192" t="n">
        <v>1314383.83006</v>
      </c>
      <c r="AQ15" s="128" t="n">
        <f aca="false">IVA!AE15+IVA!AF15+IVA!AG15</f>
        <v>3071727.45158</v>
      </c>
      <c r="AR15" s="128" t="n">
        <f aca="false">IVA!AH15+IVA!AI15+IVA!AJ15</f>
        <v>3812860.82156</v>
      </c>
      <c r="AS15" s="128" t="n">
        <f aca="false">IVA!AK15+IVA!AL15+IVA!AM15</f>
        <v>4117358.79589</v>
      </c>
      <c r="AT15" s="128" t="n">
        <f aca="false">IVA!AN15+IVA!AO15+IVA!AP15</f>
        <v>4240227.14699</v>
      </c>
      <c r="AU15" s="129" t="n">
        <f aca="false">IVA!AQ15+IVA!AR15+IVA!AS15+IVA!AT15</f>
        <v>15242174.21602</v>
      </c>
      <c r="AV15" s="130" t="n">
        <f aca="false">IVA!AQ15/IVA!CJ11</f>
        <v>0.0129577589000958</v>
      </c>
      <c r="AW15" s="130" t="n">
        <f aca="false">IVA!AR15/IVA!CK11</f>
        <v>0.01124710494516</v>
      </c>
      <c r="AX15" s="130" t="n">
        <f aca="false">IVA!AS15/IVA!CL11</f>
        <v>0.0123271915779059</v>
      </c>
      <c r="AY15" s="130" t="n">
        <f aca="false">IVA!AT15/IVA!CM11</f>
        <v>0.012462114143515</v>
      </c>
      <c r="AZ15" s="131" t="n">
        <f aca="false">IVA!AU15/IVA!CN11</f>
        <v>0.0487624518556395</v>
      </c>
      <c r="BA15" s="132" t="n">
        <v>2002</v>
      </c>
      <c r="BB15" s="133" t="s">
        <v>80</v>
      </c>
      <c r="BC15" s="133"/>
      <c r="BD15" s="133"/>
      <c r="BE15" s="133"/>
      <c r="BF15" s="134" t="n">
        <f aca="false">0.89*IVA!AE15</f>
        <v>897857.2805657</v>
      </c>
      <c r="BG15" s="134" t="n">
        <f aca="false">0.89*IVA!AF15</f>
        <v>913803.6220119</v>
      </c>
      <c r="BH15" s="134" t="n">
        <f aca="false">0.89*IVA!AG15</f>
        <v>922176.5293286</v>
      </c>
      <c r="BI15" s="134" t="n">
        <f aca="false">0.89*IVA!AH15</f>
        <v>799939.6123925</v>
      </c>
      <c r="BJ15" s="134" t="n">
        <f aca="false">0.89*IVA!AI15</f>
        <v>1344707.576566</v>
      </c>
      <c r="BK15" s="134" t="n">
        <f aca="false">0.89*IVA!AJ15</f>
        <v>1248798.9422299</v>
      </c>
      <c r="BL15" s="134" t="n">
        <f aca="false">0.89*IVA!AK15</f>
        <v>1257460.2949599</v>
      </c>
      <c r="BM15" s="134" t="n">
        <f aca="false">0.89*IVA!AL15</f>
        <v>1214155.2466336</v>
      </c>
      <c r="BN15" s="134" t="n">
        <f aca="false">0.89*IVA!AM15</f>
        <v>1192833.7867486</v>
      </c>
      <c r="BO15" s="134" t="n">
        <f aca="false">0.89*IVA!AN15</f>
        <v>1267445.6672437</v>
      </c>
      <c r="BP15" s="134" t="n">
        <f aca="false">0.89*IVA!AO15</f>
        <v>1336554.884824</v>
      </c>
      <c r="BQ15" s="134" t="n">
        <f aca="false">0.89*IVA!AP15</f>
        <v>1169801.6087534</v>
      </c>
      <c r="BR15" s="175" t="n">
        <f aca="false">0.89*IVA!AQ15</f>
        <v>2733837.4319062</v>
      </c>
      <c r="BS15" s="175" t="n">
        <f aca="false">0.89*IVA!AR15</f>
        <v>3393446.1311884</v>
      </c>
      <c r="BT15" s="175" t="n">
        <f aca="false">0.89*IVA!AS15</f>
        <v>3664449.3283421</v>
      </c>
      <c r="BU15" s="176" t="n">
        <f aca="false">0.89*IVA!AT15</f>
        <v>3773802.1608211</v>
      </c>
      <c r="BV15" s="137" t="n">
        <f aca="false">0.89*IVA!AU15</f>
        <v>13565535.0522578</v>
      </c>
      <c r="BW15" s="138" t="n">
        <f aca="false">IVA!BR15/IVA!CJ11</f>
        <v>0.0115324054210852</v>
      </c>
      <c r="BX15" s="139" t="n">
        <f aca="false">IVA!BS15/IVA!CK11</f>
        <v>0.0100099234011924</v>
      </c>
      <c r="BY15" s="138" t="n">
        <f aca="false">IVA!BT15/IVA!CL11</f>
        <v>0.0109712005043363</v>
      </c>
      <c r="BZ15" s="138" t="n">
        <f aca="false">IVA!BU15/IVA!CM11</f>
        <v>0.0110912815877284</v>
      </c>
      <c r="CA15" s="140" t="n">
        <f aca="false">IVA!BV15/IVA!CN11</f>
        <v>0.0433985821515191</v>
      </c>
      <c r="CH15" s="13"/>
      <c r="CI15" s="53" t="n">
        <v>2006</v>
      </c>
      <c r="CJ15" s="54" t="n">
        <f aca="false">IVA!AQ271*1000</f>
        <v>567994000</v>
      </c>
      <c r="CK15" s="54" t="n">
        <f aca="false">IVA!AR271*1000</f>
        <v>678278475.284539</v>
      </c>
      <c r="CL15" s="54" t="n">
        <f aca="false">IVA!AS271*1000</f>
        <v>668197229.164594</v>
      </c>
      <c r="CM15" s="54" t="n">
        <f aca="false">IVA!AT271*1000</f>
        <v>703285920.838499</v>
      </c>
      <c r="CN15" s="55" t="n">
        <f aca="false">IVA!AU271*1000</f>
        <v>654438985.248647</v>
      </c>
      <c r="CO15" s="63"/>
      <c r="CP15" s="63"/>
      <c r="CQ15" s="13"/>
      <c r="CS15" s="99" t="n">
        <v>2012</v>
      </c>
      <c r="CT15" s="208" t="s">
        <v>162</v>
      </c>
      <c r="CU15" s="198" t="n">
        <v>4612575</v>
      </c>
      <c r="CV15" s="199" t="n">
        <v>2565357.142</v>
      </c>
      <c r="CW15" s="200" t="n">
        <v>7177932.142</v>
      </c>
      <c r="CX15" s="148" t="n">
        <v>0</v>
      </c>
      <c r="CY15" s="209" t="n">
        <v>201515996.203</v>
      </c>
      <c r="CZ15" s="199" t="n">
        <v>0</v>
      </c>
      <c r="DA15" s="199" t="n">
        <v>39398339.361</v>
      </c>
      <c r="DB15" s="199" t="n">
        <v>248092267.706</v>
      </c>
      <c r="DC15" s="201" t="n">
        <v>1510250.365</v>
      </c>
      <c r="DD15" s="199" t="n">
        <v>0</v>
      </c>
      <c r="DE15" s="199" t="n">
        <v>0</v>
      </c>
      <c r="DF15" s="199" t="n">
        <v>1510250.365</v>
      </c>
      <c r="DG15" s="202" t="n">
        <v>249602518.071</v>
      </c>
      <c r="DH15" s="148"/>
      <c r="DI15" s="99" t="n">
        <v>2008</v>
      </c>
      <c r="DJ15" s="99" t="s">
        <v>84</v>
      </c>
      <c r="DK15" s="147" t="n">
        <v>65053700</v>
      </c>
      <c r="DL15" s="148"/>
      <c r="DM15" s="149" t="s">
        <v>74</v>
      </c>
      <c r="DN15" s="150" t="n">
        <v>2000</v>
      </c>
      <c r="DO15" s="151" t="n">
        <v>55300</v>
      </c>
      <c r="DP15" s="151" t="n">
        <v>945900</v>
      </c>
      <c r="DQ15" s="151" t="n">
        <v>800</v>
      </c>
      <c r="DR15" s="151" t="n">
        <v>14421300</v>
      </c>
      <c r="DS15" s="151" t="n">
        <v>17431300</v>
      </c>
      <c r="DT15" s="151" t="n">
        <v>2008000</v>
      </c>
      <c r="DU15" s="151" t="n">
        <v>0</v>
      </c>
      <c r="DV15" s="151" t="n">
        <v>17431300</v>
      </c>
      <c r="DW15" s="152" t="n">
        <f aca="false">IVA!CY45/IVA!DV15</f>
        <v>0.916059043215365</v>
      </c>
      <c r="DX15" s="153"/>
      <c r="DY15" s="177" t="s">
        <v>163</v>
      </c>
      <c r="DZ15" s="45"/>
      <c r="EA15" s="210" t="n">
        <v>1993</v>
      </c>
      <c r="EB15" s="211" t="n">
        <v>16840420000</v>
      </c>
      <c r="EC15" s="211" t="n">
        <v>72071431</v>
      </c>
      <c r="ED15" s="211" t="n">
        <v>16912491431</v>
      </c>
      <c r="EE15" s="211" t="n">
        <v>15622091315.48</v>
      </c>
      <c r="EF15" s="211" t="n">
        <v>15604520619.77</v>
      </c>
      <c r="EG15" s="212" t="n">
        <v>14398605300.4</v>
      </c>
      <c r="EH15" s="213" t="n">
        <v>1307970811.23</v>
      </c>
      <c r="EI15" s="214"/>
      <c r="EJ15" s="31" t="n">
        <v>1963</v>
      </c>
      <c r="EK15" s="32" t="n">
        <v>1641.371</v>
      </c>
      <c r="EL15" s="33" t="n">
        <v>1276.008</v>
      </c>
      <c r="EN15" s="122" t="s">
        <v>164</v>
      </c>
      <c r="EO15" s="173" t="s">
        <v>165</v>
      </c>
      <c r="EP15" s="122" t="s">
        <v>166</v>
      </c>
      <c r="EQ15" s="122" t="s">
        <v>167</v>
      </c>
      <c r="ER15" s="174" t="n">
        <v>55.083</v>
      </c>
      <c r="EU15" s="122" t="s">
        <v>155</v>
      </c>
      <c r="EV15" s="181" t="n">
        <v>150</v>
      </c>
      <c r="EW15" s="122" t="s">
        <v>168</v>
      </c>
      <c r="EX15" s="122" t="s">
        <v>169</v>
      </c>
      <c r="EY15" s="122" t="s">
        <v>170</v>
      </c>
      <c r="FA15" s="182" t="n">
        <f aca="false">IVA!EY15*IVA!EO14*12/1000</f>
        <v>13003299.75696</v>
      </c>
      <c r="FB15" s="34" t="n">
        <f aca="false">IVA!FA15/IVA!CM8</f>
        <v>0.044927451777776</v>
      </c>
      <c r="FC15" s="34"/>
    </row>
    <row r="16" customFormat="false" ht="12.75" hidden="false" customHeight="true" outlineLevel="0" collapsed="false">
      <c r="AA16" s="123" t="n">
        <v>2003</v>
      </c>
      <c r="AB16" s="123" t="s">
        <v>79</v>
      </c>
      <c r="AC16" s="124"/>
      <c r="AD16" s="125"/>
      <c r="AE16" s="192" t="n">
        <v>1686352.53157</v>
      </c>
      <c r="AF16" s="192" t="n">
        <v>1354237.04306</v>
      </c>
      <c r="AG16" s="192" t="n">
        <v>1498919.97226</v>
      </c>
      <c r="AH16" s="192" t="n">
        <v>1695606.88801</v>
      </c>
      <c r="AI16" s="192" t="n">
        <v>1377491.92041</v>
      </c>
      <c r="AJ16" s="192" t="n">
        <v>1629306.28452</v>
      </c>
      <c r="AK16" s="192" t="n">
        <v>1830753.3754</v>
      </c>
      <c r="AL16" s="192" t="n">
        <v>1820276.96564</v>
      </c>
      <c r="AM16" s="192" t="n">
        <v>2049487.6618</v>
      </c>
      <c r="AN16" s="192" t="n">
        <v>1920791.05308</v>
      </c>
      <c r="AO16" s="192" t="n">
        <v>2003155.05115</v>
      </c>
      <c r="AP16" s="192" t="n">
        <v>2081194.027</v>
      </c>
      <c r="AQ16" s="128" t="n">
        <f aca="false">IVA!AE16+IVA!AF16+IVA!AG16</f>
        <v>4539509.54689</v>
      </c>
      <c r="AR16" s="128" t="n">
        <f aca="false">IVA!AH16+IVA!AI16+IVA!AJ16</f>
        <v>4702405.09294</v>
      </c>
      <c r="AS16" s="128" t="n">
        <f aca="false">IVA!AK16+IVA!AL16+IVA!AM16</f>
        <v>5700518.00284</v>
      </c>
      <c r="AT16" s="128" t="n">
        <f aca="false">IVA!AN16+IVA!AO16+IVA!AP16</f>
        <v>6005140.13123</v>
      </c>
      <c r="AU16" s="129" t="n">
        <f aca="false">IVA!AQ16+IVA!AR16+IVA!AS16+IVA!AT16</f>
        <v>20947572.7739</v>
      </c>
      <c r="AV16" s="130" t="n">
        <f aca="false">IVA!AQ16/IVA!CJ12</f>
        <v>0.0138669410221406</v>
      </c>
      <c r="AW16" s="130" t="n">
        <f aca="false">IVA!AR16/IVA!CK12</f>
        <v>0.0117819673259233</v>
      </c>
      <c r="AX16" s="130" t="n">
        <f aca="false">IVA!AS16/IVA!CL12</f>
        <v>0.0150852353738845</v>
      </c>
      <c r="AY16" s="130" t="n">
        <f aca="false">IVA!AT16/IVA!CM12</f>
        <v>0.015040313978328</v>
      </c>
      <c r="AZ16" s="131" t="n">
        <f aca="false">IVA!AU16/IVA!CN12</f>
        <v>0.0557250628078845</v>
      </c>
      <c r="BA16" s="132" t="n">
        <v>2003</v>
      </c>
      <c r="BB16" s="133" t="s">
        <v>80</v>
      </c>
      <c r="BC16" s="133"/>
      <c r="BD16" s="133"/>
      <c r="BE16" s="133"/>
      <c r="BF16" s="134" t="n">
        <f aca="false">0.89*IVA!AE16</f>
        <v>1500853.7530973</v>
      </c>
      <c r="BG16" s="134" t="n">
        <f aca="false">0.89*IVA!AF16</f>
        <v>1205270.9683234</v>
      </c>
      <c r="BH16" s="134" t="n">
        <f aca="false">0.89*IVA!AG16</f>
        <v>1334038.7753114</v>
      </c>
      <c r="BI16" s="134" t="n">
        <f aca="false">0.89*IVA!AH16</f>
        <v>1509090.1303289</v>
      </c>
      <c r="BJ16" s="134" t="n">
        <f aca="false">0.89*IVA!AI16</f>
        <v>1225967.8091649</v>
      </c>
      <c r="BK16" s="134" t="n">
        <f aca="false">0.89*IVA!AJ16</f>
        <v>1450082.5932228</v>
      </c>
      <c r="BL16" s="134" t="n">
        <f aca="false">0.89*IVA!AK16</f>
        <v>1629370.504106</v>
      </c>
      <c r="BM16" s="134" t="n">
        <f aca="false">0.89*IVA!AL16</f>
        <v>1620046.4994196</v>
      </c>
      <c r="BN16" s="134" t="n">
        <f aca="false">0.89*IVA!AM16</f>
        <v>1824044.019002</v>
      </c>
      <c r="BO16" s="134" t="n">
        <f aca="false">0.89*IVA!AN16</f>
        <v>1709504.0372412</v>
      </c>
      <c r="BP16" s="134" t="n">
        <f aca="false">0.89*IVA!AO16</f>
        <v>1782807.9955235</v>
      </c>
      <c r="BQ16" s="134" t="n">
        <f aca="false">0.89*IVA!AP16</f>
        <v>1852262.68403</v>
      </c>
      <c r="BR16" s="175" t="n">
        <f aca="false">0.89*IVA!AQ16</f>
        <v>4040163.4967321</v>
      </c>
      <c r="BS16" s="175" t="n">
        <f aca="false">0.89*IVA!AR16</f>
        <v>4185140.5327166</v>
      </c>
      <c r="BT16" s="175" t="n">
        <f aca="false">0.89*IVA!AS16</f>
        <v>5073461.0225276</v>
      </c>
      <c r="BU16" s="176" t="n">
        <f aca="false">0.89*IVA!AT16</f>
        <v>5344574.7167947</v>
      </c>
      <c r="BV16" s="137" t="n">
        <f aca="false">0.89*IVA!AU16</f>
        <v>18643339.768771</v>
      </c>
      <c r="BW16" s="138" t="n">
        <f aca="false">IVA!BR16/IVA!CJ12</f>
        <v>0.0123415775097052</v>
      </c>
      <c r="BX16" s="139" t="n">
        <f aca="false">IVA!BS16/IVA!CK12</f>
        <v>0.0104859509200717</v>
      </c>
      <c r="BY16" s="138" t="n">
        <f aca="false">IVA!BT16/IVA!CL12</f>
        <v>0.0134258594827572</v>
      </c>
      <c r="BZ16" s="138" t="n">
        <f aca="false">IVA!BU16/IVA!CM12</f>
        <v>0.0133858794407119</v>
      </c>
      <c r="CA16" s="140" t="n">
        <f aca="false">IVA!BV16/IVA!CN12</f>
        <v>0.0495953058990172</v>
      </c>
      <c r="CH16" s="13"/>
      <c r="CI16" s="53" t="n">
        <v>2007</v>
      </c>
      <c r="CJ16" s="54" t="n">
        <f aca="false">IVA!AQ272*1000</f>
        <v>681120000</v>
      </c>
      <c r="CK16" s="54" t="n">
        <f aca="false">IVA!AR272*1000</f>
        <v>835125270.312335</v>
      </c>
      <c r="CL16" s="54" t="n">
        <f aca="false">IVA!AS272*1000</f>
        <v>827463000</v>
      </c>
      <c r="CM16" s="54" t="n">
        <f aca="false">IVA!AT272*1000</f>
        <v>906114923.568755</v>
      </c>
      <c r="CN16" s="55" t="n">
        <f aca="false">IVA!AU272*1000</f>
        <v>812455828.265131</v>
      </c>
      <c r="CO16" s="63"/>
      <c r="CP16" s="63"/>
      <c r="CQ16" s="13"/>
      <c r="CS16" s="99"/>
      <c r="CT16" s="99" t="s">
        <v>171</v>
      </c>
      <c r="CU16" s="198" t="n">
        <v>4612575</v>
      </c>
      <c r="CV16" s="199" t="n">
        <v>2138494.275</v>
      </c>
      <c r="CW16" s="200" t="n">
        <v>6751069.275</v>
      </c>
      <c r="CX16" s="148" t="n">
        <v>0</v>
      </c>
      <c r="CY16" s="199" t="n">
        <v>0</v>
      </c>
      <c r="CZ16" s="199" t="n">
        <v>0</v>
      </c>
      <c r="DA16" s="199" t="n">
        <v>5580</v>
      </c>
      <c r="DB16" s="199" t="n">
        <v>6756649.275</v>
      </c>
      <c r="DC16" s="201" t="n">
        <v>230361.265</v>
      </c>
      <c r="DD16" s="199" t="n">
        <v>0</v>
      </c>
      <c r="DE16" s="199" t="n">
        <v>0</v>
      </c>
      <c r="DF16" s="199" t="n">
        <v>230361.265</v>
      </c>
      <c r="DG16" s="202" t="n">
        <v>6987010.54</v>
      </c>
      <c r="DH16" s="148"/>
      <c r="DI16" s="115"/>
      <c r="DJ16" s="116" t="s">
        <v>102</v>
      </c>
      <c r="DK16" s="166" t="n">
        <v>64427500</v>
      </c>
      <c r="DL16" s="148"/>
      <c r="DM16" s="117" t="s">
        <v>74</v>
      </c>
      <c r="DN16" s="118" t="n">
        <v>2001</v>
      </c>
      <c r="DO16" s="119" t="n">
        <v>22000</v>
      </c>
      <c r="DP16" s="119" t="n">
        <v>911900</v>
      </c>
      <c r="DQ16" s="119" t="n">
        <v>0</v>
      </c>
      <c r="DR16" s="119" t="n">
        <v>13869000</v>
      </c>
      <c r="DS16" s="119" t="n">
        <v>16616900</v>
      </c>
      <c r="DT16" s="119" t="n">
        <v>1814000</v>
      </c>
      <c r="DU16" s="119" t="n">
        <v>0</v>
      </c>
      <c r="DV16" s="119" t="n">
        <v>16616900</v>
      </c>
      <c r="DW16" s="120" t="n">
        <f aca="false">IVA!CY44/IVA!DV16</f>
        <v>0.871107791946753</v>
      </c>
      <c r="DX16" s="121"/>
      <c r="DY16" s="215" t="s">
        <v>172</v>
      </c>
      <c r="EA16" s="179"/>
      <c r="EB16" s="216" t="n">
        <v>42877000</v>
      </c>
      <c r="EC16" s="216" t="n">
        <v>2135084</v>
      </c>
      <c r="ED16" s="216" t="n">
        <v>45012084</v>
      </c>
      <c r="EE16" s="216" t="n">
        <v>37613860.49</v>
      </c>
      <c r="EF16" s="216" t="n">
        <v>37469848.28</v>
      </c>
      <c r="EG16" s="217" t="n">
        <v>32456500.11</v>
      </c>
      <c r="EH16" s="218" t="n">
        <v>7542235.72</v>
      </c>
      <c r="EI16" s="219"/>
      <c r="EJ16" s="31" t="n">
        <v>1964</v>
      </c>
      <c r="EK16" s="32" t="n">
        <v>1702.79</v>
      </c>
      <c r="EL16" s="33" t="n">
        <v>1323.46</v>
      </c>
      <c r="EN16" s="122" t="s">
        <v>173</v>
      </c>
      <c r="EO16" s="173" t="s">
        <v>174</v>
      </c>
      <c r="EP16" s="122" t="s">
        <v>175</v>
      </c>
      <c r="EQ16" s="122" t="s">
        <v>176</v>
      </c>
      <c r="ER16" s="174" t="n">
        <v>51.472</v>
      </c>
      <c r="EU16" s="122" t="s">
        <v>164</v>
      </c>
      <c r="EV16" s="181" t="n">
        <v>150</v>
      </c>
      <c r="EW16" s="122" t="s">
        <v>177</v>
      </c>
      <c r="EX16" s="122" t="s">
        <v>178</v>
      </c>
      <c r="EY16" s="122" t="s">
        <v>179</v>
      </c>
      <c r="FA16" s="182" t="n">
        <f aca="false">IVA!EY16*IVA!EO15*12/1000</f>
        <v>12994456.91292</v>
      </c>
      <c r="FB16" s="34" t="n">
        <f aca="false">IVA!FA16/IVA!CM9</f>
        <v>0.0452643918699733</v>
      </c>
      <c r="FC16" s="34"/>
    </row>
    <row r="17" customFormat="false" ht="12.75" hidden="false" customHeight="true" outlineLevel="0" collapsed="false">
      <c r="AA17" s="123" t="n">
        <v>2004</v>
      </c>
      <c r="AB17" s="123" t="s">
        <v>79</v>
      </c>
      <c r="AC17" s="124"/>
      <c r="AD17" s="125"/>
      <c r="AE17" s="192" t="n">
        <v>2489722.31287</v>
      </c>
      <c r="AF17" s="192" t="n">
        <v>2153593.51057</v>
      </c>
      <c r="AG17" s="192" t="n">
        <v>2301886.23394</v>
      </c>
      <c r="AH17" s="192" t="n">
        <v>2298452.98281</v>
      </c>
      <c r="AI17" s="192" t="n">
        <v>2472163.57478</v>
      </c>
      <c r="AJ17" s="192" t="n">
        <v>2899443.9408</v>
      </c>
      <c r="AK17" s="192" t="n">
        <v>2818158.80534</v>
      </c>
      <c r="AL17" s="192" t="n">
        <v>2866469.87814</v>
      </c>
      <c r="AM17" s="192" t="n">
        <v>2758963.38263</v>
      </c>
      <c r="AN17" s="192" t="n">
        <v>2569655.20493</v>
      </c>
      <c r="AO17" s="192" t="n">
        <v>2686201.49324</v>
      </c>
      <c r="AP17" s="192" t="n">
        <v>2662237.8037</v>
      </c>
      <c r="AQ17" s="128" t="n">
        <f aca="false">IVA!AE17+IVA!AF17+IVA!AG17</f>
        <v>6945202.05738</v>
      </c>
      <c r="AR17" s="128" t="n">
        <f aca="false">IVA!AH17+IVA!AI17+IVA!AJ17</f>
        <v>7670060.49839</v>
      </c>
      <c r="AS17" s="128" t="n">
        <f aca="false">IVA!AK17+IVA!AL17+IVA!AM17</f>
        <v>8443592.06611</v>
      </c>
      <c r="AT17" s="128" t="n">
        <f aca="false">IVA!AN17+IVA!AO17+IVA!AP17</f>
        <v>7918094.50187</v>
      </c>
      <c r="AU17" s="129" t="n">
        <f aca="false">IVA!AQ17+IVA!AR17+IVA!AS17+IVA!AT17</f>
        <v>30976949.12375</v>
      </c>
      <c r="AV17" s="130" t="n">
        <f aca="false">IVA!AQ17/IVA!CJ13</f>
        <v>0.0176805027719778</v>
      </c>
      <c r="AW17" s="130" t="n">
        <f aca="false">IVA!AR17/IVA!CK13</f>
        <v>0.0161742913067017</v>
      </c>
      <c r="AX17" s="130" t="n">
        <f aca="false">IVA!AS17/IVA!CL13</f>
        <v>0.0186772216081866</v>
      </c>
      <c r="AY17" s="130" t="n">
        <f aca="false">IVA!AT17/IVA!CM13</f>
        <v>0.0167947126774932</v>
      </c>
      <c r="AZ17" s="131" t="n">
        <f aca="false">IVA!AU17/IVA!CN13</f>
        <v>0.0692000537689894</v>
      </c>
      <c r="BA17" s="132" t="n">
        <v>2004</v>
      </c>
      <c r="BB17" s="133" t="s">
        <v>80</v>
      </c>
      <c r="BC17" s="133"/>
      <c r="BD17" s="133"/>
      <c r="BE17" s="133"/>
      <c r="BF17" s="134" t="n">
        <f aca="false">0.89*IVA!AE17</f>
        <v>2215852.8584543</v>
      </c>
      <c r="BG17" s="134" t="n">
        <f aca="false">0.89*IVA!AF17</f>
        <v>1916698.2244073</v>
      </c>
      <c r="BH17" s="134" t="n">
        <f aca="false">0.89*IVA!AG17</f>
        <v>2048678.7482066</v>
      </c>
      <c r="BI17" s="134" t="n">
        <f aca="false">0.89*IVA!AH17</f>
        <v>2045623.1547009</v>
      </c>
      <c r="BJ17" s="134" t="n">
        <f aca="false">0.89*IVA!AI17</f>
        <v>2200225.5815542</v>
      </c>
      <c r="BK17" s="134" t="n">
        <f aca="false">0.89*IVA!AJ17</f>
        <v>2580505.107312</v>
      </c>
      <c r="BL17" s="134" t="n">
        <f aca="false">0.89*IVA!AK17</f>
        <v>2508161.3367526</v>
      </c>
      <c r="BM17" s="134" t="n">
        <f aca="false">0.89*IVA!AL17</f>
        <v>2551158.1915446</v>
      </c>
      <c r="BN17" s="134" t="n">
        <f aca="false">0.89*IVA!AM17</f>
        <v>2455477.4105407</v>
      </c>
      <c r="BO17" s="134" t="n">
        <f aca="false">0.89*IVA!AN17</f>
        <v>2286993.1323877</v>
      </c>
      <c r="BP17" s="134" t="n">
        <f aca="false">0.89*IVA!AO17</f>
        <v>2390719.3289836</v>
      </c>
      <c r="BQ17" s="134" t="n">
        <f aca="false">0.89*IVA!AP17</f>
        <v>2369391.645293</v>
      </c>
      <c r="BR17" s="175" t="n">
        <f aca="false">0.89*IVA!AQ17</f>
        <v>6181229.8310682</v>
      </c>
      <c r="BS17" s="175" t="n">
        <f aca="false">0.89*IVA!AR17</f>
        <v>6826353.8435671</v>
      </c>
      <c r="BT17" s="175" t="n">
        <f aca="false">0.89*IVA!AS17</f>
        <v>7514796.9388379</v>
      </c>
      <c r="BU17" s="176" t="n">
        <f aca="false">0.89*IVA!AT17</f>
        <v>7047104.1066643</v>
      </c>
      <c r="BV17" s="137" t="n">
        <f aca="false">0.89*IVA!AU17</f>
        <v>27569484.7201375</v>
      </c>
      <c r="BW17" s="138" t="n">
        <f aca="false">IVA!BR17/IVA!CJ13</f>
        <v>0.0157356474670602</v>
      </c>
      <c r="BX17" s="139" t="n">
        <f aca="false">IVA!BS17/IVA!CK13</f>
        <v>0.0143951192629645</v>
      </c>
      <c r="BY17" s="138" t="n">
        <f aca="false">IVA!BT17/IVA!CL13</f>
        <v>0.0166227272312861</v>
      </c>
      <c r="BZ17" s="138" t="n">
        <f aca="false">IVA!BU17/IVA!CM13</f>
        <v>0.014947294282969</v>
      </c>
      <c r="CA17" s="140" t="n">
        <f aca="false">IVA!BV17/IVA!CN13</f>
        <v>0.0615880478544006</v>
      </c>
      <c r="CH17" s="13"/>
      <c r="CI17" s="53" t="n">
        <v>2008</v>
      </c>
      <c r="CJ17" s="54" t="n">
        <f aca="false">IVA!AQ273*1000</f>
        <v>887643000</v>
      </c>
      <c r="CK17" s="54" t="n">
        <f aca="false">IVA!AR273*1000</f>
        <v>1107942840.35203</v>
      </c>
      <c r="CL17" s="54" t="n">
        <f aca="false">IVA!AS273*1000</f>
        <v>1057550793.49456</v>
      </c>
      <c r="CM17" s="54" t="n">
        <f aca="false">IVA!AT273*1000</f>
        <v>1077896389.18338</v>
      </c>
      <c r="CN17" s="55" t="n">
        <f aca="false">IVA!AU273*1000</f>
        <v>1032758000</v>
      </c>
      <c r="CO17" s="63"/>
      <c r="CP17" s="63" t="n">
        <f aca="false">IVA!CP18/IVA!CN21</f>
        <v>0.216380690387162</v>
      </c>
      <c r="CQ17" s="13"/>
      <c r="CS17" s="220"/>
      <c r="CT17" s="99" t="s">
        <v>180</v>
      </c>
      <c r="CU17" s="198" t="n">
        <v>0</v>
      </c>
      <c r="CV17" s="199" t="n">
        <v>0</v>
      </c>
      <c r="CW17" s="200" t="n">
        <v>0</v>
      </c>
      <c r="CX17" s="148" t="n">
        <v>0</v>
      </c>
      <c r="CY17" s="199" t="n">
        <v>188914235.976</v>
      </c>
      <c r="CZ17" s="199" t="n">
        <v>0</v>
      </c>
      <c r="DA17" s="199" t="n">
        <v>0</v>
      </c>
      <c r="DB17" s="199" t="n">
        <v>188914235.976</v>
      </c>
      <c r="DC17" s="201" t="n">
        <v>0</v>
      </c>
      <c r="DD17" s="199" t="n">
        <v>0</v>
      </c>
      <c r="DE17" s="199" t="n">
        <v>0</v>
      </c>
      <c r="DF17" s="199" t="n">
        <v>0</v>
      </c>
      <c r="DG17" s="202" t="n">
        <v>188914235.976</v>
      </c>
      <c r="DH17" s="148"/>
      <c r="DI17" s="99" t="n">
        <v>2007</v>
      </c>
      <c r="DJ17" s="99" t="s">
        <v>84</v>
      </c>
      <c r="DK17" s="147" t="n">
        <v>50961400</v>
      </c>
      <c r="DL17" s="148"/>
      <c r="DM17" s="149" t="s">
        <v>74</v>
      </c>
      <c r="DN17" s="150" t="n">
        <v>2002</v>
      </c>
      <c r="DO17" s="151" t="n">
        <v>13200</v>
      </c>
      <c r="DP17" s="151" t="n">
        <v>927600</v>
      </c>
      <c r="DQ17" s="151" t="n">
        <v>600</v>
      </c>
      <c r="DR17" s="151" t="n">
        <v>13847400</v>
      </c>
      <c r="DS17" s="151" t="n">
        <v>16535400</v>
      </c>
      <c r="DT17" s="151" t="n">
        <v>1746600</v>
      </c>
      <c r="DU17" s="151" t="n">
        <v>0</v>
      </c>
      <c r="DV17" s="151" t="n">
        <v>16535400</v>
      </c>
      <c r="DW17" s="152" t="n">
        <f aca="false">IVA!CY43/IVA!DV17</f>
        <v>0.8715059811072</v>
      </c>
      <c r="DX17" s="153"/>
      <c r="DY17" s="215" t="s">
        <v>181</v>
      </c>
      <c r="EA17" s="195"/>
      <c r="EB17" s="216" t="n">
        <v>1593000</v>
      </c>
      <c r="EC17" s="216" t="n">
        <v>27500</v>
      </c>
      <c r="ED17" s="216" t="n">
        <v>1620500</v>
      </c>
      <c r="EE17" s="216" t="n">
        <v>1128185.11</v>
      </c>
      <c r="EF17" s="216" t="n">
        <v>1128185.11</v>
      </c>
      <c r="EG17" s="217" t="n">
        <v>1083873.74</v>
      </c>
      <c r="EH17" s="218" t="n">
        <v>492314.89</v>
      </c>
      <c r="EI17" s="219"/>
      <c r="EJ17" s="31" t="n">
        <v>1965</v>
      </c>
      <c r="EK17" s="32" t="n">
        <v>1766.767</v>
      </c>
      <c r="EL17" s="33" t="n">
        <v>1372.614</v>
      </c>
      <c r="EN17" s="122" t="s">
        <v>182</v>
      </c>
      <c r="EO17" s="173" t="s">
        <v>183</v>
      </c>
      <c r="EP17" s="122" t="s">
        <v>184</v>
      </c>
      <c r="EQ17" s="122" t="s">
        <v>185</v>
      </c>
      <c r="ER17" s="174" t="n">
        <v>48.306</v>
      </c>
      <c r="EU17" s="122" t="s">
        <v>173</v>
      </c>
      <c r="EV17" s="181" t="n">
        <v>150</v>
      </c>
      <c r="EW17" s="122" t="s">
        <v>186</v>
      </c>
      <c r="EX17" s="122" t="s">
        <v>187</v>
      </c>
      <c r="EY17" s="122" t="s">
        <v>188</v>
      </c>
      <c r="FA17" s="182" t="n">
        <f aca="false">IVA!EY17*IVA!EO16*12/1000</f>
        <v>13009029.7236</v>
      </c>
      <c r="FB17" s="34" t="n">
        <f aca="false">IVA!FA17/IVA!CM10</f>
        <v>0.0516102426662321</v>
      </c>
      <c r="FC17" s="34"/>
    </row>
    <row r="18" customFormat="false" ht="12.75" hidden="false" customHeight="true" outlineLevel="0" collapsed="false">
      <c r="AA18" s="123" t="n">
        <v>2005</v>
      </c>
      <c r="AB18" s="123" t="s">
        <v>79</v>
      </c>
      <c r="AC18" s="124"/>
      <c r="AD18" s="125"/>
      <c r="AE18" s="192" t="n">
        <v>2970005.02417</v>
      </c>
      <c r="AF18" s="192" t="n">
        <v>2545136.12627</v>
      </c>
      <c r="AG18" s="192" t="n">
        <v>2736391.53225</v>
      </c>
      <c r="AH18" s="192" t="n">
        <v>3000851.30365</v>
      </c>
      <c r="AI18" s="192" t="n">
        <v>3172804.09197</v>
      </c>
      <c r="AJ18" s="192" t="n">
        <v>3003970.2861</v>
      </c>
      <c r="AK18" s="192" t="n">
        <v>3013714.24193</v>
      </c>
      <c r="AL18" s="192" t="n">
        <v>3288049.19154</v>
      </c>
      <c r="AM18" s="192" t="n">
        <v>3404998.54417</v>
      </c>
      <c r="AN18" s="192" t="n">
        <v>3048220.79827</v>
      </c>
      <c r="AO18" s="192" t="n">
        <v>3244612.56108</v>
      </c>
      <c r="AP18" s="192" t="n">
        <v>3424375.19527</v>
      </c>
      <c r="AQ18" s="128" t="n">
        <f aca="false">IVA!AE18+IVA!AF18+IVA!AG18</f>
        <v>8251532.68269</v>
      </c>
      <c r="AR18" s="128" t="n">
        <f aca="false">IVA!AH18+IVA!AI18+IVA!AJ18</f>
        <v>9177625.68172</v>
      </c>
      <c r="AS18" s="128" t="n">
        <f aca="false">IVA!AK18+IVA!AL18+IVA!AM18</f>
        <v>9706761.97764</v>
      </c>
      <c r="AT18" s="128" t="n">
        <f aca="false">IVA!AN18+IVA!AO18+IVA!AP18</f>
        <v>9717208.55462</v>
      </c>
      <c r="AU18" s="129" t="n">
        <f aca="false">IVA!AQ18+IVA!AR18+IVA!AS18+IVA!AT18</f>
        <v>36853128.89667</v>
      </c>
      <c r="AV18" s="130" t="n">
        <f aca="false">IVA!AQ18/IVA!CJ14</f>
        <v>0.0180651992772854</v>
      </c>
      <c r="AW18" s="130" t="n">
        <f aca="false">IVA!AR18/IVA!CK14</f>
        <v>0.016613738498571</v>
      </c>
      <c r="AX18" s="130" t="n">
        <f aca="false">IVA!AS18/IVA!CL14</f>
        <v>0.0178358316761596</v>
      </c>
      <c r="AY18" s="130" t="n">
        <f aca="false">IVA!AT18/IVA!CM14</f>
        <v>0.0169185845378433</v>
      </c>
      <c r="AZ18" s="131" t="n">
        <f aca="false">IVA!AU18/IVA!CN14</f>
        <v>0.0692807786911494</v>
      </c>
      <c r="BA18" s="132" t="n">
        <v>2005</v>
      </c>
      <c r="BB18" s="133" t="s">
        <v>80</v>
      </c>
      <c r="BC18" s="133"/>
      <c r="BD18" s="133"/>
      <c r="BE18" s="133"/>
      <c r="BF18" s="134" t="n">
        <f aca="false">0.89*IVA!AE18</f>
        <v>2643304.4715113</v>
      </c>
      <c r="BG18" s="134" t="n">
        <f aca="false">0.89*IVA!AF18</f>
        <v>2265171.1523803</v>
      </c>
      <c r="BH18" s="134" t="n">
        <f aca="false">0.89*IVA!AG18</f>
        <v>2435388.4637025</v>
      </c>
      <c r="BI18" s="134" t="n">
        <f aca="false">0.89*IVA!AH18</f>
        <v>2670757.6602485</v>
      </c>
      <c r="BJ18" s="134" t="n">
        <f aca="false">0.89*IVA!AI18</f>
        <v>2823795.6418533</v>
      </c>
      <c r="BK18" s="134" t="n">
        <f aca="false">0.89*IVA!AJ18</f>
        <v>2673533.554629</v>
      </c>
      <c r="BL18" s="134" t="n">
        <f aca="false">0.89*IVA!AK18</f>
        <v>2682205.6753177</v>
      </c>
      <c r="BM18" s="134" t="n">
        <f aca="false">0.89*IVA!AL18</f>
        <v>2926363.7804706</v>
      </c>
      <c r="BN18" s="134" t="n">
        <f aca="false">0.89*IVA!AM18</f>
        <v>3030448.7043113</v>
      </c>
      <c r="BO18" s="134" t="n">
        <f aca="false">0.89*IVA!AN18</f>
        <v>2712916.5104603</v>
      </c>
      <c r="BP18" s="134" t="n">
        <f aca="false">0.89*IVA!AO18</f>
        <v>2887705.1793612</v>
      </c>
      <c r="BQ18" s="134" t="n">
        <f aca="false">0.89*IVA!AP18</f>
        <v>3047693.9237903</v>
      </c>
      <c r="BR18" s="175" t="n">
        <f aca="false">0.89*IVA!AQ18</f>
        <v>7343864.0875941</v>
      </c>
      <c r="BS18" s="175" t="n">
        <f aca="false">0.89*IVA!AR18</f>
        <v>8168086.8567308</v>
      </c>
      <c r="BT18" s="175" t="n">
        <f aca="false">0.89*IVA!AS18</f>
        <v>8639018.1600996</v>
      </c>
      <c r="BU18" s="176" t="n">
        <f aca="false">0.89*IVA!AT18</f>
        <v>8648315.6136118</v>
      </c>
      <c r="BV18" s="137" t="n">
        <f aca="false">0.89*IVA!AU18</f>
        <v>32799284.7180363</v>
      </c>
      <c r="BW18" s="138" t="n">
        <f aca="false">IVA!BR18/IVA!CJ14</f>
        <v>0.016078027356784</v>
      </c>
      <c r="BX18" s="139" t="n">
        <f aca="false">IVA!BS18/IVA!CK14</f>
        <v>0.0147862272637282</v>
      </c>
      <c r="BY18" s="138" t="n">
        <f aca="false">IVA!BT18/IVA!CL14</f>
        <v>0.0158738901917821</v>
      </c>
      <c r="BZ18" s="138" t="n">
        <f aca="false">IVA!BU18/IVA!CM14</f>
        <v>0.0150575402386805</v>
      </c>
      <c r="CA18" s="140" t="n">
        <f aca="false">IVA!BV18/IVA!CN14</f>
        <v>0.0616598930351229</v>
      </c>
      <c r="CH18" s="13"/>
      <c r="CI18" s="53" t="n">
        <v>2009</v>
      </c>
      <c r="CJ18" s="54" t="n">
        <f aca="false">IVA!AQ274*1000</f>
        <v>992962000</v>
      </c>
      <c r="CK18" s="54" t="n">
        <f aca="false">IVA!AR274*1000</f>
        <v>1195372438.8149</v>
      </c>
      <c r="CL18" s="54" t="n">
        <f aca="false">IVA!AS274*1000</f>
        <v>1168794907.45954</v>
      </c>
      <c r="CM18" s="54" t="n">
        <f aca="false">IVA!AT274*1000</f>
        <v>1224703750.59239</v>
      </c>
      <c r="CN18" s="55" t="n">
        <f aca="false">IVA!AU274*1000</f>
        <v>1145458336.36639</v>
      </c>
      <c r="CO18" s="63" t="n">
        <v>2012</v>
      </c>
      <c r="CP18" s="221" t="n">
        <f aca="false">468301.016797737*1000</f>
        <v>468301016.797737</v>
      </c>
      <c r="CQ18" s="13" t="s">
        <v>189</v>
      </c>
      <c r="CS18" s="220"/>
      <c r="CT18" s="99" t="s">
        <v>190</v>
      </c>
      <c r="CU18" s="198" t="n">
        <v>0</v>
      </c>
      <c r="CV18" s="199" t="n">
        <v>0</v>
      </c>
      <c r="CW18" s="200" t="n">
        <v>0</v>
      </c>
      <c r="CX18" s="148" t="n">
        <v>0</v>
      </c>
      <c r="CY18" s="199" t="n">
        <v>0</v>
      </c>
      <c r="CZ18" s="199" t="n">
        <v>0</v>
      </c>
      <c r="DA18" s="199" t="n">
        <v>336914.37</v>
      </c>
      <c r="DB18" s="199" t="n">
        <v>336914.37</v>
      </c>
      <c r="DC18" s="201" t="n">
        <v>0</v>
      </c>
      <c r="DD18" s="199" t="n">
        <v>0</v>
      </c>
      <c r="DE18" s="199" t="n">
        <v>0</v>
      </c>
      <c r="DF18" s="199" t="n">
        <v>0</v>
      </c>
      <c r="DG18" s="202" t="n">
        <v>336914.37</v>
      </c>
      <c r="DH18" s="148"/>
      <c r="DI18" s="115"/>
      <c r="DJ18" s="116" t="s">
        <v>102</v>
      </c>
      <c r="DK18" s="166" t="n">
        <v>50639200</v>
      </c>
      <c r="DL18" s="148"/>
      <c r="DM18" s="117" t="s">
        <v>74</v>
      </c>
      <c r="DN18" s="118" t="n">
        <v>2003</v>
      </c>
      <c r="DO18" s="119" t="n">
        <v>4800</v>
      </c>
      <c r="DP18" s="119" t="n">
        <v>1215500</v>
      </c>
      <c r="DQ18" s="119" t="n">
        <v>600</v>
      </c>
      <c r="DR18" s="119" t="n">
        <v>16270900</v>
      </c>
      <c r="DS18" s="119" t="n">
        <v>19464300</v>
      </c>
      <c r="DT18" s="119" t="n">
        <v>1972500</v>
      </c>
      <c r="DU18" s="119" t="n">
        <v>0</v>
      </c>
      <c r="DV18" s="119" t="n">
        <v>19464300</v>
      </c>
      <c r="DW18" s="120" t="n">
        <f aca="false">IVA!CY42/IVA!DV18</f>
        <v>0.754657941821694</v>
      </c>
      <c r="DX18" s="121"/>
      <c r="DY18" s="222" t="s">
        <v>191</v>
      </c>
      <c r="DZ18" s="223"/>
      <c r="EA18" s="206"/>
      <c r="EB18" s="224" t="n">
        <v>16795950000</v>
      </c>
      <c r="EC18" s="224" t="n">
        <v>69908847</v>
      </c>
      <c r="ED18" s="224" t="n">
        <v>16865858847</v>
      </c>
      <c r="EE18" s="224" t="n">
        <v>15583349269.88</v>
      </c>
      <c r="EF18" s="224" t="n">
        <v>15565922586.38</v>
      </c>
      <c r="EG18" s="225" t="n">
        <v>14365064926.55</v>
      </c>
      <c r="EH18" s="226" t="n">
        <v>1299936260.62</v>
      </c>
      <c r="EI18" s="219"/>
      <c r="EJ18" s="31" t="n">
        <v>1966</v>
      </c>
      <c r="EK18" s="32" t="n">
        <v>1833.795</v>
      </c>
      <c r="EL18" s="33" t="n">
        <v>1426.31</v>
      </c>
      <c r="EN18" s="122" t="s">
        <v>192</v>
      </c>
      <c r="EO18" s="173" t="s">
        <v>193</v>
      </c>
      <c r="EP18" s="122" t="s">
        <v>194</v>
      </c>
      <c r="EQ18" s="122" t="s">
        <v>195</v>
      </c>
      <c r="ER18" s="174" t="n">
        <v>45.151</v>
      </c>
      <c r="EU18" s="104" t="s">
        <v>196</v>
      </c>
      <c r="EV18" s="181" t="n">
        <v>200</v>
      </c>
      <c r="EW18" s="122" t="s">
        <v>197</v>
      </c>
      <c r="EX18" s="122" t="s">
        <v>198</v>
      </c>
      <c r="EY18" s="122" t="s">
        <v>199</v>
      </c>
      <c r="FA18" s="182" t="n">
        <f aca="false">IVA!EY18*IVA!EO17*12/1000</f>
        <v>13183264.4808</v>
      </c>
      <c r="FB18" s="34" t="n">
        <f aca="false">IVA!FA18/IVA!CM11</f>
        <v>0.0387458834276136</v>
      </c>
      <c r="FC18" s="34"/>
    </row>
    <row r="19" customFormat="false" ht="12.75" hidden="false" customHeight="true" outlineLevel="0" collapsed="false">
      <c r="AA19" s="123" t="n">
        <v>2006</v>
      </c>
      <c r="AB19" s="123" t="s">
        <v>79</v>
      </c>
      <c r="AC19" s="124"/>
      <c r="AD19" s="125"/>
      <c r="AE19" s="192" t="n">
        <v>3624133.63459</v>
      </c>
      <c r="AF19" s="192" t="n">
        <v>3325110.4759</v>
      </c>
      <c r="AG19" s="192" t="n">
        <v>3552544.6296</v>
      </c>
      <c r="AH19" s="192" t="n">
        <v>3588265.01612</v>
      </c>
      <c r="AI19" s="192" t="n">
        <v>3769532.79508</v>
      </c>
      <c r="AJ19" s="192" t="n">
        <v>3795650.42954</v>
      </c>
      <c r="AK19" s="192" t="n">
        <v>3782580.12843</v>
      </c>
      <c r="AL19" s="192" t="n">
        <v>4176434.08954</v>
      </c>
      <c r="AM19" s="192" t="n">
        <v>4181498.05387</v>
      </c>
      <c r="AN19" s="192" t="n">
        <v>4352415.60873</v>
      </c>
      <c r="AO19" s="192" t="n">
        <v>4292145.96029</v>
      </c>
      <c r="AP19" s="192" t="n">
        <v>4663998.1721</v>
      </c>
      <c r="AQ19" s="128" t="n">
        <f aca="false">IVA!AE19+IVA!AF19+IVA!AG19</f>
        <v>10501788.74009</v>
      </c>
      <c r="AR19" s="128" t="n">
        <f aca="false">IVA!AH19+IVA!AI19+IVA!AJ19</f>
        <v>11153448.24074</v>
      </c>
      <c r="AS19" s="128" t="n">
        <f aca="false">IVA!AK19+IVA!AL19+IVA!AM19</f>
        <v>12140512.27184</v>
      </c>
      <c r="AT19" s="128" t="n">
        <f aca="false">IVA!AN19+IVA!AO19+IVA!AP19</f>
        <v>13308559.74112</v>
      </c>
      <c r="AU19" s="129" t="n">
        <f aca="false">IVA!AQ19+IVA!AR19+IVA!AS19+IVA!AT19</f>
        <v>47104308.99379</v>
      </c>
      <c r="AV19" s="130" t="n">
        <f aca="false">IVA!AQ19/IVA!CJ15</f>
        <v>0.0184892599923415</v>
      </c>
      <c r="AW19" s="130" t="n">
        <f aca="false">IVA!AR19/IVA!CK15</f>
        <v>0.0164437596756422</v>
      </c>
      <c r="AX19" s="130" t="n">
        <f aca="false">IVA!AS19/IVA!CL15</f>
        <v>0.0181690550962304</v>
      </c>
      <c r="AY19" s="130" t="n">
        <f aca="false">IVA!AT19/IVA!CM15</f>
        <v>0.0189233985023513</v>
      </c>
      <c r="AZ19" s="131" t="n">
        <f aca="false">IVA!AU19/IVA!CN15</f>
        <v>0.0719766243386207</v>
      </c>
      <c r="BA19" s="132" t="n">
        <v>2006</v>
      </c>
      <c r="BB19" s="133" t="s">
        <v>80</v>
      </c>
      <c r="BC19" s="133"/>
      <c r="BD19" s="133"/>
      <c r="BE19" s="133"/>
      <c r="BF19" s="134" t="n">
        <f aca="false">0.89*IVA!AE19</f>
        <v>3225478.9347851</v>
      </c>
      <c r="BG19" s="134" t="n">
        <f aca="false">0.89*IVA!AF19</f>
        <v>2959348.323551</v>
      </c>
      <c r="BH19" s="134" t="n">
        <f aca="false">0.89*IVA!AG19</f>
        <v>3161764.720344</v>
      </c>
      <c r="BI19" s="134" t="n">
        <f aca="false">0.89*IVA!AH19</f>
        <v>3193555.8643468</v>
      </c>
      <c r="BJ19" s="134" t="n">
        <f aca="false">0.89*IVA!AI19</f>
        <v>3354884.1876212</v>
      </c>
      <c r="BK19" s="134" t="n">
        <f aca="false">0.89*IVA!AJ19</f>
        <v>3378128.8822906</v>
      </c>
      <c r="BL19" s="134" t="n">
        <f aca="false">0.89*IVA!AK19</f>
        <v>3366496.3143027</v>
      </c>
      <c r="BM19" s="134" t="n">
        <f aca="false">0.89*IVA!AL19</f>
        <v>3717026.3396906</v>
      </c>
      <c r="BN19" s="134" t="n">
        <f aca="false">0.89*IVA!AM19</f>
        <v>3721533.2679443</v>
      </c>
      <c r="BO19" s="134" t="n">
        <f aca="false">0.89*IVA!AN19</f>
        <v>3873649.8917697</v>
      </c>
      <c r="BP19" s="134" t="n">
        <f aca="false">0.89*IVA!AO19</f>
        <v>3820009.9046581</v>
      </c>
      <c r="BQ19" s="134" t="n">
        <f aca="false">0.89*IVA!AP19</f>
        <v>4150958.373169</v>
      </c>
      <c r="BR19" s="175" t="n">
        <f aca="false">0.89*IVA!AQ19</f>
        <v>9346591.9786801</v>
      </c>
      <c r="BS19" s="175" t="n">
        <f aca="false">0.89*IVA!AR19</f>
        <v>9926568.9342586</v>
      </c>
      <c r="BT19" s="175" t="n">
        <f aca="false">0.89*IVA!AS19</f>
        <v>10805055.9219376</v>
      </c>
      <c r="BU19" s="176" t="n">
        <f aca="false">0.89*IVA!AT19</f>
        <v>11844618.1695968</v>
      </c>
      <c r="BV19" s="137" t="n">
        <f aca="false">0.89*IVA!AU19</f>
        <v>41922835.0044731</v>
      </c>
      <c r="BW19" s="138" t="n">
        <f aca="false">IVA!BR19/IVA!CJ15</f>
        <v>0.0164554413931839</v>
      </c>
      <c r="BX19" s="139" t="n">
        <f aca="false">IVA!BS19/IVA!CK15</f>
        <v>0.0146349461113216</v>
      </c>
      <c r="BY19" s="138" t="n">
        <f aca="false">IVA!BT19/IVA!CL15</f>
        <v>0.0161704590356451</v>
      </c>
      <c r="BZ19" s="138" t="n">
        <f aca="false">IVA!BU19/IVA!CM15</f>
        <v>0.0168418246670927</v>
      </c>
      <c r="CA19" s="140" t="n">
        <f aca="false">IVA!BV19/IVA!CN15</f>
        <v>0.0640591956613724</v>
      </c>
      <c r="CH19" s="13"/>
      <c r="CI19" s="53" t="n">
        <v>2010</v>
      </c>
      <c r="CJ19" s="54" t="n">
        <f aca="false">IVA!AQ275*1000</f>
        <v>1217381000</v>
      </c>
      <c r="CK19" s="54" t="n">
        <f aca="false">IVA!AR275*1000</f>
        <v>1508285665.01389</v>
      </c>
      <c r="CL19" s="54" t="n">
        <f aca="false">IVA!AS275*1000</f>
        <v>1465856669.30236</v>
      </c>
      <c r="CM19" s="54" t="n">
        <f aca="false">IVA!AT275*1000</f>
        <v>1579098386.12358</v>
      </c>
      <c r="CN19" s="55" t="n">
        <f aca="false">IVA!AU275*1000</f>
        <v>1442655378.59716</v>
      </c>
      <c r="CO19" s="63"/>
      <c r="CP19" s="63"/>
      <c r="CQ19" s="13"/>
      <c r="CS19" s="220"/>
      <c r="CT19" s="99" t="s">
        <v>200</v>
      </c>
      <c r="CU19" s="198" t="n">
        <v>0</v>
      </c>
      <c r="CV19" s="199" t="n">
        <v>0</v>
      </c>
      <c r="CW19" s="200" t="n">
        <v>0</v>
      </c>
      <c r="CX19" s="148" t="n">
        <v>0</v>
      </c>
      <c r="CY19" s="199" t="n">
        <v>0</v>
      </c>
      <c r="CZ19" s="199" t="n">
        <v>0</v>
      </c>
      <c r="DA19" s="199" t="n">
        <v>645622</v>
      </c>
      <c r="DB19" s="199" t="n">
        <v>645622</v>
      </c>
      <c r="DC19" s="201" t="n">
        <v>0</v>
      </c>
      <c r="DD19" s="199" t="n">
        <v>0</v>
      </c>
      <c r="DE19" s="199" t="n">
        <v>0</v>
      </c>
      <c r="DF19" s="199" t="n">
        <v>0</v>
      </c>
      <c r="DG19" s="202" t="n">
        <v>645622</v>
      </c>
      <c r="DH19" s="148"/>
      <c r="DI19" s="99" t="n">
        <v>2006</v>
      </c>
      <c r="DJ19" s="99" t="s">
        <v>84</v>
      </c>
      <c r="DK19" s="147" t="n">
        <v>31666100</v>
      </c>
      <c r="DL19" s="148"/>
      <c r="DM19" s="149" t="s">
        <v>74</v>
      </c>
      <c r="DN19" s="150" t="n">
        <v>2004</v>
      </c>
      <c r="DO19" s="151" t="n">
        <v>3800</v>
      </c>
      <c r="DP19" s="151" t="n">
        <v>1578600</v>
      </c>
      <c r="DQ19" s="151" t="n">
        <v>600</v>
      </c>
      <c r="DR19" s="151" t="n">
        <v>19214200</v>
      </c>
      <c r="DS19" s="151" t="n">
        <v>22877100</v>
      </c>
      <c r="DT19" s="151" t="n">
        <v>2079900</v>
      </c>
      <c r="DU19" s="151" t="n">
        <v>0</v>
      </c>
      <c r="DV19" s="151" t="n">
        <v>22877100</v>
      </c>
      <c r="DW19" s="152" t="n">
        <f aca="false">IVA!CY41/IVA!DV19</f>
        <v>0.72377617792465</v>
      </c>
      <c r="DX19" s="153"/>
      <c r="DY19" s="177" t="s">
        <v>163</v>
      </c>
      <c r="DZ19" s="45"/>
      <c r="EA19" s="210" t="n">
        <v>1994</v>
      </c>
      <c r="EB19" s="227" t="s">
        <v>201</v>
      </c>
      <c r="EC19" s="227" t="s">
        <v>202</v>
      </c>
      <c r="ED19" s="227" t="s">
        <v>203</v>
      </c>
      <c r="EE19" s="227" t="s">
        <v>204</v>
      </c>
      <c r="EF19" s="227" t="s">
        <v>205</v>
      </c>
      <c r="EG19" s="228" t="s">
        <v>206</v>
      </c>
      <c r="EH19" s="229" t="s">
        <v>207</v>
      </c>
      <c r="EJ19" s="31" t="n">
        <v>1967</v>
      </c>
      <c r="EK19" s="32" t="n">
        <v>1901.751</v>
      </c>
      <c r="EL19" s="33" t="n">
        <v>1480.052</v>
      </c>
      <c r="EN19" s="122" t="s">
        <v>208</v>
      </c>
      <c r="EO19" s="173" t="s">
        <v>209</v>
      </c>
      <c r="EP19" s="122" t="s">
        <v>210</v>
      </c>
      <c r="EQ19" s="122" t="s">
        <v>211</v>
      </c>
      <c r="ER19" s="174" t="n">
        <v>42.594</v>
      </c>
      <c r="EU19" s="122" t="s">
        <v>192</v>
      </c>
      <c r="EV19" s="181" t="n">
        <v>220</v>
      </c>
      <c r="EW19" s="122" t="s">
        <v>212</v>
      </c>
      <c r="EX19" s="122" t="s">
        <v>213</v>
      </c>
      <c r="EY19" s="122" t="s">
        <v>214</v>
      </c>
      <c r="FA19" s="182" t="n">
        <f aca="false">IVA!EY19*IVA!EO18*12/1000</f>
        <v>13622420.71944</v>
      </c>
      <c r="FB19" s="34" t="n">
        <f aca="false">IVA!FA19/IVA!CM12</f>
        <v>0.0341183519931105</v>
      </c>
      <c r="FC19" s="34"/>
    </row>
    <row r="20" customFormat="false" ht="12.75" hidden="false" customHeight="true" outlineLevel="0" collapsed="false">
      <c r="AA20" s="123" t="n">
        <v>2007</v>
      </c>
      <c r="AB20" s="123" t="s">
        <v>79</v>
      </c>
      <c r="AC20" s="124"/>
      <c r="AD20" s="125"/>
      <c r="AE20" s="192" t="n">
        <v>4623186.41457</v>
      </c>
      <c r="AF20" s="192" t="n">
        <v>4269285.01661</v>
      </c>
      <c r="AG20" s="192" t="n">
        <v>4504524.75382</v>
      </c>
      <c r="AH20" s="192" t="n">
        <v>4368832.12948</v>
      </c>
      <c r="AI20" s="192" t="n">
        <v>5052032.03866</v>
      </c>
      <c r="AJ20" s="192" t="n">
        <v>5055984.24897</v>
      </c>
      <c r="AK20" s="192" t="n">
        <v>5625588.16468</v>
      </c>
      <c r="AL20" s="192" t="n">
        <v>5984730.65015</v>
      </c>
      <c r="AM20" s="192" t="n">
        <v>5123807.50628</v>
      </c>
      <c r="AN20" s="192" t="n">
        <v>5793717.26712</v>
      </c>
      <c r="AO20" s="192" t="n">
        <v>5874270.14976</v>
      </c>
      <c r="AP20" s="192" t="n">
        <v>6393359.27269</v>
      </c>
      <c r="AQ20" s="128" t="n">
        <f aca="false">IVA!AE20+IVA!AF20+IVA!AG20</f>
        <v>13396996.185</v>
      </c>
      <c r="AR20" s="128" t="n">
        <f aca="false">IVA!AH20+IVA!AI20+IVA!AJ20</f>
        <v>14476848.41711</v>
      </c>
      <c r="AS20" s="128" t="n">
        <f aca="false">IVA!AK20+IVA!AL20+IVA!AM20</f>
        <v>16734126.32111</v>
      </c>
      <c r="AT20" s="128" t="n">
        <f aca="false">IVA!AN20+IVA!AO20+IVA!AP20</f>
        <v>18061346.68957</v>
      </c>
      <c r="AU20" s="129" t="n">
        <f aca="false">IVA!AQ20+IVA!AR20+IVA!AS20+IVA!AT20</f>
        <v>62669317.61279</v>
      </c>
      <c r="AV20" s="130" t="n">
        <f aca="false">IVA!AQ20/IVA!CJ16</f>
        <v>0.0196690688645173</v>
      </c>
      <c r="AW20" s="130" t="n">
        <f aca="false">IVA!AR20/IVA!CK16</f>
        <v>0.0173349423514579</v>
      </c>
      <c r="AX20" s="130" t="n">
        <f aca="false">IVA!AS20/IVA!CL16</f>
        <v>0.0202234133986776</v>
      </c>
      <c r="AY20" s="130" t="n">
        <f aca="false">IVA!AT20/IVA!CM16</f>
        <v>0.0199327328352953</v>
      </c>
      <c r="AZ20" s="131" t="n">
        <f aca="false">IVA!AU20/IVA!CN16</f>
        <v>0.0771356613277183</v>
      </c>
      <c r="BA20" s="132" t="n">
        <v>2007</v>
      </c>
      <c r="BB20" s="133" t="s">
        <v>80</v>
      </c>
      <c r="BC20" s="133"/>
      <c r="BD20" s="133"/>
      <c r="BE20" s="133"/>
      <c r="BF20" s="134" t="n">
        <f aca="false">0.89*IVA!AE20</f>
        <v>4114635.9089673</v>
      </c>
      <c r="BG20" s="134" t="n">
        <f aca="false">0.89*IVA!AF20</f>
        <v>3799663.6647829</v>
      </c>
      <c r="BH20" s="134" t="n">
        <f aca="false">0.89*IVA!AG20</f>
        <v>4009027.0308998</v>
      </c>
      <c r="BI20" s="134" t="n">
        <f aca="false">0.89*IVA!AH20</f>
        <v>3888260.5952372</v>
      </c>
      <c r="BJ20" s="134" t="n">
        <f aca="false">0.89*IVA!AI20</f>
        <v>4496308.5144074</v>
      </c>
      <c r="BK20" s="134" t="n">
        <f aca="false">0.89*IVA!AJ20</f>
        <v>4499825.9815833</v>
      </c>
      <c r="BL20" s="134" t="n">
        <f aca="false">0.89*IVA!AK20</f>
        <v>5006773.4665652</v>
      </c>
      <c r="BM20" s="134" t="n">
        <f aca="false">0.89*IVA!AL20</f>
        <v>5326410.2786335</v>
      </c>
      <c r="BN20" s="134" t="n">
        <f aca="false">0.89*IVA!AM20</f>
        <v>4560188.6805892</v>
      </c>
      <c r="BO20" s="134" t="n">
        <f aca="false">0.89*IVA!AN20</f>
        <v>5156408.3677368</v>
      </c>
      <c r="BP20" s="134" t="n">
        <f aca="false">0.89*IVA!AO20</f>
        <v>5228100.4332864</v>
      </c>
      <c r="BQ20" s="134" t="n">
        <f aca="false">0.89*IVA!AP20</f>
        <v>5690089.7526941</v>
      </c>
      <c r="BR20" s="175" t="n">
        <f aca="false">0.89*IVA!AQ20</f>
        <v>11923326.60465</v>
      </c>
      <c r="BS20" s="175" t="n">
        <f aca="false">0.89*IVA!AR20</f>
        <v>12884395.0912279</v>
      </c>
      <c r="BT20" s="175" t="n">
        <f aca="false">0.89*IVA!AS20</f>
        <v>14893372.4257879</v>
      </c>
      <c r="BU20" s="176" t="n">
        <f aca="false">0.89*IVA!AT20</f>
        <v>16074598.5537173</v>
      </c>
      <c r="BV20" s="137" t="n">
        <f aca="false">0.89*IVA!AU20</f>
        <v>55775692.6753831</v>
      </c>
      <c r="BW20" s="138" t="n">
        <f aca="false">IVA!BR20/IVA!CJ16</f>
        <v>0.0175054712894204</v>
      </c>
      <c r="BX20" s="139" t="n">
        <f aca="false">IVA!BS20/IVA!CK16</f>
        <v>0.0154280986927975</v>
      </c>
      <c r="BY20" s="138" t="n">
        <f aca="false">IVA!BT20/IVA!CL16</f>
        <v>0.0179988379248231</v>
      </c>
      <c r="BZ20" s="138" t="n">
        <f aca="false">IVA!BU20/IVA!CM16</f>
        <v>0.0177401322234128</v>
      </c>
      <c r="CA20" s="140" t="n">
        <f aca="false">IVA!BV20/IVA!CN16</f>
        <v>0.0686507385816693</v>
      </c>
      <c r="CH20" s="13"/>
      <c r="CI20" s="53" t="n">
        <v>2011</v>
      </c>
      <c r="CJ20" s="54" t="n">
        <f aca="false">IVA!AQ276*1000</f>
        <v>1567580000</v>
      </c>
      <c r="CK20" s="54" t="n">
        <f aca="false">IVA!AR276*1000</f>
        <v>1976227335.64862</v>
      </c>
      <c r="CL20" s="54" t="n">
        <f aca="false">IVA!AS276*1000</f>
        <v>1865390901.29288</v>
      </c>
      <c r="CM20" s="54" t="n">
        <f aca="false">IVA!AT276*1000</f>
        <v>1958890125.10449</v>
      </c>
      <c r="CN20" s="55" t="n">
        <f aca="false">IVA!AU276*1000</f>
        <v>1842022134.73722</v>
      </c>
      <c r="CO20" s="63"/>
      <c r="CP20" s="63"/>
      <c r="CQ20" s="13"/>
      <c r="CS20" s="220"/>
      <c r="CT20" s="99" t="s">
        <v>215</v>
      </c>
      <c r="CU20" s="198" t="n">
        <v>0</v>
      </c>
      <c r="CV20" s="199" t="n">
        <v>0</v>
      </c>
      <c r="CW20" s="200" t="n">
        <v>0</v>
      </c>
      <c r="CX20" s="148" t="n">
        <v>0</v>
      </c>
      <c r="CY20" s="199" t="n">
        <v>0</v>
      </c>
      <c r="CZ20" s="199" t="n">
        <v>0</v>
      </c>
      <c r="DA20" s="199" t="n">
        <v>29032799.993</v>
      </c>
      <c r="DB20" s="199" t="n">
        <v>29032799.993</v>
      </c>
      <c r="DC20" s="201" t="n">
        <v>0</v>
      </c>
      <c r="DD20" s="199" t="n">
        <v>0</v>
      </c>
      <c r="DE20" s="199" t="n">
        <v>0</v>
      </c>
      <c r="DF20" s="199" t="n">
        <v>0</v>
      </c>
      <c r="DG20" s="202" t="n">
        <v>29032799.993</v>
      </c>
      <c r="DH20" s="148"/>
      <c r="DI20" s="115"/>
      <c r="DJ20" s="116" t="s">
        <v>102</v>
      </c>
      <c r="DK20" s="166" t="n">
        <v>31322500</v>
      </c>
      <c r="DL20" s="148"/>
      <c r="DM20" s="117" t="s">
        <v>74</v>
      </c>
      <c r="DN20" s="118" t="n">
        <v>2005</v>
      </c>
      <c r="DO20" s="119" t="n">
        <v>1500</v>
      </c>
      <c r="DP20" s="119" t="n">
        <v>1911300</v>
      </c>
      <c r="DQ20" s="119" t="n">
        <v>0</v>
      </c>
      <c r="DR20" s="119" t="n">
        <v>20896400</v>
      </c>
      <c r="DS20" s="119" t="n">
        <v>24905100</v>
      </c>
      <c r="DT20" s="119" t="n">
        <v>2095900</v>
      </c>
      <c r="DU20" s="119" t="n">
        <v>0</v>
      </c>
      <c r="DV20" s="119" t="n">
        <v>24905100</v>
      </c>
      <c r="DW20" s="120" t="n">
        <f aca="false">IVA!CY40/IVA!DV20</f>
        <v>0.790368237830806</v>
      </c>
      <c r="DX20" s="121"/>
      <c r="DY20" s="215" t="s">
        <v>216</v>
      </c>
      <c r="EA20" s="179"/>
      <c r="EB20" s="230" t="s">
        <v>217</v>
      </c>
      <c r="EC20" s="230" t="s">
        <v>218</v>
      </c>
      <c r="ED20" s="230" t="s">
        <v>219</v>
      </c>
      <c r="EE20" s="230" t="s">
        <v>220</v>
      </c>
      <c r="EF20" s="230" t="s">
        <v>221</v>
      </c>
      <c r="EG20" s="231" t="s">
        <v>222</v>
      </c>
      <c r="EH20" s="232" t="s">
        <v>223</v>
      </c>
      <c r="EJ20" s="31" t="n">
        <v>1968</v>
      </c>
      <c r="EK20" s="32" t="n">
        <v>1970.922</v>
      </c>
      <c r="EL20" s="33" t="n">
        <v>1534.386</v>
      </c>
      <c r="EN20" s="122" t="s">
        <v>224</v>
      </c>
      <c r="EO20" s="173" t="s">
        <v>225</v>
      </c>
      <c r="EP20" s="122" t="s">
        <v>226</v>
      </c>
      <c r="EQ20" s="122" t="s">
        <v>227</v>
      </c>
      <c r="ER20" s="174" t="n">
        <v>40.057</v>
      </c>
      <c r="EU20" s="122" t="s">
        <v>208</v>
      </c>
      <c r="EV20" s="181" t="n">
        <v>308</v>
      </c>
      <c r="EW20" s="122" t="s">
        <v>228</v>
      </c>
      <c r="EX20" s="122" t="s">
        <v>229</v>
      </c>
      <c r="EY20" s="122" t="s">
        <v>230</v>
      </c>
      <c r="FA20" s="182" t="n">
        <f aca="false">IVA!EY20*IVA!EO19*12/1000</f>
        <v>16029781.37064</v>
      </c>
      <c r="FB20" s="34" t="n">
        <f aca="false">IVA!FA20/IVA!CM13</f>
        <v>0.034000045382049</v>
      </c>
      <c r="FC20" s="34"/>
    </row>
    <row r="21" customFormat="false" ht="12.75" hidden="false" customHeight="true" outlineLevel="0" collapsed="false">
      <c r="AA21" s="123" t="n">
        <v>2008</v>
      </c>
      <c r="AB21" s="123" t="s">
        <v>79</v>
      </c>
      <c r="AC21" s="124"/>
      <c r="AD21" s="125"/>
      <c r="AE21" s="192" t="n">
        <v>6728245.85815</v>
      </c>
      <c r="AF21" s="192" t="n">
        <v>5916205.68879</v>
      </c>
      <c r="AG21" s="192" t="n">
        <v>5755795.71448</v>
      </c>
      <c r="AH21" s="192" t="n">
        <v>6581288.9736</v>
      </c>
      <c r="AI21" s="192" t="n">
        <v>6711320.69695</v>
      </c>
      <c r="AJ21" s="192" t="n">
        <v>6629561.18115</v>
      </c>
      <c r="AK21" s="192" t="n">
        <v>6846815.22099</v>
      </c>
      <c r="AL21" s="192" t="n">
        <v>7107465.70897</v>
      </c>
      <c r="AM21" s="192" t="n">
        <v>7295943.06996</v>
      </c>
      <c r="AN21" s="192" t="n">
        <v>7209386.68131</v>
      </c>
      <c r="AO21" s="192" t="n">
        <v>6794315.25628</v>
      </c>
      <c r="AP21" s="192" t="n">
        <v>6652560.76914</v>
      </c>
      <c r="AQ21" s="128" t="n">
        <f aca="false">IVA!AE21+IVA!AF21+IVA!AG21</f>
        <v>18400247.26142</v>
      </c>
      <c r="AR21" s="128" t="n">
        <f aca="false">IVA!AH21+IVA!AI21+IVA!AJ21</f>
        <v>19922170.8517</v>
      </c>
      <c r="AS21" s="128" t="n">
        <f aca="false">IVA!AK21+IVA!AL21+IVA!AM21</f>
        <v>21250223.99992</v>
      </c>
      <c r="AT21" s="128" t="n">
        <f aca="false">IVA!AN21+IVA!AO21+IVA!AP21</f>
        <v>20656262.70673</v>
      </c>
      <c r="AU21" s="129" t="n">
        <f aca="false">IVA!AQ21+IVA!AR21+IVA!AS21+IVA!AT21</f>
        <v>80228904.81977</v>
      </c>
      <c r="AV21" s="130" t="n">
        <f aca="false">IVA!AQ21/IVA!CJ17</f>
        <v>0.020729332920352</v>
      </c>
      <c r="AW21" s="130" t="n">
        <f aca="false">IVA!AR21/IVA!CK17</f>
        <v>0.017981226220452</v>
      </c>
      <c r="AX21" s="130" t="n">
        <f aca="false">IVA!AS21/IVA!CL17</f>
        <v>0.0200938093287236</v>
      </c>
      <c r="AY21" s="130" t="n">
        <f aca="false">IVA!AT21/IVA!CM17</f>
        <v>0.0191634955956939</v>
      </c>
      <c r="AZ21" s="131" t="n">
        <f aca="false">IVA!AU21/IVA!CN17</f>
        <v>0.0776841281498376</v>
      </c>
      <c r="BA21" s="132" t="n">
        <v>2008</v>
      </c>
      <c r="BB21" s="133" t="s">
        <v>80</v>
      </c>
      <c r="BC21" s="133"/>
      <c r="BD21" s="133"/>
      <c r="BE21" s="133"/>
      <c r="BF21" s="134" t="n">
        <f aca="false">0.89*IVA!AE21</f>
        <v>5988138.8137535</v>
      </c>
      <c r="BG21" s="134" t="n">
        <f aca="false">0.89*IVA!AF21</f>
        <v>5265423.0630231</v>
      </c>
      <c r="BH21" s="134" t="n">
        <f aca="false">0.89*IVA!AG21</f>
        <v>5122658.1858872</v>
      </c>
      <c r="BI21" s="134" t="n">
        <f aca="false">0.89*IVA!AH21</f>
        <v>5857347.186504</v>
      </c>
      <c r="BJ21" s="134" t="n">
        <f aca="false">0.89*IVA!AI21</f>
        <v>5973075.4202855</v>
      </c>
      <c r="BK21" s="134" t="n">
        <f aca="false">0.89*IVA!AJ21</f>
        <v>5900309.4512235</v>
      </c>
      <c r="BL21" s="134" t="n">
        <f aca="false">0.89*IVA!AK21</f>
        <v>6093665.5466811</v>
      </c>
      <c r="BM21" s="134" t="n">
        <f aca="false">0.89*IVA!AL21</f>
        <v>6325644.4809833</v>
      </c>
      <c r="BN21" s="134" t="n">
        <f aca="false">0.89*IVA!AM21</f>
        <v>6493389.3322644</v>
      </c>
      <c r="BO21" s="134" t="n">
        <f aca="false">0.89*IVA!AN21</f>
        <v>6416354.1463659</v>
      </c>
      <c r="BP21" s="134" t="n">
        <f aca="false">0.89*IVA!AO21</f>
        <v>6046940.5780892</v>
      </c>
      <c r="BQ21" s="134" t="n">
        <f aca="false">0.89*IVA!AP21</f>
        <v>5920779.0845346</v>
      </c>
      <c r="BR21" s="175" t="n">
        <f aca="false">0.89*IVA!AQ21</f>
        <v>16376220.0626638</v>
      </c>
      <c r="BS21" s="175" t="n">
        <f aca="false">0.89*IVA!AR21</f>
        <v>17730732.058013</v>
      </c>
      <c r="BT21" s="175" t="n">
        <f aca="false">0.89*IVA!AS21</f>
        <v>18912699.3599288</v>
      </c>
      <c r="BU21" s="176" t="n">
        <f aca="false">0.89*IVA!AT21</f>
        <v>18384073.8089897</v>
      </c>
      <c r="BV21" s="137" t="n">
        <f aca="false">0.89*IVA!AU21</f>
        <v>71403725.2895953</v>
      </c>
      <c r="BW21" s="138" t="n">
        <f aca="false">IVA!BR21/IVA!CJ17</f>
        <v>0.0184491062991133</v>
      </c>
      <c r="BX21" s="139" t="n">
        <f aca="false">IVA!BS21/IVA!CK17</f>
        <v>0.0160032913362023</v>
      </c>
      <c r="BY21" s="138" t="n">
        <f aca="false">IVA!BT21/IVA!CL17</f>
        <v>0.017883490302564</v>
      </c>
      <c r="BZ21" s="138" t="n">
        <f aca="false">IVA!BU21/IVA!CM17</f>
        <v>0.0170555110801675</v>
      </c>
      <c r="CA21" s="140" t="n">
        <f aca="false">IVA!BV21/IVA!CN17</f>
        <v>0.0691388740533555</v>
      </c>
      <c r="CH21" s="13"/>
      <c r="CI21" s="233" t="n">
        <v>2012</v>
      </c>
      <c r="CJ21" s="234" t="n">
        <f aca="false">IVA!AQ277*1000</f>
        <v>1874935000</v>
      </c>
      <c r="CK21" s="234" t="n">
        <f aca="false">IVA!AR277*1000</f>
        <v>2273161692.87246</v>
      </c>
      <c r="CL21" s="234" t="n">
        <f aca="false">IVA!AS277*1000</f>
        <v>2182909396.91315</v>
      </c>
      <c r="CM21" s="54" t="n">
        <f aca="false">2325977.39234812*1000</f>
        <v>2325977392.34812</v>
      </c>
      <c r="CN21" s="55" t="n">
        <f aca="false">2164245.87591353*1000</f>
        <v>2164245875.91353</v>
      </c>
      <c r="CO21" s="63" t="s">
        <v>231</v>
      </c>
      <c r="CP21" s="63"/>
      <c r="CQ21" s="13"/>
      <c r="CS21" s="220"/>
      <c r="CT21" s="99" t="s">
        <v>232</v>
      </c>
      <c r="CU21" s="198" t="n">
        <v>0</v>
      </c>
      <c r="CV21" s="199" t="n">
        <v>0</v>
      </c>
      <c r="CW21" s="200" t="n">
        <v>0</v>
      </c>
      <c r="CX21" s="148" t="n">
        <v>0</v>
      </c>
      <c r="CY21" s="199" t="n">
        <v>10872389.108</v>
      </c>
      <c r="CZ21" s="199" t="n">
        <v>0</v>
      </c>
      <c r="DA21" s="199" t="n">
        <v>0</v>
      </c>
      <c r="DB21" s="199" t="n">
        <v>10872389.108</v>
      </c>
      <c r="DC21" s="201" t="n">
        <v>0</v>
      </c>
      <c r="DD21" s="199" t="n">
        <v>0</v>
      </c>
      <c r="DE21" s="199" t="n">
        <v>0</v>
      </c>
      <c r="DF21" s="199" t="n">
        <v>0</v>
      </c>
      <c r="DG21" s="202" t="n">
        <v>10872389.108</v>
      </c>
      <c r="DH21" s="148"/>
      <c r="DI21" s="99" t="n">
        <v>2005</v>
      </c>
      <c r="DJ21" s="99" t="s">
        <v>84</v>
      </c>
      <c r="DK21" s="147" t="n">
        <v>24540197</v>
      </c>
      <c r="DL21" s="148"/>
      <c r="DM21" s="149" t="s">
        <v>74</v>
      </c>
      <c r="DN21" s="150" t="n">
        <v>2006</v>
      </c>
      <c r="DO21" s="151" t="n">
        <v>1200</v>
      </c>
      <c r="DP21" s="151" t="n">
        <v>2546700</v>
      </c>
      <c r="DQ21" s="151" t="n">
        <v>1400</v>
      </c>
      <c r="DR21" s="151" t="n">
        <v>27166700</v>
      </c>
      <c r="DS21" s="151" t="n">
        <v>32190400</v>
      </c>
      <c r="DT21" s="151" t="n">
        <v>2474400</v>
      </c>
      <c r="DU21" s="151" t="n">
        <v>0</v>
      </c>
      <c r="DV21" s="151" t="n">
        <v>32190400</v>
      </c>
      <c r="DW21" s="152" t="n">
        <f aca="false">IVA!CY39/IVA!DV21</f>
        <v>0.757680954570307</v>
      </c>
      <c r="DX21" s="153"/>
      <c r="DY21" s="215" t="s">
        <v>233</v>
      </c>
      <c r="EA21" s="195"/>
      <c r="EB21" s="230" t="s">
        <v>234</v>
      </c>
      <c r="EC21" s="230" t="s">
        <v>235</v>
      </c>
      <c r="ED21" s="230" t="s">
        <v>236</v>
      </c>
      <c r="EE21" s="230" t="s">
        <v>237</v>
      </c>
      <c r="EF21" s="230" t="s">
        <v>237</v>
      </c>
      <c r="EG21" s="231" t="s">
        <v>238</v>
      </c>
      <c r="EH21" s="232" t="s">
        <v>239</v>
      </c>
      <c r="EJ21" s="31" t="n">
        <v>1969</v>
      </c>
      <c r="EK21" s="32" t="n">
        <v>2041.472</v>
      </c>
      <c r="EL21" s="33" t="n">
        <v>1589.88</v>
      </c>
      <c r="EN21" s="122" t="s">
        <v>240</v>
      </c>
      <c r="EO21" s="173" t="s">
        <v>241</v>
      </c>
      <c r="EP21" s="122" t="s">
        <v>242</v>
      </c>
      <c r="EQ21" s="122" t="s">
        <v>243</v>
      </c>
      <c r="ER21" s="174" t="n">
        <v>37.382</v>
      </c>
      <c r="EU21" s="122" t="s">
        <v>224</v>
      </c>
      <c r="EV21" s="181" t="n">
        <v>390</v>
      </c>
      <c r="EW21" s="122" t="s">
        <v>244</v>
      </c>
      <c r="EX21" s="122" t="s">
        <v>245</v>
      </c>
      <c r="EY21" s="122" t="s">
        <v>246</v>
      </c>
      <c r="FA21" s="182" t="n">
        <f aca="false">IVA!EY21*IVA!EO20*12/1000</f>
        <v>18054562.33512</v>
      </c>
      <c r="FB21" s="34" t="n">
        <f aca="false">IVA!FA21/IVA!CM14</f>
        <v>0.0314347106417986</v>
      </c>
      <c r="FC21" s="34"/>
    </row>
    <row r="22" customFormat="false" ht="12.75" hidden="false" customHeight="true" outlineLevel="0" collapsed="false">
      <c r="AA22" s="123" t="n">
        <v>2009</v>
      </c>
      <c r="AB22" s="123" t="s">
        <v>79</v>
      </c>
      <c r="AC22" s="124"/>
      <c r="AD22" s="125"/>
      <c r="AE22" s="192" t="n">
        <v>6706199</v>
      </c>
      <c r="AF22" s="192" t="n">
        <v>6745113</v>
      </c>
      <c r="AG22" s="192" t="n">
        <v>6693073</v>
      </c>
      <c r="AH22" s="192" t="n">
        <v>6938124</v>
      </c>
      <c r="AI22" s="192" t="n">
        <v>6731003</v>
      </c>
      <c r="AJ22" s="192" t="n">
        <v>7247128</v>
      </c>
      <c r="AK22" s="192" t="n">
        <v>7799794</v>
      </c>
      <c r="AL22" s="192" t="n">
        <v>7517149</v>
      </c>
      <c r="AM22" s="192" t="n">
        <v>7922536</v>
      </c>
      <c r="AN22" s="192" t="n">
        <v>7683578</v>
      </c>
      <c r="AO22" s="192" t="n">
        <v>7424121</v>
      </c>
      <c r="AP22" s="192" t="n">
        <v>7977915</v>
      </c>
      <c r="AQ22" s="128" t="n">
        <f aca="false">IVA!AE22+IVA!AF22+IVA!AG22</f>
        <v>20144385</v>
      </c>
      <c r="AR22" s="128" t="n">
        <f aca="false">IVA!AH22+IVA!AI22+IVA!AJ22</f>
        <v>20916255</v>
      </c>
      <c r="AS22" s="128" t="n">
        <f aca="false">IVA!AK22+IVA!AL22+IVA!AM22</f>
        <v>23239479</v>
      </c>
      <c r="AT22" s="128" t="n">
        <f aca="false">IVA!AN22+IVA!AO22+IVA!AP22</f>
        <v>23085614</v>
      </c>
      <c r="AU22" s="129" t="n">
        <f aca="false">IVA!AQ22+IVA!AR22+IVA!AS22+IVA!AT22</f>
        <v>87385733</v>
      </c>
      <c r="AV22" s="130" t="n">
        <f aca="false">IVA!AQ22/IVA!CJ18</f>
        <v>0.0202871660748347</v>
      </c>
      <c r="AW22" s="130" t="n">
        <f aca="false">IVA!AR22/IVA!CK18</f>
        <v>0.0174976888548112</v>
      </c>
      <c r="AX22" s="130" t="n">
        <f aca="false">IVA!AS22/IVA!CL18</f>
        <v>0.0198832822180178</v>
      </c>
      <c r="AY22" s="130" t="n">
        <f aca="false">IVA!AT22/IVA!CM18</f>
        <v>0.0188499577867982</v>
      </c>
      <c r="AZ22" s="131" t="n">
        <f aca="false">IVA!AU22/IVA!CN18</f>
        <v>0.0762888795040804</v>
      </c>
      <c r="BA22" s="132" t="n">
        <v>2009</v>
      </c>
      <c r="BB22" s="133" t="s">
        <v>80</v>
      </c>
      <c r="BC22" s="133"/>
      <c r="BD22" s="133"/>
      <c r="BE22" s="133"/>
      <c r="BF22" s="134" t="n">
        <f aca="false">0.89*IVA!AE22</f>
        <v>5968517.11</v>
      </c>
      <c r="BG22" s="134" t="n">
        <f aca="false">0.89*IVA!AF22</f>
        <v>6003150.57</v>
      </c>
      <c r="BH22" s="134" t="n">
        <f aca="false">0.89*IVA!AG22</f>
        <v>5956834.97</v>
      </c>
      <c r="BI22" s="134" t="n">
        <f aca="false">0.89*IVA!AH22</f>
        <v>6174930.36</v>
      </c>
      <c r="BJ22" s="134" t="n">
        <f aca="false">0.89*IVA!AI22</f>
        <v>5990592.67</v>
      </c>
      <c r="BK22" s="134" t="n">
        <f aca="false">0.89*IVA!AJ22</f>
        <v>6449943.92</v>
      </c>
      <c r="BL22" s="134" t="n">
        <f aca="false">0.89*IVA!AK22</f>
        <v>6941816.66</v>
      </c>
      <c r="BM22" s="134" t="n">
        <f aca="false">0.89*IVA!AL22</f>
        <v>6690262.61</v>
      </c>
      <c r="BN22" s="134" t="n">
        <f aca="false">0.89*IVA!AM22</f>
        <v>7051057.04</v>
      </c>
      <c r="BO22" s="134" t="n">
        <f aca="false">0.89*IVA!AN22</f>
        <v>6838384.42</v>
      </c>
      <c r="BP22" s="134" t="n">
        <f aca="false">0.89*IVA!AO22</f>
        <v>6607467.69</v>
      </c>
      <c r="BQ22" s="134" t="n">
        <f aca="false">0.89*IVA!AP22</f>
        <v>7100344.35</v>
      </c>
      <c r="BR22" s="175" t="n">
        <f aca="false">0.89*IVA!AQ22</f>
        <v>17928502.65</v>
      </c>
      <c r="BS22" s="175" t="n">
        <f aca="false">0.89*IVA!AR22</f>
        <v>18615466.95</v>
      </c>
      <c r="BT22" s="175" t="n">
        <f aca="false">0.89*IVA!AS22</f>
        <v>20683136.31</v>
      </c>
      <c r="BU22" s="176" t="n">
        <f aca="false">0.89*IVA!AT22</f>
        <v>20546196.46</v>
      </c>
      <c r="BV22" s="137" t="n">
        <f aca="false">0.89*IVA!AU22</f>
        <v>77773302.37</v>
      </c>
      <c r="BW22" s="138" t="n">
        <f aca="false">IVA!BR22/IVA!CJ18</f>
        <v>0.0180555778066029</v>
      </c>
      <c r="BX22" s="139" t="n">
        <f aca="false">IVA!BS22/IVA!CK18</f>
        <v>0.015572943080782</v>
      </c>
      <c r="BY22" s="138" t="n">
        <f aca="false">IVA!BT22/IVA!CL18</f>
        <v>0.0176961211740358</v>
      </c>
      <c r="BZ22" s="138" t="n">
        <f aca="false">IVA!BU22/IVA!CM18</f>
        <v>0.0167764624302504</v>
      </c>
      <c r="CA22" s="140" t="n">
        <f aca="false">IVA!BV22/IVA!CN18</f>
        <v>0.0678971027586316</v>
      </c>
      <c r="CH22" s="13"/>
      <c r="CI22" s="235"/>
      <c r="CJ22" s="63"/>
      <c r="CK22" s="63"/>
      <c r="CL22" s="63"/>
      <c r="CM22" s="63"/>
      <c r="CN22" s="63"/>
      <c r="CO22" s="63"/>
      <c r="CP22" s="63"/>
      <c r="CQ22" s="13"/>
      <c r="CS22" s="220"/>
      <c r="CT22" s="99" t="s">
        <v>247</v>
      </c>
      <c r="CU22" s="198" t="n">
        <v>0</v>
      </c>
      <c r="CV22" s="199" t="n">
        <v>0</v>
      </c>
      <c r="CW22" s="200" t="n">
        <v>0</v>
      </c>
      <c r="CX22" s="148" t="n">
        <v>0</v>
      </c>
      <c r="CY22" s="199" t="n">
        <v>1729371.119</v>
      </c>
      <c r="CZ22" s="199" t="n">
        <v>0</v>
      </c>
      <c r="DA22" s="199" t="n">
        <v>0</v>
      </c>
      <c r="DB22" s="199" t="n">
        <v>1729371.119</v>
      </c>
      <c r="DC22" s="201" t="n">
        <v>0</v>
      </c>
      <c r="DD22" s="199" t="n">
        <v>0</v>
      </c>
      <c r="DE22" s="199" t="n">
        <v>0</v>
      </c>
      <c r="DF22" s="199" t="n">
        <v>0</v>
      </c>
      <c r="DG22" s="202" t="n">
        <v>1729371.119</v>
      </c>
      <c r="DH22" s="148"/>
      <c r="DI22" s="115"/>
      <c r="DJ22" s="116" t="s">
        <v>102</v>
      </c>
      <c r="DK22" s="166" t="n">
        <v>24278178</v>
      </c>
      <c r="DL22" s="148"/>
      <c r="DM22" s="117" t="s">
        <v>74</v>
      </c>
      <c r="DN22" s="118" t="n">
        <v>2007</v>
      </c>
      <c r="DO22" s="119" t="n">
        <v>1200</v>
      </c>
      <c r="DP22" s="119" t="n">
        <v>3793400</v>
      </c>
      <c r="DQ22" s="119" t="n">
        <v>2000</v>
      </c>
      <c r="DR22" s="119" t="n">
        <v>43694100</v>
      </c>
      <c r="DS22" s="119" t="n">
        <v>50460800</v>
      </c>
      <c r="DT22" s="119" t="n">
        <v>2970100</v>
      </c>
      <c r="DU22" s="119" t="n">
        <v>0</v>
      </c>
      <c r="DV22" s="119" t="n">
        <v>50460800</v>
      </c>
      <c r="DW22" s="120" t="n">
        <f aca="false">IVA!CY38/IVA!DV22</f>
        <v>0.679685181328873</v>
      </c>
      <c r="DX22" s="121"/>
      <c r="DY22" s="222" t="s">
        <v>248</v>
      </c>
      <c r="DZ22" s="223"/>
      <c r="EA22" s="206"/>
      <c r="EB22" s="236" t="s">
        <v>249</v>
      </c>
      <c r="EC22" s="236" t="s">
        <v>250</v>
      </c>
      <c r="ED22" s="236" t="s">
        <v>251</v>
      </c>
      <c r="EE22" s="236" t="s">
        <v>252</v>
      </c>
      <c r="EF22" s="236" t="s">
        <v>252</v>
      </c>
      <c r="EG22" s="237" t="s">
        <v>253</v>
      </c>
      <c r="EH22" s="238" t="s">
        <v>254</v>
      </c>
      <c r="EJ22" s="31" t="n">
        <v>1970</v>
      </c>
      <c r="EK22" s="32" t="n">
        <v>2113.574</v>
      </c>
      <c r="EL22" s="33" t="n">
        <v>1647.002</v>
      </c>
      <c r="EN22" s="122" t="s">
        <v>255</v>
      </c>
      <c r="EO22" s="173" t="s">
        <v>256</v>
      </c>
      <c r="EP22" s="122" t="s">
        <v>257</v>
      </c>
      <c r="EQ22" s="122" t="s">
        <v>258</v>
      </c>
      <c r="ER22" s="174" t="n">
        <v>34.433</v>
      </c>
      <c r="EU22" s="122" t="s">
        <v>240</v>
      </c>
      <c r="EV22" s="181" t="n">
        <v>470</v>
      </c>
      <c r="EW22" s="122" t="s">
        <v>259</v>
      </c>
      <c r="EX22" s="122" t="s">
        <v>260</v>
      </c>
      <c r="EY22" s="122" t="s">
        <v>261</v>
      </c>
      <c r="FA22" s="182" t="n">
        <f aca="false">IVA!EY22*IVA!EO21*12/1000</f>
        <v>23666730.02424</v>
      </c>
      <c r="FB22" s="34" t="n">
        <f aca="false">IVA!FA22/IVA!CM15</f>
        <v>0.0336516476769834</v>
      </c>
      <c r="FC22" s="34"/>
    </row>
    <row r="23" customFormat="false" ht="12.75" hidden="false" customHeight="true" outlineLevel="0" collapsed="false">
      <c r="AA23" s="123" t="n">
        <v>2010</v>
      </c>
      <c r="AB23" s="123" t="s">
        <v>79</v>
      </c>
      <c r="AC23" s="124"/>
      <c r="AD23" s="125"/>
      <c r="AE23" s="192" t="n">
        <v>8255321</v>
      </c>
      <c r="AF23" s="192" t="n">
        <v>8239567</v>
      </c>
      <c r="AG23" s="192" t="n">
        <v>8574261</v>
      </c>
      <c r="AH23" s="192" t="n">
        <v>8835472</v>
      </c>
      <c r="AI23" s="192" t="n">
        <v>8953236</v>
      </c>
      <c r="AJ23" s="192" t="n">
        <v>9938015</v>
      </c>
      <c r="AK23" s="192" t="n">
        <v>10155768</v>
      </c>
      <c r="AL23" s="192" t="n">
        <v>10311782</v>
      </c>
      <c r="AM23" s="192" t="n">
        <v>10723052</v>
      </c>
      <c r="AN23" s="192" t="n">
        <v>10123143</v>
      </c>
      <c r="AO23" s="192" t="n">
        <v>10634620</v>
      </c>
      <c r="AP23" s="192" t="n">
        <v>11641750</v>
      </c>
      <c r="AQ23" s="128" t="n">
        <f aca="false">IVA!AE23+IVA!AF23+IVA!AG23</f>
        <v>25069149</v>
      </c>
      <c r="AR23" s="128" t="n">
        <f aca="false">IVA!AH23+IVA!AI23+IVA!AJ23</f>
        <v>27726723</v>
      </c>
      <c r="AS23" s="128" t="n">
        <f aca="false">IVA!AK23+IVA!AL23+IVA!AM23</f>
        <v>31190602</v>
      </c>
      <c r="AT23" s="128" t="n">
        <f aca="false">IVA!AN23+IVA!AO23+IVA!AP23</f>
        <v>32399513</v>
      </c>
      <c r="AU23" s="129" t="n">
        <f aca="false">IVA!AQ23+IVA!AR23+IVA!AS23+IVA!AT23</f>
        <v>116385987</v>
      </c>
      <c r="AV23" s="130" t="n">
        <f aca="false">IVA!AQ23/IVA!CJ19</f>
        <v>0.020592689552408</v>
      </c>
      <c r="AW23" s="130" t="n">
        <f aca="false">IVA!AR23/IVA!CK19</f>
        <v>0.0183829387516884</v>
      </c>
      <c r="AX23" s="130" t="n">
        <f aca="false">IVA!AS23/IVA!CL19</f>
        <v>0.0212780708054113</v>
      </c>
      <c r="AY23" s="130" t="n">
        <f aca="false">IVA!AT23/IVA!CM19</f>
        <v>0.0205177291577983</v>
      </c>
      <c r="AZ23" s="131" t="n">
        <f aca="false">IVA!AU23/IVA!CN19</f>
        <v>0.0806748366426734</v>
      </c>
      <c r="BA23" s="132" t="n">
        <v>2010</v>
      </c>
      <c r="BB23" s="133" t="s">
        <v>80</v>
      </c>
      <c r="BC23" s="133"/>
      <c r="BD23" s="133"/>
      <c r="BE23" s="133"/>
      <c r="BF23" s="134" t="n">
        <f aca="false">0.89*IVA!AE23</f>
        <v>7347235.69</v>
      </c>
      <c r="BG23" s="134" t="n">
        <f aca="false">0.89*IVA!AF23</f>
        <v>7333214.63</v>
      </c>
      <c r="BH23" s="134" t="n">
        <f aca="false">0.89*IVA!AG23</f>
        <v>7631092.29</v>
      </c>
      <c r="BI23" s="134" t="n">
        <f aca="false">0.89*IVA!AH23</f>
        <v>7863570.08</v>
      </c>
      <c r="BJ23" s="134" t="n">
        <f aca="false">0.89*IVA!AI23</f>
        <v>7968380.04</v>
      </c>
      <c r="BK23" s="134" t="n">
        <f aca="false">0.89*IVA!AJ23</f>
        <v>8844833.35</v>
      </c>
      <c r="BL23" s="134" t="n">
        <f aca="false">0.89*IVA!AK23</f>
        <v>9038633.52</v>
      </c>
      <c r="BM23" s="134" t="n">
        <f aca="false">0.89*IVA!AL23</f>
        <v>9177485.98</v>
      </c>
      <c r="BN23" s="134" t="n">
        <f aca="false">0.89*IVA!AM23</f>
        <v>9543516.28</v>
      </c>
      <c r="BO23" s="134" t="n">
        <f aca="false">0.89*IVA!AN23</f>
        <v>9009597.27</v>
      </c>
      <c r="BP23" s="134" t="n">
        <f aca="false">0.89*IVA!AO23</f>
        <v>9464811.8</v>
      </c>
      <c r="BQ23" s="134" t="n">
        <f aca="false">0.89*IVA!AP23</f>
        <v>10361157.5</v>
      </c>
      <c r="BR23" s="175" t="n">
        <f aca="false">0.89*IVA!AQ23</f>
        <v>22311542.61</v>
      </c>
      <c r="BS23" s="175" t="n">
        <f aca="false">0.89*IVA!AR23</f>
        <v>24676783.47</v>
      </c>
      <c r="BT23" s="175" t="n">
        <f aca="false">0.89*IVA!AS23</f>
        <v>27759635.78</v>
      </c>
      <c r="BU23" s="176" t="n">
        <f aca="false">0.89*IVA!AT23</f>
        <v>28835566.57</v>
      </c>
      <c r="BV23" s="137" t="n">
        <f aca="false">0.89*IVA!AU23</f>
        <v>103583528.43</v>
      </c>
      <c r="BW23" s="138" t="n">
        <f aca="false">IVA!BR23/IVA!CJ19</f>
        <v>0.0183274937016431</v>
      </c>
      <c r="BX23" s="139" t="n">
        <f aca="false">IVA!BS23/IVA!CK19</f>
        <v>0.0163608154890027</v>
      </c>
      <c r="BY23" s="138" t="n">
        <f aca="false">IVA!BT23/IVA!CL19</f>
        <v>0.0189374830168161</v>
      </c>
      <c r="BZ23" s="138" t="n">
        <f aca="false">IVA!BU23/IVA!CM19</f>
        <v>0.0182607789504405</v>
      </c>
      <c r="CA23" s="140" t="n">
        <f aca="false">IVA!BV23/IVA!CN19</f>
        <v>0.0718006046119793</v>
      </c>
      <c r="CH23" s="13"/>
      <c r="CI23" s="239"/>
      <c r="CJ23" s="26"/>
      <c r="CK23" s="26"/>
      <c r="CL23" s="26"/>
      <c r="CM23" s="26"/>
      <c r="CN23" s="26"/>
      <c r="CO23" s="26"/>
      <c r="CP23" s="26"/>
      <c r="CQ23" s="27"/>
      <c r="CS23" s="220"/>
      <c r="CT23" s="99" t="s">
        <v>262</v>
      </c>
      <c r="CU23" s="198" t="n">
        <v>0</v>
      </c>
      <c r="CV23" s="199" t="n">
        <v>426862.867</v>
      </c>
      <c r="CW23" s="200" t="n">
        <v>426862.867</v>
      </c>
      <c r="CX23" s="148" t="n">
        <v>0</v>
      </c>
      <c r="CY23" s="199" t="n">
        <v>0</v>
      </c>
      <c r="CZ23" s="199" t="n">
        <v>0</v>
      </c>
      <c r="DA23" s="199" t="n">
        <v>0</v>
      </c>
      <c r="DB23" s="199" t="n">
        <v>426862.867</v>
      </c>
      <c r="DC23" s="201" t="n">
        <v>1279889.1</v>
      </c>
      <c r="DD23" s="199" t="n">
        <v>0</v>
      </c>
      <c r="DE23" s="199" t="n">
        <v>0</v>
      </c>
      <c r="DF23" s="199" t="n">
        <v>1279889.1</v>
      </c>
      <c r="DG23" s="202" t="n">
        <v>1706751.967</v>
      </c>
      <c r="DH23" s="148" t="n">
        <v>201515996203</v>
      </c>
      <c r="DI23" s="99" t="n">
        <v>2004</v>
      </c>
      <c r="DJ23" s="99" t="s">
        <v>84</v>
      </c>
      <c r="DK23" s="147" t="n">
        <v>21726488</v>
      </c>
      <c r="DL23" s="148"/>
      <c r="DM23" s="149" t="s">
        <v>74</v>
      </c>
      <c r="DN23" s="150" t="n">
        <v>2008</v>
      </c>
      <c r="DO23" s="151" t="n">
        <v>1200</v>
      </c>
      <c r="DP23" s="151" t="n">
        <v>5077000</v>
      </c>
      <c r="DQ23" s="151" t="n">
        <v>2300</v>
      </c>
      <c r="DR23" s="151" t="n">
        <v>55446800</v>
      </c>
      <c r="DS23" s="151" t="n">
        <v>64551800</v>
      </c>
      <c r="DT23" s="151" t="n">
        <v>4024500</v>
      </c>
      <c r="DU23" s="151" t="n">
        <v>0</v>
      </c>
      <c r="DV23" s="151" t="n">
        <v>64551800</v>
      </c>
      <c r="DW23" s="152" t="n">
        <f aca="false">IVA!CY37/IVA!DV23</f>
        <v>0.773732512199505</v>
      </c>
      <c r="DX23" s="153"/>
      <c r="DY23" s="177" t="s">
        <v>163</v>
      </c>
      <c r="DZ23" s="45"/>
      <c r="EA23" s="210" t="n">
        <v>1995</v>
      </c>
      <c r="EB23" s="227" t="s">
        <v>263</v>
      </c>
      <c r="EC23" s="227" t="s">
        <v>264</v>
      </c>
      <c r="ED23" s="227" t="s">
        <v>265</v>
      </c>
      <c r="EE23" s="227" t="s">
        <v>266</v>
      </c>
      <c r="EF23" s="227" t="s">
        <v>267</v>
      </c>
      <c r="EG23" s="228" t="s">
        <v>268</v>
      </c>
      <c r="EH23" s="229" t="s">
        <v>269</v>
      </c>
      <c r="EJ23" s="31" t="n">
        <v>1971</v>
      </c>
      <c r="EK23" s="32" t="n">
        <v>2189.166</v>
      </c>
      <c r="EL23" s="33" t="n">
        <v>1710.093</v>
      </c>
      <c r="EN23" s="122" t="s">
        <v>270</v>
      </c>
      <c r="EO23" s="173" t="s">
        <v>271</v>
      </c>
      <c r="EP23" s="122" t="s">
        <v>272</v>
      </c>
      <c r="EQ23" s="122" t="s">
        <v>273</v>
      </c>
      <c r="ER23" s="174" t="n">
        <v>32.374</v>
      </c>
      <c r="EU23" s="122" t="s">
        <v>255</v>
      </c>
      <c r="EV23" s="122" t="s">
        <v>274</v>
      </c>
      <c r="EW23" s="122" t="s">
        <v>275</v>
      </c>
      <c r="EX23" s="122" t="s">
        <v>276</v>
      </c>
      <c r="EY23" s="122" t="s">
        <v>277</v>
      </c>
      <c r="FA23" s="182" t="n">
        <f aca="false">IVA!EY23*IVA!EO22*12/1000</f>
        <v>36159494.49648</v>
      </c>
      <c r="FB23" s="34" t="n">
        <f aca="false">IVA!FA23/IVA!CM16</f>
        <v>0.0399060798536073</v>
      </c>
      <c r="FC23" s="34"/>
    </row>
    <row r="24" customFormat="false" ht="12.75" hidden="false" customHeight="true" outlineLevel="0" collapsed="false">
      <c r="AA24" s="123" t="n">
        <v>2011</v>
      </c>
      <c r="AB24" s="123" t="s">
        <v>79</v>
      </c>
      <c r="AC24" s="124"/>
      <c r="AD24" s="125"/>
      <c r="AE24" s="192" t="n">
        <v>11837261</v>
      </c>
      <c r="AF24" s="192" t="n">
        <v>10688599</v>
      </c>
      <c r="AG24" s="192" t="n">
        <v>11738207</v>
      </c>
      <c r="AH24" s="192" t="n">
        <v>11578092</v>
      </c>
      <c r="AI24" s="192" t="n">
        <v>13042289</v>
      </c>
      <c r="AJ24" s="192" t="n">
        <v>12271736</v>
      </c>
      <c r="AK24" s="192" t="n">
        <v>13214158</v>
      </c>
      <c r="AL24" s="192" t="n">
        <v>13565315</v>
      </c>
      <c r="AM24" s="192" t="n">
        <v>14322532</v>
      </c>
      <c r="AN24" s="192" t="n">
        <v>13056506</v>
      </c>
      <c r="AO24" s="192" t="n">
        <v>15087993</v>
      </c>
      <c r="AP24" s="192" t="n">
        <v>13834180</v>
      </c>
      <c r="AQ24" s="128" t="n">
        <f aca="false">IVA!AE24+IVA!AF24+IVA!AG24</f>
        <v>34264067</v>
      </c>
      <c r="AR24" s="128" t="n">
        <f aca="false">IVA!AH24+IVA!AI24+IVA!AJ24</f>
        <v>36892117</v>
      </c>
      <c r="AS24" s="128" t="n">
        <f aca="false">IVA!AK24+IVA!AL24+IVA!AM24</f>
        <v>41102005</v>
      </c>
      <c r="AT24" s="128" t="n">
        <f aca="false">IVA!AN24+IVA!AO24+IVA!AP24</f>
        <v>41978679</v>
      </c>
      <c r="AU24" s="129" t="n">
        <f aca="false">IVA!AQ24+IVA!AR24+IVA!AS24+IVA!AT24</f>
        <v>154236868</v>
      </c>
      <c r="AV24" s="130" t="n">
        <f aca="false">IVA!AQ24/IVA!CJ20</f>
        <v>0.0218579383508338</v>
      </c>
      <c r="AW24" s="130" t="n">
        <f aca="false">IVA!AR24/IVA!CK20</f>
        <v>0.0186679519782533</v>
      </c>
      <c r="AX24" s="130" t="n">
        <f aca="false">IVA!AS24/IVA!CL20</f>
        <v>0.0220339902867076</v>
      </c>
      <c r="AY24" s="130" t="n">
        <f aca="false">IVA!AT24/IVA!CM20</f>
        <v>0.0214298282798076</v>
      </c>
      <c r="AZ24" s="131" t="n">
        <f aca="false">IVA!AU24/IVA!CN20</f>
        <v>0.0837323640641285</v>
      </c>
      <c r="BA24" s="132" t="n">
        <v>2011</v>
      </c>
      <c r="BB24" s="133" t="s">
        <v>80</v>
      </c>
      <c r="BC24" s="133"/>
      <c r="BD24" s="133"/>
      <c r="BE24" s="133"/>
      <c r="BF24" s="134" t="n">
        <f aca="false">0.89*IVA!AE24</f>
        <v>10535162.29</v>
      </c>
      <c r="BG24" s="134" t="n">
        <f aca="false">0.89*IVA!AF24</f>
        <v>9512853.11</v>
      </c>
      <c r="BH24" s="134" t="n">
        <f aca="false">0.89*IVA!AG24</f>
        <v>10447004.23</v>
      </c>
      <c r="BI24" s="134" t="n">
        <f aca="false">0.89*IVA!AH24</f>
        <v>10304501.88</v>
      </c>
      <c r="BJ24" s="134" t="n">
        <f aca="false">0.89*IVA!AI24</f>
        <v>11607637.21</v>
      </c>
      <c r="BK24" s="134" t="n">
        <f aca="false">0.89*IVA!AJ24</f>
        <v>10921845.04</v>
      </c>
      <c r="BL24" s="134" t="n">
        <f aca="false">0.89*IVA!AK24</f>
        <v>11760600.62</v>
      </c>
      <c r="BM24" s="134" t="n">
        <f aca="false">0.89*IVA!AL24</f>
        <v>12073130.35</v>
      </c>
      <c r="BN24" s="134" t="n">
        <f aca="false">0.89*IVA!AM24</f>
        <v>12747053.48</v>
      </c>
      <c r="BO24" s="134" t="n">
        <f aca="false">0.89*IVA!AN24</f>
        <v>11620290.34</v>
      </c>
      <c r="BP24" s="134" t="n">
        <f aca="false">0.89*IVA!AO24</f>
        <v>13428313.77</v>
      </c>
      <c r="BQ24" s="134" t="n">
        <f aca="false">0.89*IVA!AP24</f>
        <v>12312420.2</v>
      </c>
      <c r="BR24" s="175" t="n">
        <f aca="false">0.89*IVA!AQ24</f>
        <v>30495019.63</v>
      </c>
      <c r="BS24" s="175" t="n">
        <f aca="false">0.89*IVA!AR24</f>
        <v>32833984.13</v>
      </c>
      <c r="BT24" s="175" t="n">
        <f aca="false">0.89*IVA!AS24</f>
        <v>36580784.45</v>
      </c>
      <c r="BU24" s="176" t="n">
        <f aca="false">0.89*IVA!AT24</f>
        <v>37361024.31</v>
      </c>
      <c r="BV24" s="137" t="n">
        <f aca="false">0.89*IVA!AU24</f>
        <v>137270812.52</v>
      </c>
      <c r="BW24" s="138" t="n">
        <f aca="false">IVA!BR24/IVA!CJ20</f>
        <v>0.0194535651322421</v>
      </c>
      <c r="BX24" s="139" t="n">
        <f aca="false">IVA!BS24/IVA!CK20</f>
        <v>0.0166144772606455</v>
      </c>
      <c r="BY24" s="138" t="n">
        <f aca="false">IVA!BT24/IVA!CL20</f>
        <v>0.0196102513551697</v>
      </c>
      <c r="BZ24" s="138" t="n">
        <f aca="false">IVA!BU24/IVA!CM20</f>
        <v>0.0190725471690287</v>
      </c>
      <c r="CA24" s="140" t="n">
        <f aca="false">IVA!BV24/IVA!CN20</f>
        <v>0.0745218040170744</v>
      </c>
      <c r="CH24" s="13"/>
      <c r="CI24" s="239"/>
      <c r="CJ24" s="26"/>
      <c r="CK24" s="26"/>
      <c r="CL24" s="26"/>
      <c r="CM24" s="26"/>
      <c r="CN24" s="26"/>
      <c r="CO24" s="26"/>
      <c r="CP24" s="26"/>
      <c r="CQ24" s="27"/>
      <c r="CS24" s="115"/>
      <c r="CT24" s="116" t="s">
        <v>278</v>
      </c>
      <c r="CU24" s="240" t="n">
        <v>0</v>
      </c>
      <c r="CV24" s="241" t="n">
        <v>0</v>
      </c>
      <c r="CW24" s="242" t="n">
        <v>0</v>
      </c>
      <c r="CX24" s="243" t="n">
        <v>0</v>
      </c>
      <c r="CY24" s="241" t="n">
        <v>0</v>
      </c>
      <c r="CZ24" s="241" t="n">
        <v>0</v>
      </c>
      <c r="DA24" s="241" t="n">
        <v>9377422.998</v>
      </c>
      <c r="DB24" s="241" t="n">
        <v>9377422.998</v>
      </c>
      <c r="DC24" s="244" t="n">
        <v>0</v>
      </c>
      <c r="DD24" s="241" t="n">
        <v>0</v>
      </c>
      <c r="DE24" s="241" t="n">
        <v>0</v>
      </c>
      <c r="DF24" s="241" t="n">
        <v>0</v>
      </c>
      <c r="DG24" s="166" t="n">
        <v>9377422.998</v>
      </c>
      <c r="DH24" s="148"/>
      <c r="DI24" s="115"/>
      <c r="DJ24" s="116" t="s">
        <v>102</v>
      </c>
      <c r="DK24" s="166" t="n">
        <v>21491769</v>
      </c>
      <c r="DL24" s="148"/>
      <c r="DM24" s="117" t="s">
        <v>74</v>
      </c>
      <c r="DN24" s="118" t="n">
        <v>2009</v>
      </c>
      <c r="DO24" s="119" t="n">
        <v>300</v>
      </c>
      <c r="DP24" s="119" t="n">
        <v>7496600</v>
      </c>
      <c r="DQ24" s="119" t="n">
        <v>2300</v>
      </c>
      <c r="DR24" s="119" t="n">
        <v>70405400</v>
      </c>
      <c r="DS24" s="119" t="n">
        <v>83240000</v>
      </c>
      <c r="DT24" s="119" t="n">
        <v>5335400</v>
      </c>
      <c r="DU24" s="119" t="n">
        <v>0</v>
      </c>
      <c r="DV24" s="119" t="n">
        <v>83240000</v>
      </c>
      <c r="DW24" s="120" t="n">
        <f aca="false">IVA!CY36/IVA!DV24</f>
        <v>0.850176310175396</v>
      </c>
      <c r="DX24" s="121"/>
      <c r="DY24" s="215" t="s">
        <v>279</v>
      </c>
      <c r="EA24" s="179"/>
      <c r="EB24" s="230" t="s">
        <v>280</v>
      </c>
      <c r="EC24" s="230" t="s">
        <v>281</v>
      </c>
      <c r="ED24" s="230" t="s">
        <v>282</v>
      </c>
      <c r="EE24" s="230" t="s">
        <v>283</v>
      </c>
      <c r="EF24" s="230" t="s">
        <v>284</v>
      </c>
      <c r="EG24" s="231" t="s">
        <v>285</v>
      </c>
      <c r="EH24" s="232" t="s">
        <v>286</v>
      </c>
      <c r="EJ24" s="31" t="n">
        <v>1972</v>
      </c>
      <c r="EK24" s="32" t="n">
        <v>2264.928</v>
      </c>
      <c r="EL24" s="33" t="n">
        <v>1773.069</v>
      </c>
      <c r="EN24" s="122" t="s">
        <v>287</v>
      </c>
      <c r="EO24" s="173" t="s">
        <v>288</v>
      </c>
      <c r="EP24" s="122" t="s">
        <v>289</v>
      </c>
      <c r="EQ24" s="122" t="s">
        <v>290</v>
      </c>
      <c r="ER24" s="174" t="n">
        <v>30.338</v>
      </c>
      <c r="EU24" s="122" t="s">
        <v>270</v>
      </c>
      <c r="EV24" s="122" t="s">
        <v>291</v>
      </c>
      <c r="EW24" s="122" t="s">
        <v>292</v>
      </c>
      <c r="EX24" s="122" t="s">
        <v>293</v>
      </c>
      <c r="EY24" s="122" t="s">
        <v>294</v>
      </c>
      <c r="FA24" s="182" t="n">
        <f aca="false">IVA!EY24*IVA!EO23*12/1000</f>
        <v>44189356.88412</v>
      </c>
      <c r="FB24" s="34" t="n">
        <f aca="false">IVA!FA24/IVA!CM17</f>
        <v>0.0409959225465057</v>
      </c>
      <c r="FC24" s="34"/>
    </row>
    <row r="25" customFormat="false" ht="12.75" hidden="false" customHeight="true" outlineLevel="0" collapsed="false">
      <c r="AA25" s="245" t="n">
        <v>2012</v>
      </c>
      <c r="AB25" s="245" t="s">
        <v>79</v>
      </c>
      <c r="AC25" s="246"/>
      <c r="AD25" s="247"/>
      <c r="AE25" s="248" t="n">
        <v>15133217.50296</v>
      </c>
      <c r="AF25" s="248" t="n">
        <v>13731134.19355</v>
      </c>
      <c r="AG25" s="248" t="n">
        <v>13745798.31405</v>
      </c>
      <c r="AH25" s="248" t="n">
        <v>13896190.50529</v>
      </c>
      <c r="AI25" s="248" t="n">
        <v>15799455.04935</v>
      </c>
      <c r="AJ25" s="248" t="n">
        <v>15391307.27413</v>
      </c>
      <c r="AK25" s="248" t="n">
        <v>15539791.31518</v>
      </c>
      <c r="AL25" s="248" t="n">
        <v>16910365.37687</v>
      </c>
      <c r="AM25" s="248" t="n">
        <v>16787456.16241</v>
      </c>
      <c r="AN25" s="248" t="n">
        <v>17557266.97948</v>
      </c>
      <c r="AO25" s="248" t="n">
        <v>17816709.74626</v>
      </c>
      <c r="AP25" s="248" t="n">
        <v>18187747.9336</v>
      </c>
      <c r="AQ25" s="249" t="n">
        <f aca="false">IVA!AE25+IVA!AF25+IVA!AG25</f>
        <v>42610150.01056</v>
      </c>
      <c r="AR25" s="249" t="n">
        <f aca="false">IVA!AH25+IVA!AI25+IVA!AJ25</f>
        <v>45086952.82877</v>
      </c>
      <c r="AS25" s="249" t="n">
        <f aca="false">IVA!AK25+IVA!AL25+IVA!AM25</f>
        <v>49237612.85446</v>
      </c>
      <c r="AT25" s="249" t="n">
        <f aca="false">IVA!AN25+IVA!AO25+IVA!AP25</f>
        <v>53561724.65934</v>
      </c>
      <c r="AU25" s="250" t="n">
        <f aca="false">IVA!AQ25+IVA!AR25+IVA!AS25+IVA!AT25</f>
        <v>190496440.35313</v>
      </c>
      <c r="AV25" s="251" t="n">
        <f aca="false">IVA!AQ25/IVA!CJ21</f>
        <v>0.0227262011806063</v>
      </c>
      <c r="AW25" s="252" t="n">
        <f aca="false">IVA!AR25/IVA!CK21</f>
        <v>0.0198344679879751</v>
      </c>
      <c r="AX25" s="252" t="n">
        <f aca="false">IVA!AS25/IVA!CL21</f>
        <v>0.0225559580824045</v>
      </c>
      <c r="AY25" s="252" t="n">
        <f aca="false">IVA!AT25/IVA!CM21</f>
        <v>0.0230276204900119</v>
      </c>
      <c r="AZ25" s="253" t="n">
        <f aca="false">IVA!AU25/IVA!CN21</f>
        <v>0.0880197774537615</v>
      </c>
      <c r="BA25" s="254" t="n">
        <v>2012</v>
      </c>
      <c r="BB25" s="255" t="s">
        <v>80</v>
      </c>
      <c r="BC25" s="256"/>
      <c r="BD25" s="256"/>
      <c r="BE25" s="257"/>
      <c r="BF25" s="258" t="n">
        <f aca="false">0.89*IVA!AE25</f>
        <v>13468563.5776344</v>
      </c>
      <c r="BG25" s="258" t="n">
        <f aca="false">0.89*IVA!AF25</f>
        <v>12220709.4322595</v>
      </c>
      <c r="BH25" s="258" t="n">
        <f aca="false">0.89*IVA!AG25</f>
        <v>12233760.4995045</v>
      </c>
      <c r="BI25" s="258" t="n">
        <f aca="false">0.89*IVA!AH25</f>
        <v>12367609.5497081</v>
      </c>
      <c r="BJ25" s="258" t="n">
        <f aca="false">0.89*IVA!AI25</f>
        <v>14061514.9939215</v>
      </c>
      <c r="BK25" s="258" t="n">
        <f aca="false">0.89*IVA!AJ25</f>
        <v>13698263.4739757</v>
      </c>
      <c r="BL25" s="258" t="n">
        <f aca="false">0.89*IVA!AK25</f>
        <v>13830414.2705102</v>
      </c>
      <c r="BM25" s="258" t="n">
        <f aca="false">0.89*IVA!AL25</f>
        <v>15050225.1854143</v>
      </c>
      <c r="BN25" s="258" t="n">
        <f aca="false">0.89*IVA!AM25</f>
        <v>14940835.9845449</v>
      </c>
      <c r="BO25" s="258" t="n">
        <f aca="false">0.89*IVA!AN25</f>
        <v>15625967.6117372</v>
      </c>
      <c r="BP25" s="258" t="n">
        <f aca="false">0.89*IVA!AO25</f>
        <v>15856871.6741714</v>
      </c>
      <c r="BQ25" s="258" t="n">
        <f aca="false">0.89*IVA!AP25</f>
        <v>16187095.660904</v>
      </c>
      <c r="BR25" s="259" t="n">
        <f aca="false">0.89*IVA!AQ25</f>
        <v>37923033.5093984</v>
      </c>
      <c r="BS25" s="259" t="n">
        <f aca="false">0.89*IVA!AR25</f>
        <v>40127388.0176053</v>
      </c>
      <c r="BT25" s="259" t="n">
        <f aca="false">0.89*IVA!AS25</f>
        <v>43821475.4404694</v>
      </c>
      <c r="BU25" s="260" t="n">
        <f aca="false">0.89*IVA!AT25</f>
        <v>47669934.9468126</v>
      </c>
      <c r="BV25" s="261" t="n">
        <f aca="false">0.89*IVA!AU25</f>
        <v>169541831.914286</v>
      </c>
      <c r="BW25" s="262" t="n">
        <f aca="false">IVA!BR25/IVA!CJ21</f>
        <v>0.0202263190507396</v>
      </c>
      <c r="BX25" s="263" t="n">
        <f aca="false">IVA!BS25/IVA!CK21</f>
        <v>0.0176526765092978</v>
      </c>
      <c r="BY25" s="264" t="n">
        <f aca="false">IVA!BT25/IVA!CL21</f>
        <v>0.02007480269334</v>
      </c>
      <c r="BZ25" s="264" t="n">
        <f aca="false">IVA!BU25/IVA!CM21</f>
        <v>0.0204945822361106</v>
      </c>
      <c r="CA25" s="265" t="n">
        <f aca="false">IVA!BV25/IVA!CN21</f>
        <v>0.0783376019338477</v>
      </c>
      <c r="CH25" s="13"/>
      <c r="CI25" s="25" t="s">
        <v>295</v>
      </c>
      <c r="CJ25" s="26"/>
      <c r="CK25" s="26"/>
      <c r="CL25" s="26"/>
      <c r="CM25" s="26"/>
      <c r="CN25" s="26"/>
      <c r="CO25" s="26"/>
      <c r="CP25" s="26"/>
      <c r="CQ25" s="27"/>
      <c r="CS25" s="99" t="n">
        <v>2011</v>
      </c>
      <c r="CT25" s="208" t="s">
        <v>162</v>
      </c>
      <c r="CU25" s="198" t="n">
        <v>3462213</v>
      </c>
      <c r="CV25" s="199" t="n">
        <v>1934322.538</v>
      </c>
      <c r="CW25" s="200" t="n">
        <v>5396535.538</v>
      </c>
      <c r="CX25" s="148" t="n">
        <v>17631.095</v>
      </c>
      <c r="CY25" s="209" t="n">
        <v>147757167.641</v>
      </c>
      <c r="CZ25" s="199" t="n">
        <v>351.367</v>
      </c>
      <c r="DA25" s="199" t="n">
        <v>34664061.359</v>
      </c>
      <c r="DB25" s="199" t="n">
        <v>187835747</v>
      </c>
      <c r="DC25" s="201" t="n">
        <v>2981893</v>
      </c>
      <c r="DD25" s="199" t="n">
        <v>0</v>
      </c>
      <c r="DE25" s="199" t="n">
        <v>0</v>
      </c>
      <c r="DF25" s="199" t="n">
        <v>2981893</v>
      </c>
      <c r="DG25" s="202" t="n">
        <v>190817640</v>
      </c>
      <c r="DH25" s="148"/>
      <c r="DI25" s="99" t="n">
        <v>2003</v>
      </c>
      <c r="DJ25" s="99" t="s">
        <v>84</v>
      </c>
      <c r="DK25" s="147" t="n">
        <v>19025257.1</v>
      </c>
      <c r="DL25" s="148"/>
      <c r="DM25" s="149" t="s">
        <v>74</v>
      </c>
      <c r="DN25" s="150" t="n">
        <v>2010</v>
      </c>
      <c r="DO25" s="151" t="n">
        <v>100</v>
      </c>
      <c r="DP25" s="151" t="n">
        <v>11798600</v>
      </c>
      <c r="DQ25" s="151" t="n">
        <v>2300</v>
      </c>
      <c r="DR25" s="151" t="n">
        <v>88672700</v>
      </c>
      <c r="DS25" s="151" t="n">
        <v>107068000</v>
      </c>
      <c r="DT25" s="151" t="n">
        <v>6594300</v>
      </c>
      <c r="DU25" s="151" t="n">
        <v>0</v>
      </c>
      <c r="DV25" s="151" t="n">
        <v>107068000</v>
      </c>
      <c r="DW25" s="152" t="n">
        <f aca="false">IVA!CY35/IVA!DV25</f>
        <v>0.783444325101805</v>
      </c>
      <c r="DX25" s="153"/>
      <c r="DY25" s="215" t="s">
        <v>296</v>
      </c>
      <c r="EA25" s="195"/>
      <c r="EB25" s="230" t="s">
        <v>297</v>
      </c>
      <c r="EC25" s="230" t="s">
        <v>298</v>
      </c>
      <c r="ED25" s="230" t="s">
        <v>299</v>
      </c>
      <c r="EE25" s="230" t="s">
        <v>300</v>
      </c>
      <c r="EF25" s="230" t="s">
        <v>301</v>
      </c>
      <c r="EG25" s="231" t="s">
        <v>302</v>
      </c>
      <c r="EH25" s="232" t="s">
        <v>303</v>
      </c>
      <c r="EJ25" s="31" t="n">
        <v>1973</v>
      </c>
      <c r="EK25" s="32" t="n">
        <v>2339.999</v>
      </c>
      <c r="EL25" s="33" t="n">
        <v>1835.461</v>
      </c>
      <c r="EN25" s="122" t="s">
        <v>304</v>
      </c>
      <c r="EO25" s="173" t="s">
        <v>305</v>
      </c>
      <c r="EP25" s="122" t="s">
        <v>306</v>
      </c>
      <c r="EQ25" s="122" t="s">
        <v>307</v>
      </c>
      <c r="ER25" s="174" t="n">
        <v>27.402</v>
      </c>
      <c r="EU25" s="122" t="s">
        <v>287</v>
      </c>
      <c r="EV25" s="122" t="s">
        <v>308</v>
      </c>
      <c r="EW25" s="122" t="s">
        <v>309</v>
      </c>
      <c r="EX25" s="122" t="s">
        <v>310</v>
      </c>
      <c r="EY25" s="122" t="s">
        <v>311</v>
      </c>
      <c r="FA25" s="182" t="n">
        <f aca="false">IVA!EY25*IVA!EO24*12/1000</f>
        <v>57438547.17912</v>
      </c>
      <c r="FB25" s="34" t="n">
        <f aca="false">IVA!FA25/IVA!CM18</f>
        <v>0.04689995205072</v>
      </c>
      <c r="FC25" s="34"/>
    </row>
    <row r="26" customFormat="false" ht="12.75" hidden="false" customHeight="true" outlineLevel="0" collapsed="false">
      <c r="AA26" s="123" t="n">
        <v>1996</v>
      </c>
      <c r="AB26" s="123" t="s">
        <v>312</v>
      </c>
      <c r="AC26" s="124"/>
      <c r="AD26" s="125"/>
      <c r="AE26" s="192" t="n">
        <f aca="false">IVA!AE9*0.9373*0.11</f>
        <v>155064.643734</v>
      </c>
      <c r="AF26" s="192" t="n">
        <f aca="false">IVA!AF9*0.9373*0.11</f>
        <v>152330.867689</v>
      </c>
      <c r="AG26" s="192" t="n">
        <f aca="false">IVA!AG9*0.9373*0.11</f>
        <v>157203.20616</v>
      </c>
      <c r="AH26" s="192" t="n">
        <f aca="false">IVA!AH9*0.9373*0.11</f>
        <v>148375.217991</v>
      </c>
      <c r="AI26" s="192" t="n">
        <f aca="false">IVA!AI9*0.9373*0.11</f>
        <v>157831.412739</v>
      </c>
      <c r="AJ26" s="192" t="n">
        <f aca="false">IVA!AJ9*0.9373*0.11</f>
        <v>165054.087198</v>
      </c>
      <c r="AK26" s="192" t="n">
        <f aca="false">IVA!AK9*0.9373*0.11</f>
        <v>161873.462751</v>
      </c>
      <c r="AL26" s="192" t="n">
        <f aca="false">IVA!AL9*0.9373*0.11</f>
        <v>166841.068394</v>
      </c>
      <c r="AM26" s="192" t="n">
        <f aca="false">IVA!AM9*0.9373*0.11</f>
        <v>142607.739274</v>
      </c>
      <c r="AN26" s="192" t="n">
        <f aca="false">IVA!AN9*0.9373*0.11</f>
        <v>181298.480363</v>
      </c>
      <c r="AO26" s="192" t="n">
        <f aca="false">IVA!AO9*0.9373*0.11</f>
        <v>164918.197444</v>
      </c>
      <c r="AP26" s="192" t="n">
        <f aca="false">IVA!AP9*0.9373*0.11</f>
        <v>150440.267978</v>
      </c>
      <c r="AQ26" s="128" t="n">
        <f aca="false">IVA!AE26+IVA!AF26+IVA!AG26</f>
        <v>464598.717583</v>
      </c>
      <c r="AR26" s="128" t="n">
        <f aca="false">IVA!AH26+IVA!AI26+IVA!AJ26</f>
        <v>471260.717928</v>
      </c>
      <c r="AS26" s="128" t="n">
        <f aca="false">IVA!AK26+IVA!AL26+IVA!AM26</f>
        <v>471322.270419</v>
      </c>
      <c r="AT26" s="128" t="n">
        <f aca="false">IVA!AN26+IVA!AO26+IVA!AP26</f>
        <v>496656.945785</v>
      </c>
      <c r="AU26" s="129" t="n">
        <f aca="false">IVA!AQ26+IVA!AR26+IVA!AS26+IVA!AT26</f>
        <v>1903838.651715</v>
      </c>
      <c r="AV26" s="251"/>
      <c r="AW26" s="252"/>
      <c r="AX26" s="252"/>
      <c r="AY26" s="252"/>
      <c r="AZ26" s="253"/>
      <c r="BA26" s="266" t="n">
        <v>1996</v>
      </c>
      <c r="BB26" s="267" t="s">
        <v>313</v>
      </c>
      <c r="BC26" s="268"/>
      <c r="BD26" s="268"/>
      <c r="BE26" s="268"/>
      <c r="BF26" s="269" t="n">
        <f aca="false">0.64*IVA!AE60</f>
        <v>306504.746666667</v>
      </c>
      <c r="BG26" s="269" t="n">
        <f aca="false">0.64*IVA!AF60</f>
        <v>339112.746666667</v>
      </c>
      <c r="BH26" s="269" t="n">
        <f aca="false">0.64*IVA!AG60</f>
        <v>279951.786666667</v>
      </c>
      <c r="BI26" s="269" t="n">
        <f aca="false">0.64*IVA!AH60</f>
        <v>274335.786666667</v>
      </c>
      <c r="BJ26" s="269" t="n">
        <f aca="false">0.64*IVA!AI60</f>
        <v>410504.746666667</v>
      </c>
      <c r="BK26" s="269" t="n">
        <f aca="false">0.64*IVA!AJ60</f>
        <v>440552.106666667</v>
      </c>
      <c r="BL26" s="269" t="n">
        <f aca="false">0.64*IVA!AK60</f>
        <v>326095.146666667</v>
      </c>
      <c r="BM26" s="269" t="n">
        <f aca="false">0.64*IVA!AL60</f>
        <v>297645.866666667</v>
      </c>
      <c r="BN26" s="269" t="n">
        <f aca="false">0.64*IVA!AM60</f>
        <v>278973.226666667</v>
      </c>
      <c r="BO26" s="269" t="n">
        <f aca="false">0.64*IVA!AN60</f>
        <v>303387.946666667</v>
      </c>
      <c r="BP26" s="269" t="n">
        <f aca="false">0.64*IVA!AO60</f>
        <v>400573.226666667</v>
      </c>
      <c r="BQ26" s="270" t="n">
        <f aca="false">0.64*IVA!AP60</f>
        <v>324203.306666667</v>
      </c>
      <c r="BR26" s="175" t="n">
        <f aca="false">0.64*IVA!AQ60</f>
        <v>925569.28</v>
      </c>
      <c r="BS26" s="175" t="n">
        <f aca="false">0.64*IVA!AR60</f>
        <v>893400.32</v>
      </c>
      <c r="BT26" s="175" t="n">
        <f aca="false">0.64*IVA!AS60</f>
        <v>964792.32</v>
      </c>
      <c r="BU26" s="176" t="n">
        <f aca="false">0.64*IVA!AT60</f>
        <v>1125392.64</v>
      </c>
      <c r="BV26" s="137" t="n">
        <f aca="false">0.64*IVA!AU60</f>
        <v>3909154.56</v>
      </c>
      <c r="BW26" s="262"/>
      <c r="BX26" s="263"/>
      <c r="BY26" s="264"/>
      <c r="BZ26" s="264"/>
      <c r="CA26" s="265"/>
      <c r="CH26" s="13"/>
      <c r="CI26" s="239"/>
      <c r="CJ26" s="26"/>
      <c r="CK26" s="26"/>
      <c r="CL26" s="26"/>
      <c r="CM26" s="26"/>
      <c r="CN26" s="26"/>
      <c r="CO26" s="26"/>
      <c r="CP26" s="26"/>
      <c r="CQ26" s="27"/>
      <c r="CS26" s="220"/>
      <c r="CT26" s="99" t="s">
        <v>171</v>
      </c>
      <c r="CU26" s="198" t="n">
        <v>3462213</v>
      </c>
      <c r="CV26" s="199" t="n">
        <v>1505608.538</v>
      </c>
      <c r="CW26" s="200" t="n">
        <v>4967821.538</v>
      </c>
      <c r="CX26" s="148" t="n">
        <v>17631.095</v>
      </c>
      <c r="CY26" s="199" t="n">
        <v>0</v>
      </c>
      <c r="CZ26" s="199" t="n">
        <v>351.367</v>
      </c>
      <c r="DA26" s="199" t="n">
        <v>5200</v>
      </c>
      <c r="DB26" s="199" t="n">
        <v>4991004</v>
      </c>
      <c r="DC26" s="201" t="n">
        <v>187413</v>
      </c>
      <c r="DD26" s="199" t="n">
        <v>0</v>
      </c>
      <c r="DE26" s="199" t="n">
        <v>0</v>
      </c>
      <c r="DF26" s="199" t="n">
        <v>187413</v>
      </c>
      <c r="DG26" s="202" t="n">
        <v>5178417</v>
      </c>
      <c r="DH26" s="148"/>
      <c r="DI26" s="115"/>
      <c r="DJ26" s="116" t="s">
        <v>102</v>
      </c>
      <c r="DK26" s="166" t="n">
        <v>18897752</v>
      </c>
      <c r="DL26" s="148"/>
      <c r="DM26" s="117" t="s">
        <v>74</v>
      </c>
      <c r="DN26" s="118" t="n">
        <v>2011</v>
      </c>
      <c r="DO26" s="119" t="n">
        <v>0</v>
      </c>
      <c r="DP26" s="119" t="n">
        <v>17236500</v>
      </c>
      <c r="DQ26" s="119" t="n">
        <v>6600</v>
      </c>
      <c r="DR26" s="119" t="n">
        <v>121919900</v>
      </c>
      <c r="DS26" s="119" t="n">
        <v>147085400</v>
      </c>
      <c r="DT26" s="119" t="n">
        <v>7922400</v>
      </c>
      <c r="DU26" s="119" t="n">
        <v>0</v>
      </c>
      <c r="DV26" s="119" t="n">
        <v>147085400</v>
      </c>
      <c r="DW26" s="120" t="n">
        <f aca="false">IVA!CY25/IVA!DV26</f>
        <v>1.0045671945754</v>
      </c>
      <c r="DX26" s="121"/>
      <c r="DY26" s="222" t="s">
        <v>314</v>
      </c>
      <c r="DZ26" s="223"/>
      <c r="EA26" s="206"/>
      <c r="EB26" s="236" t="s">
        <v>315</v>
      </c>
      <c r="EC26" s="236" t="s">
        <v>316</v>
      </c>
      <c r="ED26" s="236" t="s">
        <v>317</v>
      </c>
      <c r="EE26" s="236" t="s">
        <v>318</v>
      </c>
      <c r="EF26" s="236" t="s">
        <v>318</v>
      </c>
      <c r="EG26" s="237" t="s">
        <v>319</v>
      </c>
      <c r="EH26" s="238" t="s">
        <v>320</v>
      </c>
      <c r="EJ26" s="31" t="n">
        <v>1974</v>
      </c>
      <c r="EK26" s="32" t="n">
        <v>2412.829</v>
      </c>
      <c r="EL26" s="33" t="n">
        <v>1896.321</v>
      </c>
      <c r="EN26" s="122" t="s">
        <v>321</v>
      </c>
      <c r="EO26" s="173" t="s">
        <v>322</v>
      </c>
      <c r="EP26" s="122" t="s">
        <v>323</v>
      </c>
      <c r="EQ26" s="122" t="s">
        <v>324</v>
      </c>
      <c r="ER26" s="174" t="n">
        <v>25.341</v>
      </c>
      <c r="EU26" s="122" t="s">
        <v>304</v>
      </c>
      <c r="EV26" s="122" t="s">
        <v>325</v>
      </c>
      <c r="EW26" s="122" t="s">
        <v>326</v>
      </c>
      <c r="EX26" s="122" t="s">
        <v>327</v>
      </c>
      <c r="EY26" s="122" t="s">
        <v>328</v>
      </c>
      <c r="FA26" s="182" t="n">
        <f aca="false">IVA!EY26*IVA!EO25*12/1000</f>
        <v>75031459.3314</v>
      </c>
      <c r="FB26" s="34" t="n">
        <f aca="false">IVA!FA26/IVA!CM19</f>
        <v>0.0475153796563554</v>
      </c>
      <c r="FC26" s="34"/>
    </row>
    <row r="27" customFormat="false" ht="12.75" hidden="false" customHeight="true" outlineLevel="0" collapsed="false">
      <c r="AA27" s="123" t="n">
        <v>1997</v>
      </c>
      <c r="AB27" s="123" t="s">
        <v>312</v>
      </c>
      <c r="AC27" s="124"/>
      <c r="AD27" s="125"/>
      <c r="AE27" s="192" t="n">
        <f aca="false">IVA!AE10*0.9373*0.11</f>
        <v>180901.121401</v>
      </c>
      <c r="AF27" s="192" t="n">
        <f aca="false">IVA!AF10*0.9373*0.11</f>
        <v>158064.219313</v>
      </c>
      <c r="AG27" s="192" t="n">
        <f aca="false">IVA!AG10*0.9373*0.11</f>
        <v>156802.13549</v>
      </c>
      <c r="AH27" s="192" t="n">
        <f aca="false">IVA!AH10*0.9373*0.11</f>
        <v>160291.14101</v>
      </c>
      <c r="AI27" s="192" t="n">
        <f aca="false">IVA!AI10*0.9373*0.11</f>
        <v>175251.798722</v>
      </c>
      <c r="AJ27" s="192" t="n">
        <f aca="false">IVA!AJ10*0.9373*0.11</f>
        <v>168103.25532</v>
      </c>
      <c r="AK27" s="192" t="n">
        <f aca="false">IVA!AK10*0.9373*0.11</f>
        <v>165417.731479</v>
      </c>
      <c r="AL27" s="192" t="n">
        <f aca="false">IVA!AL10*0.9373*0.11</f>
        <v>175485.43012</v>
      </c>
      <c r="AM27" s="192" t="n">
        <f aca="false">IVA!AM10*0.9373*0.11</f>
        <v>193290.28719</v>
      </c>
      <c r="AN27" s="192" t="n">
        <f aca="false">IVA!AN10*0.9373*0.11</f>
        <v>163583.013594</v>
      </c>
      <c r="AO27" s="192" t="n">
        <f aca="false">IVA!AO10*0.9373*0.11</f>
        <v>171620.09865</v>
      </c>
      <c r="AP27" s="192" t="n">
        <f aca="false">IVA!AP10*0.9373*0.11</f>
        <v>174728.757203</v>
      </c>
      <c r="AQ27" s="128" t="n">
        <f aca="false">IVA!AE27+IVA!AF27+IVA!AG27</f>
        <v>495767.476204</v>
      </c>
      <c r="AR27" s="128" t="n">
        <f aca="false">IVA!AH27+IVA!AI27+IVA!AJ27</f>
        <v>503646.195052</v>
      </c>
      <c r="AS27" s="128" t="n">
        <f aca="false">IVA!AK27+IVA!AL27+IVA!AM27</f>
        <v>534193.448789</v>
      </c>
      <c r="AT27" s="128" t="n">
        <f aca="false">IVA!AN27+IVA!AO27+IVA!AP27</f>
        <v>509931.869447</v>
      </c>
      <c r="AU27" s="129" t="n">
        <f aca="false">IVA!AQ27+IVA!AR27+IVA!AS27+IVA!AT27</f>
        <v>2043538.989492</v>
      </c>
      <c r="AV27" s="130" t="n">
        <f aca="false">IVA!AQ27/IVA!CJ6</f>
        <v>0.00182764681930251</v>
      </c>
      <c r="AW27" s="130" t="n">
        <f aca="false">IVA!AR27/IVA!CK6</f>
        <v>0.00167953423516462</v>
      </c>
      <c r="AX27" s="130" t="n">
        <f aca="false">IVA!AS27/IVA!CL6</f>
        <v>0.00179100284645214</v>
      </c>
      <c r="AY27" s="130" t="n">
        <f aca="false">IVA!AT27/IVA!CM6</f>
        <v>0.00168830635624143</v>
      </c>
      <c r="AZ27" s="271" t="n">
        <f aca="false">IVA!AU27/IVA!CN6</f>
        <v>0.00697789668568757</v>
      </c>
      <c r="BA27" s="272" t="n">
        <v>1997</v>
      </c>
      <c r="BB27" s="267" t="s">
        <v>313</v>
      </c>
      <c r="BC27" s="268"/>
      <c r="BD27" s="268"/>
      <c r="BE27" s="268"/>
      <c r="BF27" s="269" t="n">
        <f aca="false">0.64*IVA!AE61</f>
        <v>373382.186666667</v>
      </c>
      <c r="BG27" s="269" t="n">
        <f aca="false">0.64*IVA!AF61</f>
        <v>310004.266666667</v>
      </c>
      <c r="BH27" s="269" t="n">
        <f aca="false">0.64*IVA!AG61</f>
        <v>306868.906666667</v>
      </c>
      <c r="BI27" s="269" t="n">
        <f aca="false">0.64*IVA!AH61</f>
        <v>447548.586666667</v>
      </c>
      <c r="BJ27" s="269" t="n">
        <f aca="false">0.64*IVA!AI61</f>
        <v>793892.906666667</v>
      </c>
      <c r="BK27" s="269" t="n">
        <f aca="false">0.64*IVA!AJ61</f>
        <v>393208.106666667</v>
      </c>
      <c r="BL27" s="269" t="n">
        <f aca="false">0.64*IVA!AK61</f>
        <v>348570.026666667</v>
      </c>
      <c r="BM27" s="269" t="n">
        <f aca="false">0.64*IVA!AL61</f>
        <v>397215.786666667</v>
      </c>
      <c r="BN27" s="269" t="n">
        <f aca="false">0.64*IVA!AM61</f>
        <v>337003.306666667</v>
      </c>
      <c r="BO27" s="269" t="n">
        <f aca="false">0.64*IVA!AN61</f>
        <v>414555.306666667</v>
      </c>
      <c r="BP27" s="269" t="n">
        <f aca="false">0.64*IVA!AO61</f>
        <v>459578.666666667</v>
      </c>
      <c r="BQ27" s="270" t="n">
        <f aca="false">0.64*IVA!AP61</f>
        <v>380591.146666667</v>
      </c>
      <c r="BR27" s="175" t="n">
        <f aca="false">0.64*IVA!AQ61</f>
        <v>990255.36</v>
      </c>
      <c r="BS27" s="175" t="n">
        <f aca="false">0.64*IVA!AR61</f>
        <v>1064421.76</v>
      </c>
      <c r="BT27" s="175" t="n">
        <f aca="false">0.64*IVA!AS61</f>
        <v>1548310.4</v>
      </c>
      <c r="BU27" s="176" t="n">
        <f aca="false">0.64*IVA!AT61</f>
        <v>1634649.6</v>
      </c>
      <c r="BV27" s="137" t="n">
        <f aca="false">0.64*IVA!AU61</f>
        <v>5237637.12</v>
      </c>
      <c r="BW27" s="138" t="n">
        <f aca="false">IVA!BR27/IVA!CJ6</f>
        <v>0.00365057642114576</v>
      </c>
      <c r="BX27" s="139" t="n">
        <f aca="false">IVA!BS27/IVA!CK6</f>
        <v>0.00354958064636942</v>
      </c>
      <c r="BY27" s="138" t="n">
        <f aca="false">IVA!BT27/IVA!CL6</f>
        <v>0.00519105642324483</v>
      </c>
      <c r="BZ27" s="138" t="n">
        <f aca="false">IVA!BU27/IVA!CM6</f>
        <v>0.00541207458341522</v>
      </c>
      <c r="CA27" s="273" t="n">
        <f aca="false">IVA!BV27/IVA!CN6</f>
        <v>0.0178845086335091</v>
      </c>
      <c r="CH27" s="13"/>
      <c r="CI27" s="239"/>
      <c r="CJ27" s="26"/>
      <c r="CK27" s="26"/>
      <c r="CL27" s="26"/>
      <c r="CM27" s="26"/>
      <c r="CN27" s="26"/>
      <c r="CO27" s="26"/>
      <c r="CP27" s="26"/>
      <c r="CQ27" s="27"/>
      <c r="CS27" s="220"/>
      <c r="CT27" s="99" t="s">
        <v>180</v>
      </c>
      <c r="CU27" s="198" t="n">
        <v>0</v>
      </c>
      <c r="CV27" s="199" t="n">
        <v>0</v>
      </c>
      <c r="CW27" s="200" t="n">
        <v>0</v>
      </c>
      <c r="CX27" s="148" t="n">
        <v>0</v>
      </c>
      <c r="CY27" s="199" t="n">
        <v>138108322.389</v>
      </c>
      <c r="CZ27" s="199" t="n">
        <v>0</v>
      </c>
      <c r="DA27" s="199" t="n">
        <v>0</v>
      </c>
      <c r="DB27" s="199" t="n">
        <v>138108322.389</v>
      </c>
      <c r="DC27" s="201" t="n">
        <v>0</v>
      </c>
      <c r="DD27" s="199" t="n">
        <v>0</v>
      </c>
      <c r="DE27" s="199" t="n">
        <v>0</v>
      </c>
      <c r="DF27" s="199" t="n">
        <v>0</v>
      </c>
      <c r="DG27" s="202" t="n">
        <v>138108322.389</v>
      </c>
      <c r="DH27" s="148"/>
      <c r="DI27" s="99" t="n">
        <v>2002</v>
      </c>
      <c r="DJ27" s="99" t="s">
        <v>84</v>
      </c>
      <c r="DK27" s="147" t="n">
        <v>17086963.55</v>
      </c>
      <c r="DL27" s="148"/>
      <c r="DM27" s="274" t="s">
        <v>74</v>
      </c>
      <c r="DN27" s="275" t="n">
        <v>2012</v>
      </c>
      <c r="DO27" s="276" t="n">
        <v>0</v>
      </c>
      <c r="DP27" s="276" t="n">
        <v>26364700</v>
      </c>
      <c r="DQ27" s="276" t="n">
        <v>6500</v>
      </c>
      <c r="DR27" s="276" t="n">
        <v>168321500</v>
      </c>
      <c r="DS27" s="276" t="n">
        <v>204617100</v>
      </c>
      <c r="DT27" s="276" t="n">
        <v>9924400</v>
      </c>
      <c r="DU27" s="276" t="n">
        <v>0</v>
      </c>
      <c r="DV27" s="276" t="n">
        <v>204617100</v>
      </c>
      <c r="DW27" s="277" t="n">
        <f aca="false">IVA!CY15/IVA!DV27</f>
        <v>0.984844356620243</v>
      </c>
      <c r="DX27" s="153"/>
      <c r="DY27" s="177" t="s">
        <v>163</v>
      </c>
      <c r="DZ27" s="45"/>
      <c r="EA27" s="210" t="n">
        <v>1996</v>
      </c>
      <c r="EB27" s="227" t="s">
        <v>329</v>
      </c>
      <c r="EC27" s="227" t="s">
        <v>330</v>
      </c>
      <c r="ED27" s="227" t="s">
        <v>331</v>
      </c>
      <c r="EE27" s="227" t="s">
        <v>332</v>
      </c>
      <c r="EF27" s="227" t="s">
        <v>333</v>
      </c>
      <c r="EG27" s="228" t="s">
        <v>334</v>
      </c>
      <c r="EH27" s="229" t="s">
        <v>335</v>
      </c>
      <c r="EJ27" s="31" t="n">
        <v>1975</v>
      </c>
      <c r="EK27" s="32" t="n">
        <v>2482.309</v>
      </c>
      <c r="EL27" s="33" t="n">
        <v>1954.936</v>
      </c>
      <c r="EN27" s="122" t="s">
        <v>336</v>
      </c>
      <c r="EO27" s="173" t="s">
        <v>337</v>
      </c>
      <c r="EP27" s="122" t="s">
        <v>338</v>
      </c>
      <c r="EQ27" s="122" t="s">
        <v>339</v>
      </c>
      <c r="ER27" s="174" t="n">
        <v>24.449</v>
      </c>
      <c r="ES27" s="278" t="n">
        <f aca="false">4052269+IVA!ES28+IVA!ES29</f>
        <v>4305716</v>
      </c>
      <c r="EU27" s="122" t="s">
        <v>321</v>
      </c>
      <c r="EV27" s="122" t="s">
        <v>340</v>
      </c>
      <c r="EW27" s="122" t="s">
        <v>341</v>
      </c>
      <c r="EX27" s="122" t="s">
        <v>342</v>
      </c>
      <c r="EY27" s="122" t="s">
        <v>343</v>
      </c>
      <c r="FA27" s="182" t="n">
        <f aca="false">IVA!EY27*IVA!EO26*12/1000</f>
        <v>104449109.85216</v>
      </c>
      <c r="FB27" s="34" t="n">
        <f aca="false">IVA!FA27/IVA!CM20</f>
        <v>0.0533205556113509</v>
      </c>
      <c r="FC27" s="34"/>
    </row>
    <row r="28" customFormat="false" ht="12.75" hidden="false" customHeight="true" outlineLevel="0" collapsed="false">
      <c r="AA28" s="123" t="n">
        <v>1998</v>
      </c>
      <c r="AB28" s="123" t="s">
        <v>312</v>
      </c>
      <c r="AC28" s="124"/>
      <c r="AD28" s="125"/>
      <c r="AE28" s="192" t="n">
        <f aca="false">IVA!AE11*0.9373*0.11</f>
        <v>175914.235497</v>
      </c>
      <c r="AF28" s="192" t="n">
        <f aca="false">IVA!AF11*0.9373*0.11</f>
        <v>171171.497497</v>
      </c>
      <c r="AG28" s="192" t="n">
        <f aca="false">IVA!AG11*0.9373*0.11</f>
        <v>184685.001501</v>
      </c>
      <c r="AH28" s="192" t="n">
        <f aca="false">IVA!AH11*0.9373*0.11</f>
        <v>159358.368169</v>
      </c>
      <c r="AI28" s="192" t="n">
        <f aca="false">IVA!AI11*0.9373*0.11</f>
        <v>173473.684384</v>
      </c>
      <c r="AJ28" s="192" t="n">
        <f aca="false">IVA!AJ11*0.9373*0.11</f>
        <v>190062.338466</v>
      </c>
      <c r="AK28" s="192" t="n">
        <f aca="false">IVA!AK11*0.9373*0.11</f>
        <v>178656.8784</v>
      </c>
      <c r="AL28" s="192" t="n">
        <f aca="false">IVA!AL11*0.9373*0.11</f>
        <v>176506.14982</v>
      </c>
      <c r="AM28" s="192" t="n">
        <f aca="false">IVA!AM11*0.9373*0.11</f>
        <v>188264.737661</v>
      </c>
      <c r="AN28" s="192" t="n">
        <f aca="false">IVA!AN11*0.9373*0.11</f>
        <v>164020.788932</v>
      </c>
      <c r="AO28" s="192" t="n">
        <f aca="false">IVA!AO11*0.9373*0.11</f>
        <v>177054.348471</v>
      </c>
      <c r="AP28" s="192" t="n">
        <f aca="false">IVA!AP11*0.9373*0.11</f>
        <v>158539.42104</v>
      </c>
      <c r="AQ28" s="128" t="n">
        <f aca="false">IVA!AE28+IVA!AF28+IVA!AG28</f>
        <v>531770.734495</v>
      </c>
      <c r="AR28" s="128" t="n">
        <f aca="false">IVA!AH28+IVA!AI28+IVA!AJ28</f>
        <v>522894.391019</v>
      </c>
      <c r="AS28" s="128" t="n">
        <f aca="false">IVA!AK28+IVA!AL28+IVA!AM28</f>
        <v>543427.765881</v>
      </c>
      <c r="AT28" s="128" t="n">
        <f aca="false">IVA!AN28+IVA!AO28+IVA!AP28</f>
        <v>499614.558443</v>
      </c>
      <c r="AU28" s="129" t="n">
        <f aca="false">IVA!AQ28+IVA!AR28+IVA!AS28+IVA!AT28</f>
        <v>2097707.449838</v>
      </c>
      <c r="AV28" s="130" t="n">
        <f aca="false">IVA!AQ28/IVA!CJ7</f>
        <v>0.00188061682001598</v>
      </c>
      <c r="AW28" s="130" t="n">
        <f aca="false">IVA!AR28/IVA!CK7</f>
        <v>0.00167525031320661</v>
      </c>
      <c r="AX28" s="130" t="n">
        <f aca="false">IVA!AS28/IVA!CL7</f>
        <v>0.00177896121789571</v>
      </c>
      <c r="AY28" s="130" t="n">
        <f aca="false">IVA!AT28/IVA!CM7</f>
        <v>0.0016911703915531</v>
      </c>
      <c r="AZ28" s="271" t="n">
        <f aca="false">IVA!AU28/IVA!CN7</f>
        <v>0.00701695590496987</v>
      </c>
      <c r="BA28" s="266" t="n">
        <v>1998</v>
      </c>
      <c r="BB28" s="267" t="s">
        <v>313</v>
      </c>
      <c r="BC28" s="268"/>
      <c r="BD28" s="268"/>
      <c r="BE28" s="268"/>
      <c r="BF28" s="269" t="n">
        <f aca="false">0.64*IVA!AE62</f>
        <v>386719.786666667</v>
      </c>
      <c r="BG28" s="269" t="n">
        <f aca="false">0.64*IVA!AF62</f>
        <v>410171.306666667</v>
      </c>
      <c r="BH28" s="269" t="n">
        <f aca="false">0.64*IVA!AG62</f>
        <v>342940.586666667</v>
      </c>
      <c r="BI28" s="269" t="n">
        <f aca="false">0.64*IVA!AH62</f>
        <v>454228.906666667</v>
      </c>
      <c r="BJ28" s="269" t="n">
        <f aca="false">0.64*IVA!AI62</f>
        <v>857652.266666667</v>
      </c>
      <c r="BK28" s="269" t="n">
        <f aca="false">0.64*IVA!AJ62</f>
        <v>616930.346666667</v>
      </c>
      <c r="BL28" s="269" t="n">
        <f aca="false">0.64*IVA!AK62</f>
        <v>420580.266666667</v>
      </c>
      <c r="BM28" s="269" t="n">
        <f aca="false">0.64*IVA!AL62</f>
        <v>472373.546666667</v>
      </c>
      <c r="BN28" s="269" t="n">
        <f aca="false">0.64*IVA!AM62</f>
        <v>338630.186666667</v>
      </c>
      <c r="BO28" s="269" t="n">
        <f aca="false">0.64*IVA!AN62</f>
        <v>401293.866666667</v>
      </c>
      <c r="BP28" s="269" t="n">
        <f aca="false">0.64*IVA!AO62</f>
        <v>417054.506666667</v>
      </c>
      <c r="BQ28" s="270" t="n">
        <f aca="false">0.64*IVA!AP62</f>
        <v>577351.466666667</v>
      </c>
      <c r="BR28" s="175" t="n">
        <f aca="false">0.64*IVA!AQ62</f>
        <v>1139831.68</v>
      </c>
      <c r="BS28" s="175" t="n">
        <f aca="false">0.64*IVA!AR62</f>
        <v>1207340.8</v>
      </c>
      <c r="BT28" s="175" t="n">
        <f aca="false">0.64*IVA!AS62</f>
        <v>1654821.76</v>
      </c>
      <c r="BU28" s="176" t="n">
        <f aca="false">0.64*IVA!AT62</f>
        <v>1928811.52</v>
      </c>
      <c r="BV28" s="137" t="n">
        <f aca="false">0.64*IVA!AU62</f>
        <v>5930805.76</v>
      </c>
      <c r="BW28" s="138" t="n">
        <f aca="false">IVA!BR28/IVA!CJ7</f>
        <v>0.00403103535103479</v>
      </c>
      <c r="BX28" s="139" t="n">
        <f aca="false">IVA!BS28/IVA!CK7</f>
        <v>0.00386808137185321</v>
      </c>
      <c r="BY28" s="138" t="n">
        <f aca="false">IVA!BT28/IVA!CL7</f>
        <v>0.00541721258720993</v>
      </c>
      <c r="BZ28" s="138" t="n">
        <f aca="false">IVA!BU28/IVA!CM7</f>
        <v>0.00652893090961176</v>
      </c>
      <c r="CA28" s="273" t="n">
        <f aca="false">IVA!BV28/IVA!CN7</f>
        <v>0.0198388972218577</v>
      </c>
      <c r="CH28" s="13"/>
      <c r="CI28" s="235"/>
      <c r="CJ28" s="77"/>
      <c r="CK28" s="78"/>
      <c r="CL28" s="78"/>
      <c r="CM28" s="78"/>
      <c r="CN28" s="78"/>
      <c r="CO28" s="63"/>
      <c r="CP28" s="63"/>
      <c r="CQ28" s="13"/>
      <c r="CS28" s="220"/>
      <c r="CT28" s="99" t="s">
        <v>190</v>
      </c>
      <c r="CU28" s="198" t="n">
        <v>0</v>
      </c>
      <c r="CV28" s="199" t="n">
        <v>0</v>
      </c>
      <c r="CW28" s="200" t="n">
        <v>0</v>
      </c>
      <c r="CX28" s="148" t="n">
        <v>0</v>
      </c>
      <c r="CY28" s="199" t="n">
        <v>0</v>
      </c>
      <c r="CZ28" s="199" t="n">
        <v>0</v>
      </c>
      <c r="DA28" s="199" t="n">
        <v>334824</v>
      </c>
      <c r="DB28" s="199" t="n">
        <v>334824</v>
      </c>
      <c r="DC28" s="201" t="n">
        <v>0</v>
      </c>
      <c r="DD28" s="199" t="n">
        <v>0</v>
      </c>
      <c r="DE28" s="199" t="n">
        <v>0</v>
      </c>
      <c r="DF28" s="199" t="n">
        <v>0</v>
      </c>
      <c r="DG28" s="202" t="n">
        <v>334824</v>
      </c>
      <c r="DH28" s="148"/>
      <c r="DI28" s="115"/>
      <c r="DJ28" s="116" t="s">
        <v>102</v>
      </c>
      <c r="DK28" s="166" t="n">
        <v>16532224.2524</v>
      </c>
      <c r="DL28" s="148"/>
      <c r="DY28" s="215" t="s">
        <v>344</v>
      </c>
      <c r="EA28" s="179"/>
      <c r="EB28" s="230" t="s">
        <v>345</v>
      </c>
      <c r="EC28" s="230" t="s">
        <v>346</v>
      </c>
      <c r="ED28" s="230" t="s">
        <v>347</v>
      </c>
      <c r="EE28" s="230" t="s">
        <v>348</v>
      </c>
      <c r="EF28" s="230" t="s">
        <v>349</v>
      </c>
      <c r="EG28" s="231" t="s">
        <v>350</v>
      </c>
      <c r="EH28" s="232" t="s">
        <v>351</v>
      </c>
      <c r="EJ28" s="31" t="n">
        <v>1976</v>
      </c>
      <c r="EK28" s="32" t="n">
        <v>2557.992</v>
      </c>
      <c r="EL28" s="33" t="n">
        <v>2022.408</v>
      </c>
      <c r="EO28" s="279" t="n">
        <f aca="false">89228+18206</f>
        <v>107434</v>
      </c>
      <c r="EP28" s="34" t="n">
        <f aca="false">(IVA!EO27+IVA!EO28)/1000/IVA!EK64</f>
        <v>0.735329986515954</v>
      </c>
      <c r="ES28" s="278" t="n">
        <v>227320</v>
      </c>
      <c r="EU28" s="122" t="s">
        <v>336</v>
      </c>
      <c r="EV28" s="122" t="s">
        <v>352</v>
      </c>
      <c r="EW28" s="122" t="s">
        <v>353</v>
      </c>
      <c r="EX28" s="122" t="s">
        <v>354</v>
      </c>
      <c r="EY28" s="122" t="s">
        <v>355</v>
      </c>
      <c r="FA28" s="182" t="n">
        <f aca="false">IVA!EY28*IVA!EO27*12/1000</f>
        <v>123815767.01688</v>
      </c>
      <c r="FB28" s="34" t="n">
        <f aca="false">IVA!FA28/IVA!CK21</f>
        <v>0.0544685261084183</v>
      </c>
      <c r="FC28" s="34"/>
    </row>
    <row r="29" customFormat="false" ht="12.75" hidden="false" customHeight="true" outlineLevel="0" collapsed="false">
      <c r="AA29" s="123" t="n">
        <v>1999</v>
      </c>
      <c r="AB29" s="123" t="s">
        <v>312</v>
      </c>
      <c r="AC29" s="124"/>
      <c r="AD29" s="125"/>
      <c r="AE29" s="192" t="n">
        <f aca="false">IVA!AE12*0.9373*0.11</f>
        <v>168019.432581</v>
      </c>
      <c r="AF29" s="192" t="n">
        <f aca="false">IVA!AF12*0.9373*0.11</f>
        <v>151130.542563</v>
      </c>
      <c r="AG29" s="192" t="n">
        <f aca="false">IVA!AG12*0.9373*0.11</f>
        <v>168233.886821</v>
      </c>
      <c r="AH29" s="192" t="n">
        <f aca="false">IVA!AH12*0.9373*0.11</f>
        <v>151456.038734</v>
      </c>
      <c r="AI29" s="192" t="n">
        <f aca="false">IVA!AI12*0.9373*0.11</f>
        <v>143238.317222</v>
      </c>
      <c r="AJ29" s="192" t="n">
        <f aca="false">IVA!AJ12*0.9373*0.11</f>
        <v>160059.777878</v>
      </c>
      <c r="AK29" s="192" t="n">
        <f aca="false">IVA!AK12*0.9373*0.11</f>
        <v>145296.459308</v>
      </c>
      <c r="AL29" s="192" t="n">
        <f aca="false">IVA!AL12*0.9373*0.11</f>
        <v>160185.357332</v>
      </c>
      <c r="AM29" s="192" t="n">
        <f aca="false">IVA!AM12*0.9373*0.11</f>
        <v>165227.71265</v>
      </c>
      <c r="AN29" s="192" t="n">
        <f aca="false">IVA!AN12*0.9373*0.11</f>
        <v>155496.232892</v>
      </c>
      <c r="AO29" s="192" t="n">
        <f aca="false">IVA!AO12*0.9373*0.11</f>
        <v>160738.195618</v>
      </c>
      <c r="AP29" s="192" t="n">
        <f aca="false">IVA!AP12*0.9373*0.11</f>
        <v>147075.810882</v>
      </c>
      <c r="AQ29" s="128" t="n">
        <f aca="false">IVA!AE29+IVA!AF29+IVA!AG29</f>
        <v>487383.861965</v>
      </c>
      <c r="AR29" s="128" t="n">
        <f aca="false">IVA!AH29+IVA!AI29+IVA!AJ29</f>
        <v>454754.133834</v>
      </c>
      <c r="AS29" s="128" t="n">
        <f aca="false">IVA!AK29+IVA!AL29+IVA!AM29</f>
        <v>470709.52929</v>
      </c>
      <c r="AT29" s="128" t="n">
        <f aca="false">IVA!AN29+IVA!AO29+IVA!AP29</f>
        <v>463310.239392</v>
      </c>
      <c r="AU29" s="129" t="n">
        <f aca="false">IVA!AQ29+IVA!AR29+IVA!AS29+IVA!AT29</f>
        <v>1876157.764481</v>
      </c>
      <c r="AV29" s="130" t="n">
        <f aca="false">IVA!AQ29/IVA!CJ8</f>
        <v>0.00180015166231449</v>
      </c>
      <c r="AW29" s="130" t="n">
        <f aca="false">IVA!AR29/IVA!CK8</f>
        <v>0.0015744706597594</v>
      </c>
      <c r="AX29" s="130" t="n">
        <f aca="false">IVA!AS29/IVA!CL8</f>
        <v>0.00165110823703533</v>
      </c>
      <c r="AY29" s="130" t="n">
        <f aca="false">IVA!AT29/IVA!CM8</f>
        <v>0.0016007743286309</v>
      </c>
      <c r="AZ29" s="271" t="n">
        <f aca="false">IVA!AU29/IVA!CN8</f>
        <v>0.00661730302583426</v>
      </c>
      <c r="BA29" s="266" t="n">
        <v>1999</v>
      </c>
      <c r="BB29" s="267" t="s">
        <v>313</v>
      </c>
      <c r="BC29" s="268"/>
      <c r="BD29" s="268"/>
      <c r="BE29" s="268"/>
      <c r="BF29" s="269" t="n">
        <f aca="false">0.64*IVA!AE63</f>
        <v>430568.746666667</v>
      </c>
      <c r="BG29" s="269" t="n">
        <f aca="false">0.64*IVA!AF63</f>
        <v>385354.026666667</v>
      </c>
      <c r="BH29" s="269" t="n">
        <f aca="false">0.64*IVA!AG63</f>
        <v>385546.026666667</v>
      </c>
      <c r="BI29" s="269" t="n">
        <f aca="false">0.64*IVA!AH63</f>
        <v>405476.266666667</v>
      </c>
      <c r="BJ29" s="269" t="n">
        <f aca="false">0.64*IVA!AI63</f>
        <v>697675.306666667</v>
      </c>
      <c r="BK29" s="269" t="n">
        <f aca="false">0.64*IVA!AJ63</f>
        <v>481933.866666667</v>
      </c>
      <c r="BL29" s="269" t="n">
        <f aca="false">0.64*IVA!AK63</f>
        <v>451534.506666667</v>
      </c>
      <c r="BM29" s="269" t="n">
        <f aca="false">0.64*IVA!AL63</f>
        <v>477995.306666667</v>
      </c>
      <c r="BN29" s="269" t="n">
        <f aca="false">0.64*IVA!AM63</f>
        <v>417782.186666667</v>
      </c>
      <c r="BO29" s="269" t="n">
        <f aca="false">0.64*IVA!AN63</f>
        <v>458521.386666667</v>
      </c>
      <c r="BP29" s="269" t="n">
        <f aca="false">0.64*IVA!AO63</f>
        <v>510465.706666667</v>
      </c>
      <c r="BQ29" s="270" t="n">
        <f aca="false">0.64*IVA!AP63</f>
        <v>439525.546666667</v>
      </c>
      <c r="BR29" s="175" t="n">
        <f aca="false">0.64*IVA!AQ63</f>
        <v>1201468.8</v>
      </c>
      <c r="BS29" s="175" t="n">
        <f aca="false">0.64*IVA!AR63</f>
        <v>1176376.32</v>
      </c>
      <c r="BT29" s="175" t="n">
        <f aca="false">0.64*IVA!AS63</f>
        <v>1488697.6</v>
      </c>
      <c r="BU29" s="176" t="n">
        <f aca="false">0.64*IVA!AT63</f>
        <v>1585085.44</v>
      </c>
      <c r="BV29" s="137" t="n">
        <f aca="false">0.64*IVA!AU63</f>
        <v>5451628.16</v>
      </c>
      <c r="BW29" s="138" t="n">
        <f aca="false">IVA!BR29/IVA!CJ8</f>
        <v>0.00443762345519417</v>
      </c>
      <c r="BX29" s="139" t="n">
        <f aca="false">IVA!BS29/IVA!CK8</f>
        <v>0.00407290415385611</v>
      </c>
      <c r="BY29" s="138" t="n">
        <f aca="false">IVA!BT29/IVA!CL8</f>
        <v>0.00522190590346085</v>
      </c>
      <c r="BZ29" s="138" t="n">
        <f aca="false">IVA!BU29/IVA!CM8</f>
        <v>0.00547659832506266</v>
      </c>
      <c r="CA29" s="273" t="n">
        <f aca="false">IVA!BV29/IVA!CN8</f>
        <v>0.0192281673758234</v>
      </c>
      <c r="CH29" s="13"/>
      <c r="CI29" s="235"/>
      <c r="CJ29" s="93" t="s">
        <v>58</v>
      </c>
      <c r="CK29" s="94" t="s">
        <v>59</v>
      </c>
      <c r="CL29" s="94" t="s">
        <v>60</v>
      </c>
      <c r="CM29" s="94" t="s">
        <v>61</v>
      </c>
      <c r="CN29" s="94" t="s">
        <v>62</v>
      </c>
      <c r="CO29" s="63"/>
      <c r="CP29" s="63"/>
      <c r="CQ29" s="13"/>
      <c r="CS29" s="220"/>
      <c r="CT29" s="99" t="s">
        <v>200</v>
      </c>
      <c r="CU29" s="198" t="n">
        <v>0</v>
      </c>
      <c r="CV29" s="199" t="n">
        <v>0</v>
      </c>
      <c r="CW29" s="200" t="n">
        <v>0</v>
      </c>
      <c r="CX29" s="148" t="n">
        <v>0</v>
      </c>
      <c r="CY29" s="199" t="n">
        <v>0</v>
      </c>
      <c r="CZ29" s="199" t="n">
        <v>0</v>
      </c>
      <c r="DA29" s="199" t="n">
        <v>647970</v>
      </c>
      <c r="DB29" s="199" t="n">
        <v>647970</v>
      </c>
      <c r="DC29" s="201" t="n">
        <v>0</v>
      </c>
      <c r="DD29" s="199" t="n">
        <v>0</v>
      </c>
      <c r="DE29" s="199" t="n">
        <v>0</v>
      </c>
      <c r="DF29" s="199" t="n">
        <v>0</v>
      </c>
      <c r="DG29" s="202" t="n">
        <v>647970</v>
      </c>
      <c r="DH29" s="148"/>
      <c r="DI29" s="99" t="n">
        <v>2001</v>
      </c>
      <c r="DJ29" s="99" t="s">
        <v>84</v>
      </c>
      <c r="DK29" s="147" t="n">
        <v>16880549.38</v>
      </c>
      <c r="DL29" s="148"/>
      <c r="DY29" s="215" t="s">
        <v>356</v>
      </c>
      <c r="EA29" s="195"/>
      <c r="EB29" s="230" t="s">
        <v>357</v>
      </c>
      <c r="EC29" s="230" t="s">
        <v>358</v>
      </c>
      <c r="ED29" s="230" t="s">
        <v>359</v>
      </c>
      <c r="EE29" s="230" t="s">
        <v>360</v>
      </c>
      <c r="EF29" s="230" t="s">
        <v>360</v>
      </c>
      <c r="EG29" s="231" t="s">
        <v>361</v>
      </c>
      <c r="EH29" s="232" t="s">
        <v>362</v>
      </c>
      <c r="EJ29" s="31" t="n">
        <v>1977</v>
      </c>
      <c r="EK29" s="32" t="n">
        <v>2628.127</v>
      </c>
      <c r="EL29" s="33" t="n">
        <v>2085.481</v>
      </c>
      <c r="EN29" s="122" t="s">
        <v>363</v>
      </c>
      <c r="ES29" s="280" t="n">
        <v>26127</v>
      </c>
    </row>
    <row r="30" customFormat="false" ht="12.75" hidden="false" customHeight="true" outlineLevel="0" collapsed="false">
      <c r="AA30" s="123" t="n">
        <v>2000</v>
      </c>
      <c r="AB30" s="123" t="s">
        <v>312</v>
      </c>
      <c r="AC30" s="124"/>
      <c r="AD30" s="125"/>
      <c r="AE30" s="192" t="n">
        <f aca="false">IVA!AE13*0.9373*0.11</f>
        <v>170184.723417379</v>
      </c>
      <c r="AF30" s="192" t="n">
        <f aca="false">IVA!AF13*0.9373*0.11</f>
        <v>142169.28083326</v>
      </c>
      <c r="AG30" s="192" t="n">
        <f aca="false">IVA!AG13*0.9373*0.11</f>
        <v>166546.550804013</v>
      </c>
      <c r="AH30" s="192" t="n">
        <f aca="false">IVA!AH13*0.9373*0.11</f>
        <v>160799.732882749</v>
      </c>
      <c r="AI30" s="192" t="n">
        <f aca="false">IVA!AI13*0.9373*0.11</f>
        <v>159580.570634505</v>
      </c>
      <c r="AJ30" s="192" t="n">
        <f aca="false">IVA!AJ13*0.9373*0.11</f>
        <v>176300.650483838</v>
      </c>
      <c r="AK30" s="192" t="n">
        <f aca="false">IVA!AK13*0.9373*0.11</f>
        <v>168091.277607353</v>
      </c>
      <c r="AL30" s="192" t="n">
        <f aca="false">IVA!AL13*0.9373*0.11</f>
        <v>169094.576787336</v>
      </c>
      <c r="AM30" s="192" t="n">
        <f aca="false">IVA!AM13*0.9373*0.11</f>
        <v>171865.431114677</v>
      </c>
      <c r="AN30" s="192" t="n">
        <f aca="false">IVA!AN13*0.9373*0.11</f>
        <v>155517.765458656</v>
      </c>
      <c r="AO30" s="192" t="n">
        <f aca="false">IVA!AO13*0.9373*0.11</f>
        <v>160625.148632649</v>
      </c>
      <c r="AP30" s="192" t="n">
        <f aca="false">IVA!AP13*0.9373*0.11</f>
        <v>159062.14519147</v>
      </c>
      <c r="AQ30" s="128" t="n">
        <f aca="false">IVA!AE30+IVA!AF30+IVA!AG30</f>
        <v>478900.555054652</v>
      </c>
      <c r="AR30" s="128" t="n">
        <f aca="false">IVA!AH30+IVA!AI30+IVA!AJ30</f>
        <v>496680.954001092</v>
      </c>
      <c r="AS30" s="128" t="n">
        <f aca="false">IVA!AK30+IVA!AL30+IVA!AM30</f>
        <v>509051.285509367</v>
      </c>
      <c r="AT30" s="128" t="n">
        <f aca="false">IVA!AN30+IVA!AO30+IVA!AP30</f>
        <v>475205.059282774</v>
      </c>
      <c r="AU30" s="129" t="n">
        <f aca="false">IVA!AQ30+IVA!AR30+IVA!AS30+IVA!AT30</f>
        <v>1959837.85384788</v>
      </c>
      <c r="AV30" s="130" t="n">
        <f aca="false">IVA!AQ30/IVA!CJ9</f>
        <v>0.00177079378745563</v>
      </c>
      <c r="AW30" s="130" t="n">
        <f aca="false">IVA!AR30/IVA!CK9</f>
        <v>0.00170215131952452</v>
      </c>
      <c r="AX30" s="130" t="n">
        <f aca="false">IVA!AS30/IVA!CL9</f>
        <v>0.00177064000438712</v>
      </c>
      <c r="AY30" s="130" t="n">
        <f aca="false">IVA!AT30/IVA!CM9</f>
        <v>0.00165531104270951</v>
      </c>
      <c r="AZ30" s="271" t="n">
        <f aca="false">IVA!AU30/IVA!CN9</f>
        <v>0.00689589045722683</v>
      </c>
      <c r="BA30" s="266" t="n">
        <v>2000</v>
      </c>
      <c r="BB30" s="267" t="s">
        <v>313</v>
      </c>
      <c r="BC30" s="268"/>
      <c r="BD30" s="268"/>
      <c r="BE30" s="268"/>
      <c r="BF30" s="269" t="n">
        <f aca="false">0.64*IVA!AE64</f>
        <v>442399.959658667</v>
      </c>
      <c r="BG30" s="269" t="n">
        <f aca="false">0.64*IVA!AF64</f>
        <v>421386.320682667</v>
      </c>
      <c r="BH30" s="269" t="n">
        <f aca="false">0.64*IVA!AG64</f>
        <v>414230.608925867</v>
      </c>
      <c r="BI30" s="269" t="n">
        <f aca="false">0.64*IVA!AH64</f>
        <v>464432.562077867</v>
      </c>
      <c r="BJ30" s="269" t="n">
        <f aca="false">0.64*IVA!AI64</f>
        <v>730158.387434667</v>
      </c>
      <c r="BK30" s="269" t="n">
        <f aca="false">0.64*IVA!AJ64</f>
        <v>840466.489079467</v>
      </c>
      <c r="BL30" s="269" t="n">
        <f aca="false">0.64*IVA!AK64</f>
        <v>482535.338922667</v>
      </c>
      <c r="BM30" s="269" t="n">
        <f aca="false">0.64*IVA!AL64</f>
        <v>545294.941482667</v>
      </c>
      <c r="BN30" s="269" t="n">
        <f aca="false">0.64*IVA!AM64</f>
        <v>437528.502186667</v>
      </c>
      <c r="BO30" s="269" t="n">
        <f aca="false">0.64*IVA!AN64</f>
        <v>519789.800170667</v>
      </c>
      <c r="BP30" s="269" t="n">
        <f aca="false">0.64*IVA!AO64</f>
        <v>492321.861585067</v>
      </c>
      <c r="BQ30" s="270" t="n">
        <f aca="false">0.64*IVA!AP64</f>
        <v>529547.838673067</v>
      </c>
      <c r="BR30" s="175" t="n">
        <f aca="false">0.64*IVA!AQ64</f>
        <v>1278016.8892672</v>
      </c>
      <c r="BS30" s="175" t="n">
        <f aca="false">0.64*IVA!AR64</f>
        <v>1300049.4916864</v>
      </c>
      <c r="BT30" s="175" t="n">
        <f aca="false">0.64*IVA!AS64</f>
        <v>1608821.5584384</v>
      </c>
      <c r="BU30" s="176" t="n">
        <f aca="false">0.64*IVA!AT64</f>
        <v>2035057.438592</v>
      </c>
      <c r="BV30" s="137" t="n">
        <f aca="false">0.64*IVA!AU64</f>
        <v>6221945.377984</v>
      </c>
      <c r="BW30" s="138" t="n">
        <f aca="false">IVA!BR30/IVA!CJ9</f>
        <v>0.00472562485862951</v>
      </c>
      <c r="BX30" s="139" t="n">
        <f aca="false">IVA!BS30/IVA!CK9</f>
        <v>0.00445533685134284</v>
      </c>
      <c r="BY30" s="138" t="n">
        <f aca="false">IVA!BT30/IVA!CL9</f>
        <v>0.00559598589057889</v>
      </c>
      <c r="BZ30" s="138" t="n">
        <f aca="false">IVA!BU30/IVA!CM9</f>
        <v>0.00708884088004821</v>
      </c>
      <c r="CA30" s="273" t="n">
        <f aca="false">IVA!BV30/IVA!CN9</f>
        <v>0.0218925528319531</v>
      </c>
      <c r="CH30" s="13"/>
      <c r="CI30" s="235"/>
      <c r="CJ30" s="281"/>
      <c r="CK30" s="281"/>
      <c r="CL30" s="281"/>
      <c r="CM30" s="281"/>
      <c r="CN30" s="281"/>
      <c r="CO30" s="63"/>
      <c r="CP30" s="63"/>
      <c r="CQ30" s="13"/>
      <c r="CS30" s="220"/>
      <c r="CT30" s="99" t="s">
        <v>215</v>
      </c>
      <c r="CU30" s="198" t="n">
        <v>0</v>
      </c>
      <c r="CV30" s="199" t="n">
        <v>0</v>
      </c>
      <c r="CW30" s="200" t="n">
        <v>0</v>
      </c>
      <c r="CX30" s="148" t="n">
        <v>0</v>
      </c>
      <c r="CY30" s="199" t="n">
        <v>0</v>
      </c>
      <c r="CZ30" s="199" t="n">
        <v>0</v>
      </c>
      <c r="DA30" s="199" t="n">
        <v>25707300</v>
      </c>
      <c r="DB30" s="199" t="n">
        <v>25707300</v>
      </c>
      <c r="DC30" s="201" t="n">
        <v>0</v>
      </c>
      <c r="DD30" s="199" t="n">
        <v>0</v>
      </c>
      <c r="DE30" s="199" t="n">
        <v>0</v>
      </c>
      <c r="DF30" s="199" t="n">
        <v>0</v>
      </c>
      <c r="DG30" s="202" t="n">
        <v>25707300</v>
      </c>
      <c r="DH30" s="148"/>
      <c r="DI30" s="115"/>
      <c r="DJ30" s="116" t="s">
        <v>102</v>
      </c>
      <c r="DK30" s="166" t="n">
        <v>16756844.06</v>
      </c>
      <c r="DL30" s="148"/>
      <c r="DY30" s="222" t="s">
        <v>364</v>
      </c>
      <c r="DZ30" s="223"/>
      <c r="EA30" s="206"/>
      <c r="EB30" s="236" t="s">
        <v>365</v>
      </c>
      <c r="EC30" s="236" t="s">
        <v>366</v>
      </c>
      <c r="ED30" s="236" t="s">
        <v>367</v>
      </c>
      <c r="EE30" s="236" t="s">
        <v>368</v>
      </c>
      <c r="EF30" s="236" t="s">
        <v>368</v>
      </c>
      <c r="EG30" s="237" t="s">
        <v>369</v>
      </c>
      <c r="EH30" s="238" t="s">
        <v>370</v>
      </c>
      <c r="EJ30" s="31" t="n">
        <v>1978</v>
      </c>
      <c r="EK30" s="32" t="n">
        <v>2694.941</v>
      </c>
      <c r="EL30" s="33" t="n">
        <v>2145.319</v>
      </c>
    </row>
    <row r="31" customFormat="false" ht="12.75" hidden="false" customHeight="true" outlineLevel="0" collapsed="false">
      <c r="AA31" s="123" t="n">
        <v>2001</v>
      </c>
      <c r="AB31" s="123" t="s">
        <v>312</v>
      </c>
      <c r="AC31" s="124"/>
      <c r="AD31" s="125"/>
      <c r="AE31" s="192" t="n">
        <f aca="false">IVA!AE14*0.9373*0.11</f>
        <v>168122.57186707</v>
      </c>
      <c r="AF31" s="192" t="n">
        <f aca="false">IVA!AF14*0.9373*0.11</f>
        <v>139009.24525528</v>
      </c>
      <c r="AG31" s="192" t="n">
        <f aca="false">IVA!AG14*0.9373*0.11</f>
        <v>146773.80127437</v>
      </c>
      <c r="AH31" s="192" t="n">
        <f aca="false">IVA!AH14*0.9373*0.11</f>
        <v>145734.389756215</v>
      </c>
      <c r="AI31" s="192" t="n">
        <f aca="false">IVA!AI14*0.9373*0.11</f>
        <v>142576.111970973</v>
      </c>
      <c r="AJ31" s="192" t="n">
        <f aca="false">IVA!AJ14*0.9373*0.11</f>
        <v>143673.072434962</v>
      </c>
      <c r="AK31" s="192" t="n">
        <f aca="false">IVA!AK14*0.9373*0.11</f>
        <v>130400.095108093</v>
      </c>
      <c r="AL31" s="192" t="n">
        <f aca="false">IVA!AL14*0.9373*0.11</f>
        <v>139873.51721367</v>
      </c>
      <c r="AM31" s="192" t="n">
        <f aca="false">IVA!AM14*0.9373*0.11</f>
        <v>117836.960704223</v>
      </c>
      <c r="AN31" s="192" t="n">
        <f aca="false">IVA!AN14*0.9373*0.11</f>
        <v>111250.833954871</v>
      </c>
      <c r="AO31" s="192" t="n">
        <f aca="false">IVA!AO14*0.9373*0.11</f>
        <v>112405.353323413</v>
      </c>
      <c r="AP31" s="192" t="n">
        <f aca="false">IVA!AP14*0.9373*0.11</f>
        <v>85078.8950325214</v>
      </c>
      <c r="AQ31" s="128" t="n">
        <f aca="false">IVA!AE31+IVA!AF31+IVA!AG31</f>
        <v>453905.61839672</v>
      </c>
      <c r="AR31" s="128" t="n">
        <f aca="false">IVA!AH31+IVA!AI31+IVA!AJ31</f>
        <v>431983.57416215</v>
      </c>
      <c r="AS31" s="128" t="n">
        <f aca="false">IVA!AK31+IVA!AL31+IVA!AM31</f>
        <v>388110.573025986</v>
      </c>
      <c r="AT31" s="128" t="n">
        <f aca="false">IVA!AN31+IVA!AO31+IVA!AP31</f>
        <v>308735.082310805</v>
      </c>
      <c r="AU31" s="129" t="n">
        <f aca="false">IVA!AQ31+IVA!AR31+IVA!AS31+IVA!AT31</f>
        <v>1582734.84789566</v>
      </c>
      <c r="AV31" s="130" t="n">
        <f aca="false">IVA!AQ31/IVA!CJ10</f>
        <v>0.00172370749511725</v>
      </c>
      <c r="AW31" s="130" t="n">
        <f aca="false">IVA!AR31/IVA!CK10</f>
        <v>0.00149980717481042</v>
      </c>
      <c r="AX31" s="130" t="n">
        <f aca="false">IVA!AS31/IVA!CL10</f>
        <v>0.0014302042924461</v>
      </c>
      <c r="AY31" s="130" t="n">
        <f aca="false">IVA!AT31/IVA!CM10</f>
        <v>0.00122483327782192</v>
      </c>
      <c r="AZ31" s="271" t="n">
        <f aca="false">IVA!AU31/IVA!CN10</f>
        <v>0.00589041397180548</v>
      </c>
      <c r="BA31" s="266" t="n">
        <v>2001</v>
      </c>
      <c r="BB31" s="267" t="s">
        <v>313</v>
      </c>
      <c r="BC31" s="268"/>
      <c r="BD31" s="268"/>
      <c r="BE31" s="268"/>
      <c r="BF31" s="269" t="n">
        <f aca="false">0.64*IVA!AE65</f>
        <v>485193.355965867</v>
      </c>
      <c r="BG31" s="269" t="n">
        <f aca="false">0.64*IVA!AF65</f>
        <v>454933.161559467</v>
      </c>
      <c r="BH31" s="269" t="n">
        <f aca="false">0.64*IVA!AG65</f>
        <v>439460.675639467</v>
      </c>
      <c r="BI31" s="269" t="n">
        <f aca="false">0.64*IVA!AH65</f>
        <v>364478.365757867</v>
      </c>
      <c r="BJ31" s="269" t="n">
        <f aca="false">0.64*IVA!AI65</f>
        <v>960327.686730667</v>
      </c>
      <c r="BK31" s="269" t="n">
        <f aca="false">0.64*IVA!AJ65</f>
        <v>810356.199095467</v>
      </c>
      <c r="BL31" s="269" t="n">
        <f aca="false">0.64*IVA!AK65</f>
        <v>447372.174916267</v>
      </c>
      <c r="BM31" s="269" t="n">
        <f aca="false">0.64*IVA!AL65</f>
        <v>471465.081988267</v>
      </c>
      <c r="BN31" s="269" t="n">
        <f aca="false">0.64*IVA!AM65</f>
        <v>410719.307735467</v>
      </c>
      <c r="BO31" s="269" t="n">
        <f aca="false">0.64*IVA!AN65</f>
        <v>434743.108785067</v>
      </c>
      <c r="BP31" s="269" t="n">
        <f aca="false">0.64*IVA!AO65</f>
        <v>428955.775953067</v>
      </c>
      <c r="BQ31" s="270" t="n">
        <f aca="false">0.64*IVA!AP65</f>
        <v>379214.124311467</v>
      </c>
      <c r="BR31" s="175" t="n">
        <f aca="false">0.64*IVA!AQ65</f>
        <v>1379587.1931648</v>
      </c>
      <c r="BS31" s="175" t="n">
        <f aca="false">0.64*IVA!AR65</f>
        <v>1258872.2029568</v>
      </c>
      <c r="BT31" s="175" t="n">
        <f aca="false">0.64*IVA!AS65</f>
        <v>1764266.728128</v>
      </c>
      <c r="BU31" s="176" t="n">
        <f aca="false">0.64*IVA!AT65</f>
        <v>2135162.251584</v>
      </c>
      <c r="BV31" s="137" t="n">
        <f aca="false">0.64*IVA!AU65</f>
        <v>6537888.3758336</v>
      </c>
      <c r="BW31" s="138" t="n">
        <f aca="false">IVA!BR31/IVA!CJ10</f>
        <v>0.00523898512960798</v>
      </c>
      <c r="BX31" s="139" t="n">
        <f aca="false">IVA!BS31/IVA!CK10</f>
        <v>0.00437068832032791</v>
      </c>
      <c r="BY31" s="138" t="n">
        <f aca="false">IVA!BT31/IVA!CL10</f>
        <v>0.0065013994025346</v>
      </c>
      <c r="BZ31" s="138" t="n">
        <f aca="false">IVA!BU31/IVA!CM10</f>
        <v>0.00847075026172929</v>
      </c>
      <c r="CA31" s="273" t="n">
        <f aca="false">IVA!BV31/IVA!CN10</f>
        <v>0.0243318513434624</v>
      </c>
      <c r="CH31" s="13"/>
      <c r="CI31" s="53" t="n">
        <v>1997</v>
      </c>
      <c r="CJ31" s="282" t="n">
        <f aca="false">IVA!AV27+IVA!AV78+IVA!AV95+IVA!AV112+IVA!AV146+IVA!AV163+IVA!AV212+IVA!AV246</f>
        <v>0.0196759266246553</v>
      </c>
      <c r="CK31" s="282" t="n">
        <f aca="false">IVA!AW27+IVA!AW78+IVA!AW95+IVA!AW112+IVA!AW146+IVA!AW163+IVA!AW212+IVA!AW246</f>
        <v>0.0167837605126347</v>
      </c>
      <c r="CL31" s="282" t="n">
        <f aca="false">IVA!AX27+IVA!AX78+IVA!AX95+IVA!AX112+IVA!AX146+IVA!AX163+IVA!AX212+IVA!AX246</f>
        <v>0.0185164184735673</v>
      </c>
      <c r="CM31" s="283" t="n">
        <f aca="false">IVA!AY27+IVA!AY78+IVA!AY95+IVA!AY112+IVA!AY146+IVA!AY163+IVA!AY212+IVA!AY246</f>
        <v>0.0178828239638656</v>
      </c>
      <c r="CN31" s="284" t="n">
        <f aca="false">IVA!AZ27+IVA!AZ78+IVA!AZ95+IVA!AZ112+IVA!AZ146+IVA!AZ163+IVA!AZ212+IVA!AZ246</f>
        <v>0.0727120317255408</v>
      </c>
      <c r="CO31" s="63"/>
      <c r="CP31" s="63"/>
      <c r="CQ31" s="13"/>
      <c r="CS31" s="220"/>
      <c r="CT31" s="99" t="s">
        <v>232</v>
      </c>
      <c r="CU31" s="198" t="n">
        <v>0</v>
      </c>
      <c r="CV31" s="199" t="n">
        <v>0</v>
      </c>
      <c r="CW31" s="200" t="n">
        <v>0</v>
      </c>
      <c r="CX31" s="148" t="n">
        <v>0</v>
      </c>
      <c r="CY31" s="199" t="n">
        <v>8370966.079</v>
      </c>
      <c r="CZ31" s="199" t="n">
        <v>0</v>
      </c>
      <c r="DA31" s="199" t="n">
        <v>0</v>
      </c>
      <c r="DB31" s="199" t="n">
        <v>8370966.079</v>
      </c>
      <c r="DC31" s="201" t="n">
        <v>0</v>
      </c>
      <c r="DD31" s="199" t="n">
        <v>0</v>
      </c>
      <c r="DE31" s="199" t="n">
        <v>0</v>
      </c>
      <c r="DF31" s="199" t="n">
        <v>0</v>
      </c>
      <c r="DG31" s="202" t="n">
        <v>8370966.079</v>
      </c>
      <c r="DH31" s="148"/>
      <c r="DI31" s="99" t="n">
        <v>2000</v>
      </c>
      <c r="DJ31" s="99" t="s">
        <v>84</v>
      </c>
      <c r="DK31" s="147" t="n">
        <v>17535849.2</v>
      </c>
      <c r="DL31" s="148"/>
      <c r="DY31" s="177" t="s">
        <v>163</v>
      </c>
      <c r="DZ31" s="45"/>
      <c r="EA31" s="210" t="n">
        <v>1997</v>
      </c>
      <c r="EB31" s="227" t="n">
        <v>15927119406</v>
      </c>
      <c r="EC31" s="227" t="n">
        <v>258436097</v>
      </c>
      <c r="ED31" s="227" t="n">
        <v>16185555503</v>
      </c>
      <c r="EE31" s="227" t="n">
        <v>14802096735.6</v>
      </c>
      <c r="EF31" s="227" t="n">
        <v>14799415561.68</v>
      </c>
      <c r="EG31" s="228" t="n">
        <v>13357363427.93</v>
      </c>
      <c r="EH31" s="229" t="n">
        <v>1386139941.32</v>
      </c>
      <c r="EJ31" s="31" t="n">
        <v>1979</v>
      </c>
      <c r="EK31" s="32" t="n">
        <v>2762.2</v>
      </c>
      <c r="EL31" s="33" t="n">
        <v>2203.916</v>
      </c>
      <c r="EN31" s="122" t="s">
        <v>371</v>
      </c>
      <c r="EO31" s="285" t="s">
        <v>372</v>
      </c>
      <c r="EV31" s="72" t="s">
        <v>28</v>
      </c>
    </row>
    <row r="32" customFormat="false" ht="12.75" hidden="false" customHeight="true" outlineLevel="0" collapsed="false">
      <c r="AA32" s="123" t="n">
        <v>2002</v>
      </c>
      <c r="AB32" s="123" t="s">
        <v>312</v>
      </c>
      <c r="AC32" s="124"/>
      <c r="AD32" s="125"/>
      <c r="AE32" s="192" t="n">
        <f aca="false">IVA!AE15*0.9373*0.11</f>
        <v>104013.235054118</v>
      </c>
      <c r="AF32" s="192" t="n">
        <f aca="false">IVA!AF15*0.9373*0.11</f>
        <v>105860.556000329</v>
      </c>
      <c r="AG32" s="192" t="n">
        <f aca="false">IVA!AG15*0.9373*0.11</f>
        <v>106830.524385805</v>
      </c>
      <c r="AH32" s="192" t="n">
        <f aca="false">IVA!AH15*0.9373*0.11</f>
        <v>92669.8582657348</v>
      </c>
      <c r="AI32" s="192" t="n">
        <f aca="false">IVA!AI15*0.9373*0.11</f>
        <v>155779.084569308</v>
      </c>
      <c r="AJ32" s="192" t="n">
        <f aca="false">IVA!AJ15*0.9373*0.11</f>
        <v>144668.446450258</v>
      </c>
      <c r="AK32" s="192" t="n">
        <f aca="false">IVA!AK15*0.9373*0.11</f>
        <v>145671.830102529</v>
      </c>
      <c r="AL32" s="192" t="n">
        <f aca="false">IVA!AL15*0.9373*0.11</f>
        <v>140655.110554679</v>
      </c>
      <c r="AM32" s="192" t="n">
        <f aca="false">IVA!AM15*0.9373*0.11</f>
        <v>138185.103275439</v>
      </c>
      <c r="AN32" s="192" t="n">
        <f aca="false">IVA!AN15*0.9373*0.11</f>
        <v>146828.596213289</v>
      </c>
      <c r="AO32" s="192" t="n">
        <f aca="false">IVA!AO15*0.9373*0.11</f>
        <v>154834.627292145</v>
      </c>
      <c r="AP32" s="192" t="n">
        <f aca="false">IVA!AP15*0.9373*0.11</f>
        <v>135516.916030676</v>
      </c>
      <c r="AQ32" s="128" t="n">
        <f aca="false">IVA!AE32+IVA!AF32+IVA!AG32</f>
        <v>316704.315440253</v>
      </c>
      <c r="AR32" s="128" t="n">
        <f aca="false">IVA!AH32+IVA!AI32+IVA!AJ32</f>
        <v>393117.389285301</v>
      </c>
      <c r="AS32" s="128" t="n">
        <f aca="false">IVA!AK32+IVA!AL32+IVA!AM32</f>
        <v>424512.043932647</v>
      </c>
      <c r="AT32" s="128" t="n">
        <f aca="false">IVA!AN32+IVA!AO32+IVA!AP32</f>
        <v>437180.13953611</v>
      </c>
      <c r="AU32" s="129" t="n">
        <f aca="false">IVA!AQ32+IVA!AR32+IVA!AS32+IVA!AT32</f>
        <v>1571513.88819431</v>
      </c>
      <c r="AV32" s="130" t="n">
        <f aca="false">IVA!AQ32/IVA!CJ11</f>
        <v>0.00133598381587657</v>
      </c>
      <c r="AW32" s="130" t="n">
        <f aca="false">IVA!AR32/IVA!CK11</f>
        <v>0.00115961026116083</v>
      </c>
      <c r="AX32" s="130" t="n">
        <f aca="false">IVA!AS32/IVA!CL11</f>
        <v>0.00127097043325683</v>
      </c>
      <c r="AY32" s="130" t="n">
        <f aca="false">IVA!AT32/IVA!CM11</f>
        <v>0.00128488135453883</v>
      </c>
      <c r="AZ32" s="271" t="n">
        <f aca="false">IVA!AU32/IVA!CN11</f>
        <v>0.005027555073672</v>
      </c>
      <c r="BA32" s="266" t="n">
        <v>2002</v>
      </c>
      <c r="BB32" s="267" t="s">
        <v>313</v>
      </c>
      <c r="BC32" s="268"/>
      <c r="BD32" s="268"/>
      <c r="BE32" s="268"/>
      <c r="BF32" s="269" t="n">
        <f aca="false">0.64*IVA!AE66</f>
        <v>367574.658653867</v>
      </c>
      <c r="BG32" s="269" t="n">
        <f aca="false">0.64*IVA!AF66</f>
        <v>269053.335722667</v>
      </c>
      <c r="BH32" s="269" t="n">
        <f aca="false">0.64*IVA!AG66</f>
        <v>276471.658513067</v>
      </c>
      <c r="BI32" s="269" t="n">
        <f aca="false">0.64*IVA!AH66</f>
        <v>246199.280183467</v>
      </c>
      <c r="BJ32" s="269" t="n">
        <f aca="false">0.64*IVA!AI66</f>
        <v>540646.654340267</v>
      </c>
      <c r="BK32" s="269" t="n">
        <f aca="false">0.64*IVA!AJ66</f>
        <v>502044.152522667</v>
      </c>
      <c r="BL32" s="269" t="n">
        <f aca="false">0.64*IVA!AK66</f>
        <v>457902.706001067</v>
      </c>
      <c r="BM32" s="269" t="n">
        <f aca="false">0.64*IVA!AL66</f>
        <v>509316.915831467</v>
      </c>
      <c r="BN32" s="269" t="n">
        <f aca="false">0.64*IVA!AM66</f>
        <v>406283.359133867</v>
      </c>
      <c r="BO32" s="269" t="n">
        <f aca="false">0.64*IVA!AN66</f>
        <v>512309.927965867</v>
      </c>
      <c r="BP32" s="269" t="n">
        <f aca="false">0.64*IVA!AO66</f>
        <v>679839.398813867</v>
      </c>
      <c r="BQ32" s="270" t="n">
        <f aca="false">0.64*IVA!AP66</f>
        <v>569534.810647467</v>
      </c>
      <c r="BR32" s="175" t="n">
        <f aca="false">0.64*IVA!AQ66</f>
        <v>913099.6528896</v>
      </c>
      <c r="BS32" s="175" t="n">
        <f aca="false">0.64*IVA!AR66</f>
        <v>791724.2744192</v>
      </c>
      <c r="BT32" s="175" t="n">
        <f aca="false">0.64*IVA!AS66</f>
        <v>1063317.5930368</v>
      </c>
      <c r="BU32" s="176" t="n">
        <f aca="false">0.64*IVA!AT66</f>
        <v>1288890.0870464</v>
      </c>
      <c r="BV32" s="137" t="n">
        <f aca="false">0.64*IVA!AU66</f>
        <v>4057031.607392</v>
      </c>
      <c r="BW32" s="138" t="n">
        <f aca="false">IVA!BR32/IVA!CJ11</f>
        <v>0.00385181476560321</v>
      </c>
      <c r="BX32" s="139" t="n">
        <f aca="false">IVA!BS32/IVA!CK11</f>
        <v>0.00233541333365013</v>
      </c>
      <c r="BY32" s="138" t="n">
        <f aca="false">IVA!BT32/IVA!CL11</f>
        <v>0.00318352621845993</v>
      </c>
      <c r="BZ32" s="138" t="n">
        <f aca="false">IVA!BU32/IVA!CM11</f>
        <v>0.00378807427678005</v>
      </c>
      <c r="CA32" s="273" t="n">
        <f aca="false">IVA!BV32/IVA!CN11</f>
        <v>0.012979172500491</v>
      </c>
      <c r="CH32" s="13"/>
      <c r="CI32" s="53" t="n">
        <v>1998</v>
      </c>
      <c r="CJ32" s="286" t="n">
        <f aca="false">IVA!AV28+IVA!AV79+IVA!AV96+IVA!AV113+IVA!AV147+IVA!AV164+IVA!AV213+IVA!AV247</f>
        <v>0.019201593358755</v>
      </c>
      <c r="CK32" s="286" t="n">
        <f aca="false">IVA!AW28+IVA!AW79+IVA!AW96+IVA!AW113+IVA!AW147+IVA!AW164+IVA!AW213+IVA!AW247</f>
        <v>0.0172377847205975</v>
      </c>
      <c r="CL32" s="286" t="n">
        <f aca="false">IVA!AX28+IVA!AX79+IVA!AX96+IVA!AX113+IVA!AX147+IVA!AX164+IVA!AX213+IVA!AX247</f>
        <v>0.0186783616772122</v>
      </c>
      <c r="CM32" s="287" t="n">
        <f aca="false">IVA!AY28+IVA!AY79+IVA!AY96+IVA!AY113+IVA!AY147+IVA!AY164+IVA!AY213+IVA!AY247</f>
        <v>0.0180961001648802</v>
      </c>
      <c r="CN32" s="288" t="n">
        <f aca="false">IVA!AZ28+IVA!AZ79+IVA!AZ96+IVA!AZ113+IVA!AZ147+IVA!AZ164+IVA!AZ213+IVA!AZ247</f>
        <v>0.0731288450806925</v>
      </c>
      <c r="CO32" s="63"/>
      <c r="CP32" s="63"/>
      <c r="CQ32" s="13"/>
      <c r="CS32" s="220"/>
      <c r="CT32" s="99" t="s">
        <v>247</v>
      </c>
      <c r="CU32" s="198" t="n">
        <v>0</v>
      </c>
      <c r="CV32" s="199" t="n">
        <v>0</v>
      </c>
      <c r="CW32" s="200" t="n">
        <v>0</v>
      </c>
      <c r="CX32" s="148" t="n">
        <v>0</v>
      </c>
      <c r="CY32" s="199" t="n">
        <v>1277879.173</v>
      </c>
      <c r="CZ32" s="199" t="n">
        <v>0</v>
      </c>
      <c r="DA32" s="199" t="n">
        <v>0</v>
      </c>
      <c r="DB32" s="199" t="n">
        <v>1277879.173</v>
      </c>
      <c r="DC32" s="201" t="n">
        <v>0</v>
      </c>
      <c r="DD32" s="199" t="n">
        <v>0</v>
      </c>
      <c r="DE32" s="199" t="n">
        <v>0</v>
      </c>
      <c r="DF32" s="199" t="n">
        <v>0</v>
      </c>
      <c r="DG32" s="202" t="n">
        <v>1277879.173</v>
      </c>
      <c r="DH32" s="148"/>
      <c r="DI32" s="115"/>
      <c r="DJ32" s="116" t="s">
        <v>102</v>
      </c>
      <c r="DK32" s="166" t="n">
        <v>17498103.8</v>
      </c>
      <c r="DL32" s="148"/>
      <c r="DY32" s="215" t="s">
        <v>373</v>
      </c>
      <c r="EA32" s="179"/>
      <c r="EB32" s="230" t="n">
        <v>108785511</v>
      </c>
      <c r="EC32" s="230" t="n">
        <v>164906610</v>
      </c>
      <c r="ED32" s="230" t="n">
        <v>273692121</v>
      </c>
      <c r="EE32" s="230" t="n">
        <v>182298154.2</v>
      </c>
      <c r="EF32" s="230" t="n">
        <v>180179349.22</v>
      </c>
      <c r="EG32" s="231" t="n">
        <v>172062297.02</v>
      </c>
      <c r="EH32" s="232" t="n">
        <v>93512771.78</v>
      </c>
      <c r="EJ32" s="31" t="n">
        <v>1980</v>
      </c>
      <c r="EK32" s="32" t="n">
        <v>2832.629</v>
      </c>
      <c r="EL32" s="33" t="n">
        <v>2262.988</v>
      </c>
      <c r="EM32" s="122" t="s">
        <v>103</v>
      </c>
      <c r="EN32" s="34" t="n">
        <f aca="false">IVA!EO10/IVA!EK48/1000</f>
        <v>0.476651686894821</v>
      </c>
      <c r="EO32" s="34" t="n">
        <f aca="false">IVA!EO10/IVA!EL47/1000</f>
        <v>0.57808803303723</v>
      </c>
      <c r="EV32" s="122" t="s">
        <v>374</v>
      </c>
    </row>
    <row r="33" customFormat="false" ht="12.75" hidden="false" customHeight="true" outlineLevel="0" collapsed="false">
      <c r="AA33" s="123" t="n">
        <v>2003</v>
      </c>
      <c r="AB33" s="123" t="s">
        <v>312</v>
      </c>
      <c r="AC33" s="124"/>
      <c r="AD33" s="125"/>
      <c r="AE33" s="192" t="n">
        <f aca="false">IVA!AE16*0.9373*0.11</f>
        <v>173868.005062462</v>
      </c>
      <c r="AF33" s="192" t="n">
        <f aca="false">IVA!AF16*0.9373*0.11</f>
        <v>139625.901850615</v>
      </c>
      <c r="AG33" s="192" t="n">
        <f aca="false">IVA!AG16*0.9373*0.11</f>
        <v>154543.145899923</v>
      </c>
      <c r="AH33" s="192" t="n">
        <f aca="false">IVA!AH16*0.9373*0.11</f>
        <v>174822.156974495</v>
      </c>
      <c r="AI33" s="192" t="n">
        <f aca="false">IVA!AI16*0.9373*0.11</f>
        <v>142023.549470032</v>
      </c>
      <c r="AJ33" s="192" t="n">
        <f aca="false">IVA!AJ16*0.9373*0.11</f>
        <v>167986.365852866</v>
      </c>
      <c r="AK33" s="192" t="n">
        <f aca="false">IVA!AK16*0.9373*0.11</f>
        <v>188756.165263866</v>
      </c>
      <c r="AL33" s="192" t="n">
        <f aca="false">IVA!AL16*0.9373*0.11</f>
        <v>187676.015988381</v>
      </c>
      <c r="AM33" s="192" t="n">
        <f aca="false">IVA!AM16*0.9373*0.11</f>
        <v>211308.326394565</v>
      </c>
      <c r="AN33" s="192" t="n">
        <f aca="false">IVA!AN16*0.9373*0.11</f>
        <v>198039.319945707</v>
      </c>
      <c r="AO33" s="192" t="n">
        <f aca="false">IVA!AO16*0.9373*0.11</f>
        <v>206531.295238718</v>
      </c>
      <c r="AP33" s="192" t="n">
        <f aca="false">IVA!AP16*0.9373*0.11</f>
        <v>214577.347765781</v>
      </c>
      <c r="AQ33" s="128" t="n">
        <f aca="false">IVA!AE33+IVA!AF33+IVA!AG33</f>
        <v>468037.052813</v>
      </c>
      <c r="AR33" s="128" t="n">
        <f aca="false">IVA!AH33+IVA!AI33+IVA!AJ33</f>
        <v>484832.072297393</v>
      </c>
      <c r="AS33" s="128" t="n">
        <f aca="false">IVA!AK33+IVA!AL33+IVA!AM33</f>
        <v>587740.507646813</v>
      </c>
      <c r="AT33" s="128" t="n">
        <f aca="false">IVA!AN33+IVA!AO33+IVA!AP33</f>
        <v>619147.962950207</v>
      </c>
      <c r="AU33" s="129" t="n">
        <f aca="false">IVA!AQ33+IVA!AR33+IVA!AS33+IVA!AT33</f>
        <v>2159757.59570741</v>
      </c>
      <c r="AV33" s="130" t="n">
        <f aca="false">IVA!AQ33/IVA!CJ12</f>
        <v>0.00142972322020577</v>
      </c>
      <c r="AW33" s="130" t="n">
        <f aca="false">IVA!AR33/IVA!CK12</f>
        <v>0.00121475617720467</v>
      </c>
      <c r="AX33" s="130" t="n">
        <f aca="false">IVA!AS33/IVA!CL12</f>
        <v>0.00155533302275361</v>
      </c>
      <c r="AY33" s="130" t="n">
        <f aca="false">IVA!AT33/IVA!CM12</f>
        <v>0.00155070149210755</v>
      </c>
      <c r="AZ33" s="271" t="n">
        <f aca="false">IVA!AU33/IVA!CN12</f>
        <v>0.00574542115068131</v>
      </c>
      <c r="BA33" s="266" t="n">
        <v>2003</v>
      </c>
      <c r="BB33" s="267" t="s">
        <v>313</v>
      </c>
      <c r="BC33" s="268"/>
      <c r="BD33" s="268"/>
      <c r="BE33" s="268"/>
      <c r="BF33" s="269" t="n">
        <f aca="false">0.64*IVA!AE67</f>
        <v>669970.178020267</v>
      </c>
      <c r="BG33" s="269" t="n">
        <f aca="false">0.64*IVA!AF67</f>
        <v>483217.673661867</v>
      </c>
      <c r="BH33" s="269" t="n">
        <f aca="false">0.64*IVA!AG67</f>
        <v>470366.905623467</v>
      </c>
      <c r="BI33" s="269" t="n">
        <f aca="false">0.64*IVA!AH67</f>
        <v>584425.777341867</v>
      </c>
      <c r="BJ33" s="269" t="n">
        <f aca="false">0.64*IVA!AI67</f>
        <v>1354012.76726827</v>
      </c>
      <c r="BK33" s="269" t="n">
        <f aca="false">0.64*IVA!AJ67</f>
        <v>1023397.55247147</v>
      </c>
      <c r="BL33" s="269" t="n">
        <f aca="false">0.64*IVA!AK67</f>
        <v>726772.677271467</v>
      </c>
      <c r="BM33" s="269" t="n">
        <f aca="false">0.64*IVA!AL67</f>
        <v>807654.409322667</v>
      </c>
      <c r="BN33" s="269" t="n">
        <f aca="false">0.64*IVA!AM67</f>
        <v>621001.069770667</v>
      </c>
      <c r="BO33" s="269" t="n">
        <f aca="false">0.64*IVA!AN67</f>
        <v>669351.397508267</v>
      </c>
      <c r="BP33" s="269" t="n">
        <f aca="false">0.64*IVA!AO67</f>
        <v>850716.832452267</v>
      </c>
      <c r="BQ33" s="270" t="n">
        <f aca="false">0.64*IVA!AP67</f>
        <v>808384.196503467</v>
      </c>
      <c r="BR33" s="175" t="n">
        <f aca="false">0.64*IVA!AQ67</f>
        <v>1623554.7573056</v>
      </c>
      <c r="BS33" s="175" t="n">
        <f aca="false">0.64*IVA!AR67</f>
        <v>1538010.3566272</v>
      </c>
      <c r="BT33" s="175" t="n">
        <f aca="false">0.64*IVA!AS67</f>
        <v>2408805.4502336</v>
      </c>
      <c r="BU33" s="176" t="n">
        <f aca="false">0.64*IVA!AT67</f>
        <v>2961836.0970816</v>
      </c>
      <c r="BV33" s="137" t="n">
        <f aca="false">0.64*IVA!AU67</f>
        <v>8532206.661248</v>
      </c>
      <c r="BW33" s="138" t="n">
        <f aca="false">IVA!BR33/IVA!CJ12</f>
        <v>0.00495950891461318</v>
      </c>
      <c r="BX33" s="139" t="n">
        <f aca="false">IVA!BS33/IVA!CK12</f>
        <v>0.00385351483136132</v>
      </c>
      <c r="BY33" s="138" t="n">
        <f aca="false">IVA!BT33/IVA!CL12</f>
        <v>0.00637440267157588</v>
      </c>
      <c r="BZ33" s="138" t="n">
        <f aca="false">IVA!BU33/IVA!CM12</f>
        <v>0.00741813577684632</v>
      </c>
      <c r="CA33" s="273" t="n">
        <f aca="false">IVA!BV33/IVA!CN12</f>
        <v>0.0226975104571686</v>
      </c>
      <c r="CH33" s="13"/>
      <c r="CI33" s="53" t="n">
        <v>1999</v>
      </c>
      <c r="CJ33" s="286" t="n">
        <f aca="false">IVA!AV29+IVA!AV80+IVA!AV97+IVA!AV114+IVA!AV148+IVA!AV165+IVA!AV214+IVA!AV248</f>
        <v>0.020461543335691</v>
      </c>
      <c r="CK33" s="286" t="n">
        <f aca="false">IVA!AW29+IVA!AW80+IVA!AW97+IVA!AW114+IVA!AW148+IVA!AW165+IVA!AW214+IVA!AW248</f>
        <v>0.0172273347494035</v>
      </c>
      <c r="CL33" s="286" t="n">
        <f aca="false">IVA!AX29+IVA!AX80+IVA!AX97+IVA!AX114+IVA!AX148+IVA!AX165+IVA!AX214+IVA!AX248</f>
        <v>0.0186529223720883</v>
      </c>
      <c r="CM33" s="287" t="n">
        <f aca="false">IVA!AY29+IVA!AY80+IVA!AY97+IVA!AY114+IVA!AY148+IVA!AY165+IVA!AY214+IVA!AY248</f>
        <v>0.0167200820543604</v>
      </c>
      <c r="CN33" s="288" t="n">
        <f aca="false">IVA!AZ29+IVA!AZ80+IVA!AZ97+IVA!AZ114+IVA!AZ148+IVA!AZ165+IVA!AZ214+IVA!AZ248</f>
        <v>0.072913406411361</v>
      </c>
      <c r="CO33" s="63"/>
      <c r="CP33" s="63"/>
      <c r="CQ33" s="13"/>
      <c r="CS33" s="220"/>
      <c r="CT33" s="99" t="s">
        <v>262</v>
      </c>
      <c r="CU33" s="198" t="n">
        <v>0</v>
      </c>
      <c r="CV33" s="199" t="n">
        <v>428714</v>
      </c>
      <c r="CW33" s="200" t="n">
        <v>428714</v>
      </c>
      <c r="CX33" s="148" t="n">
        <v>0</v>
      </c>
      <c r="CY33" s="199" t="n">
        <v>0</v>
      </c>
      <c r="CZ33" s="199" t="n">
        <v>0</v>
      </c>
      <c r="DA33" s="199" t="n">
        <v>0</v>
      </c>
      <c r="DB33" s="199" t="n">
        <v>428714</v>
      </c>
      <c r="DC33" s="201" t="n">
        <v>2794480</v>
      </c>
      <c r="DD33" s="199" t="n">
        <v>0</v>
      </c>
      <c r="DE33" s="199" t="n">
        <v>0</v>
      </c>
      <c r="DF33" s="199" t="n">
        <v>2794480</v>
      </c>
      <c r="DG33" s="202" t="n">
        <v>3223194</v>
      </c>
      <c r="DH33" s="148"/>
      <c r="DI33" s="99" t="n">
        <v>1999</v>
      </c>
      <c r="DJ33" s="99" t="s">
        <v>84</v>
      </c>
      <c r="DK33" s="147" t="n">
        <v>17454611.3</v>
      </c>
      <c r="DL33" s="148"/>
      <c r="DY33" s="215" t="s">
        <v>375</v>
      </c>
      <c r="EA33" s="195"/>
      <c r="EB33" s="230" t="n">
        <v>8349226</v>
      </c>
      <c r="EC33" s="230"/>
      <c r="ED33" s="230" t="n">
        <v>8349226</v>
      </c>
      <c r="EE33" s="230" t="n">
        <v>8026739.36</v>
      </c>
      <c r="EF33" s="230" t="n">
        <v>7464370.42</v>
      </c>
      <c r="EG33" s="231" t="n">
        <v>6688222.06</v>
      </c>
      <c r="EH33" s="232" t="n">
        <v>884855.58</v>
      </c>
      <c r="EJ33" s="31" t="n">
        <v>1981</v>
      </c>
      <c r="EK33" s="32" t="n">
        <v>2901.234</v>
      </c>
      <c r="EL33" s="33" t="n">
        <v>2321.711</v>
      </c>
      <c r="EM33" s="122" t="s">
        <v>123</v>
      </c>
      <c r="EN33" s="34" t="n">
        <f aca="false">IVA!EO11/IVA!EK49/1000</f>
        <v>0.512279381619957</v>
      </c>
      <c r="EO33" s="34" t="n">
        <f aca="false">IVA!EO11/IVA!EL48/1000</f>
        <v>0.617055598427904</v>
      </c>
      <c r="EV33" s="122" t="s">
        <v>376</v>
      </c>
    </row>
    <row r="34" customFormat="false" ht="12.75" hidden="false" customHeight="true" outlineLevel="0" collapsed="false">
      <c r="AA34" s="123" t="n">
        <v>2004</v>
      </c>
      <c r="AB34" s="123" t="s">
        <v>312</v>
      </c>
      <c r="AC34" s="124"/>
      <c r="AD34" s="125"/>
      <c r="AE34" s="192" t="n">
        <f aca="false">IVA!AE17*0.9373*0.11</f>
        <v>256697.839623836</v>
      </c>
      <c r="AF34" s="192" t="n">
        <f aca="false">IVA!AF17*0.9373*0.11</f>
        <v>222041.951720299</v>
      </c>
      <c r="AG34" s="192" t="n">
        <f aca="false">IVA!AG17*0.9373*0.11</f>
        <v>237331.376377916</v>
      </c>
      <c r="AH34" s="192" t="n">
        <f aca="false">IVA!AH17*0.9373*0.11</f>
        <v>236977.397886659</v>
      </c>
      <c r="AI34" s="192" t="n">
        <f aca="false">IVA!AI17*0.9373*0.11</f>
        <v>254887.481050542</v>
      </c>
      <c r="AJ34" s="192" t="n">
        <f aca="false">IVA!AJ17*0.9373*0.11</f>
        <v>298941.368628302</v>
      </c>
      <c r="AK34" s="192" t="n">
        <f aca="false">IVA!AK17*0.9373*0.11</f>
        <v>290560.62730697</v>
      </c>
      <c r="AL34" s="192" t="n">
        <f aca="false">IVA!AL17*0.9373*0.11</f>
        <v>295541.643845868</v>
      </c>
      <c r="AM34" s="192" t="n">
        <f aca="false">IVA!AM17*0.9373*0.11</f>
        <v>284457.401639301</v>
      </c>
      <c r="AN34" s="192" t="n">
        <f aca="false">IVA!AN17*0.9373*0.11</f>
        <v>264939.160593898</v>
      </c>
      <c r="AO34" s="192" t="n">
        <f aca="false">IVA!AO17*0.9373*0.11</f>
        <v>276955.432557524</v>
      </c>
      <c r="AP34" s="192" t="n">
        <f aca="false">IVA!AP17*0.9373*0.11</f>
        <v>274484.704274881</v>
      </c>
      <c r="AQ34" s="128" t="n">
        <f aca="false">IVA!AE34+IVA!AF34+IVA!AG34</f>
        <v>716071.16772205</v>
      </c>
      <c r="AR34" s="128" t="n">
        <f aca="false">IVA!AH34+IVA!AI34+IVA!AJ34</f>
        <v>790806.247565504</v>
      </c>
      <c r="AS34" s="128" t="n">
        <f aca="false">IVA!AK34+IVA!AL34+IVA!AM34</f>
        <v>870559.672792139</v>
      </c>
      <c r="AT34" s="128" t="n">
        <f aca="false">IVA!AN34+IVA!AO34+IVA!AP34</f>
        <v>816379.297426303</v>
      </c>
      <c r="AU34" s="129" t="n">
        <f aca="false">IVA!AQ34+IVA!AR34+IVA!AS34+IVA!AT34</f>
        <v>3193816.385506</v>
      </c>
      <c r="AV34" s="130" t="n">
        <f aca="false">IVA!AQ34/IVA!CJ13</f>
        <v>0.00182291287729923</v>
      </c>
      <c r="AW34" s="130" t="n">
        <f aca="false">IVA!AR34/IVA!CK13</f>
        <v>0.00166761795659487</v>
      </c>
      <c r="AX34" s="130" t="n">
        <f aca="false">IVA!AS34/IVA!CL13</f>
        <v>0.00192567757946886</v>
      </c>
      <c r="AY34" s="130" t="n">
        <f aca="false">IVA!AT34/IVA!CM13</f>
        <v>0.00173158526118758</v>
      </c>
      <c r="AZ34" s="271" t="n">
        <f aca="false">IVA!AU34/IVA!CN13</f>
        <v>0.00713473314374411</v>
      </c>
      <c r="BA34" s="266" t="n">
        <v>2004</v>
      </c>
      <c r="BB34" s="267" t="s">
        <v>313</v>
      </c>
      <c r="BC34" s="268"/>
      <c r="BD34" s="268"/>
      <c r="BE34" s="268"/>
      <c r="BF34" s="269" t="n">
        <f aca="false">0.64*IVA!AE68</f>
        <v>789053.382173867</v>
      </c>
      <c r="BG34" s="269" t="n">
        <f aca="false">0.64*IVA!AF68</f>
        <v>646668.300317867</v>
      </c>
      <c r="BH34" s="269" t="n">
        <f aca="false">0.64*IVA!AG68</f>
        <v>634182.177316267</v>
      </c>
      <c r="BI34" s="269" t="n">
        <f aca="false">0.64*IVA!AH68</f>
        <v>721428.382801067</v>
      </c>
      <c r="BJ34" s="269" t="n">
        <f aca="false">0.64*IVA!AI68</f>
        <v>3445852.41691307</v>
      </c>
      <c r="BK34" s="269" t="n">
        <f aca="false">0.64*IVA!AJ68</f>
        <v>1833342.18394667</v>
      </c>
      <c r="BL34" s="269" t="n">
        <f aca="false">0.64*IVA!AK68</f>
        <v>1017873.80324907</v>
      </c>
      <c r="BM34" s="269" t="n">
        <f aca="false">0.64*IVA!AL68</f>
        <v>1081250.17066027</v>
      </c>
      <c r="BN34" s="269" t="n">
        <f aca="false">0.64*IVA!AM68</f>
        <v>928882.728049067</v>
      </c>
      <c r="BO34" s="269" t="n">
        <f aca="false">0.64*IVA!AN68</f>
        <v>1052184.24932907</v>
      </c>
      <c r="BP34" s="269" t="n">
        <f aca="false">0.64*IVA!AO68</f>
        <v>1080186.67146667</v>
      </c>
      <c r="BQ34" s="270" t="n">
        <f aca="false">0.64*IVA!AP68</f>
        <v>662915.758737067</v>
      </c>
      <c r="BR34" s="175" t="n">
        <f aca="false">0.64*IVA!AQ68</f>
        <v>2069903.859808</v>
      </c>
      <c r="BS34" s="175" t="n">
        <f aca="false">0.64*IVA!AR68</f>
        <v>2002278.8604352</v>
      </c>
      <c r="BT34" s="175" t="n">
        <f aca="false">0.64*IVA!AS68</f>
        <v>4801462.9770304</v>
      </c>
      <c r="BU34" s="176" t="n">
        <f aca="false">0.64*IVA!AT68</f>
        <v>6000622.9836608</v>
      </c>
      <c r="BV34" s="137" t="n">
        <f aca="false">0.64*IVA!AU68</f>
        <v>14874268.6809344</v>
      </c>
      <c r="BW34" s="138" t="n">
        <f aca="false">IVA!BR34/IVA!CJ13</f>
        <v>0.00526938462390375</v>
      </c>
      <c r="BX34" s="139" t="n">
        <f aca="false">IVA!BS34/IVA!CK13</f>
        <v>0.00422231892078655</v>
      </c>
      <c r="BY34" s="138" t="n">
        <f aca="false">IVA!BT34/IVA!CL13</f>
        <v>0.0106208338066734</v>
      </c>
      <c r="BZ34" s="138" t="n">
        <f aca="false">IVA!BU34/IVA!CM13</f>
        <v>0.0127276504306364</v>
      </c>
      <c r="CA34" s="273" t="n">
        <f aca="false">IVA!BV34/IVA!CN13</f>
        <v>0.0332279395360433</v>
      </c>
      <c r="CH34" s="13"/>
      <c r="CI34" s="53" t="n">
        <v>2000</v>
      </c>
      <c r="CJ34" s="286" t="n">
        <f aca="false">IVA!AV30+IVA!AV81+IVA!AV98+IVA!AV115+IVA!AV149+IVA!AV166+IVA!AV215+IVA!AV249</f>
        <v>0.0192570397417626</v>
      </c>
      <c r="CK34" s="286" t="n">
        <f aca="false">IVA!AW30+IVA!AW81+IVA!AW98+IVA!AW115+IVA!AW149+IVA!AW166+IVA!AW215+IVA!AW249</f>
        <v>0.0177220885393313</v>
      </c>
      <c r="CL34" s="286" t="n">
        <f aca="false">IVA!AX30+IVA!AX81+IVA!AX98+IVA!AX115+IVA!AX149+IVA!AX166+IVA!AX215+IVA!AX249</f>
        <v>0.0190226559287288</v>
      </c>
      <c r="CM34" s="287" t="n">
        <f aca="false">IVA!AY30+IVA!AY81+IVA!AY98+IVA!AY115+IVA!AY149+IVA!AY166+IVA!AY215+IVA!AY249</f>
        <v>0.0171805368819087</v>
      </c>
      <c r="CN34" s="288" t="n">
        <f aca="false">IVA!AZ30+IVA!AZ81+IVA!AZ98+IVA!AZ115+IVA!AZ149+IVA!AZ166+IVA!AZ215+IVA!AZ249</f>
        <v>0.0731175732533659</v>
      </c>
      <c r="CO34" s="63"/>
      <c r="CP34" s="63"/>
      <c r="CQ34" s="13"/>
      <c r="CS34" s="115"/>
      <c r="CT34" s="116" t="s">
        <v>278</v>
      </c>
      <c r="CU34" s="240" t="n">
        <v>0</v>
      </c>
      <c r="CV34" s="241" t="n">
        <v>0</v>
      </c>
      <c r="CW34" s="242" t="n">
        <v>0</v>
      </c>
      <c r="CX34" s="243" t="n">
        <v>0</v>
      </c>
      <c r="CY34" s="241" t="n">
        <v>0</v>
      </c>
      <c r="CZ34" s="241" t="n">
        <v>0</v>
      </c>
      <c r="DA34" s="241" t="n">
        <v>7968767.359</v>
      </c>
      <c r="DB34" s="241" t="n">
        <v>7968767.359</v>
      </c>
      <c r="DC34" s="244" t="n">
        <v>0</v>
      </c>
      <c r="DD34" s="241" t="n">
        <v>0</v>
      </c>
      <c r="DE34" s="241" t="n">
        <v>0</v>
      </c>
      <c r="DF34" s="241" t="n">
        <v>0</v>
      </c>
      <c r="DG34" s="166" t="n">
        <v>7968767.359</v>
      </c>
      <c r="DH34" s="148"/>
      <c r="DI34" s="115"/>
      <c r="DJ34" s="116" t="s">
        <v>102</v>
      </c>
      <c r="DK34" s="166" t="n">
        <v>17340453.5</v>
      </c>
      <c r="DL34" s="148"/>
      <c r="DY34" s="222" t="s">
        <v>377</v>
      </c>
      <c r="DZ34" s="223"/>
      <c r="EA34" s="206"/>
      <c r="EB34" s="236" t="n">
        <v>15809984669</v>
      </c>
      <c r="EC34" s="236" t="n">
        <v>93529487</v>
      </c>
      <c r="ED34" s="236" t="n">
        <v>15903514156</v>
      </c>
      <c r="EE34" s="236" t="n">
        <v>14611771842.04</v>
      </c>
      <c r="EF34" s="236" t="n">
        <v>14611771842.04</v>
      </c>
      <c r="EG34" s="237" t="n">
        <v>13178612908.85</v>
      </c>
      <c r="EH34" s="238" t="n">
        <v>1291742313.96</v>
      </c>
      <c r="EJ34" s="31" t="n">
        <v>1982</v>
      </c>
      <c r="EK34" s="32" t="n">
        <v>2975.47</v>
      </c>
      <c r="EL34" s="33" t="n">
        <v>2382.737</v>
      </c>
      <c r="EM34" s="122" t="s">
        <v>138</v>
      </c>
      <c r="EN34" s="34" t="n">
        <f aca="false">IVA!EO12/IVA!EK50/1000</f>
        <v>0.65606738012377</v>
      </c>
      <c r="EO34" s="34" t="n">
        <f aca="false">IVA!EO12/IVA!EL49/1000</f>
        <v>0.785662325036171</v>
      </c>
      <c r="EU34" s="122" t="s">
        <v>106</v>
      </c>
      <c r="EV34" s="122" t="s">
        <v>378</v>
      </c>
      <c r="EW34" s="122" t="s">
        <v>379</v>
      </c>
      <c r="EX34" s="122" t="s">
        <v>87</v>
      </c>
    </row>
    <row r="35" customFormat="false" ht="12.75" hidden="false" customHeight="true" outlineLevel="0" collapsed="false">
      <c r="AA35" s="123" t="n">
        <v>2005</v>
      </c>
      <c r="AB35" s="123" t="s">
        <v>312</v>
      </c>
      <c r="AC35" s="124"/>
      <c r="AD35" s="125"/>
      <c r="AE35" s="192" t="n">
        <f aca="false">IVA!AE18*0.9373*0.11</f>
        <v>306216.428007</v>
      </c>
      <c r="AF35" s="192" t="n">
        <f aca="false">IVA!AF18*0.9373*0.11</f>
        <v>262411.170026816</v>
      </c>
      <c r="AG35" s="192" t="n">
        <f aca="false">IVA!AG18*0.9373*0.11</f>
        <v>282130.176149572</v>
      </c>
      <c r="AH35" s="192" t="n">
        <f aca="false">IVA!AH18*0.9373*0.11</f>
        <v>309396.771960226</v>
      </c>
      <c r="AI35" s="192" t="n">
        <f aca="false">IVA!AI18*0.9373*0.11</f>
        <v>327125.620294383</v>
      </c>
      <c r="AJ35" s="192" t="n">
        <f aca="false">IVA!AJ18*0.9373*0.11</f>
        <v>309718.348407768</v>
      </c>
      <c r="AK35" s="192" t="n">
        <f aca="false">IVA!AK18*0.9373*0.11</f>
        <v>310722.979485709</v>
      </c>
      <c r="AL35" s="192" t="n">
        <f aca="false">IVA!AL18*0.9373*0.11</f>
        <v>339007.735795349</v>
      </c>
      <c r="AM35" s="192" t="n">
        <f aca="false">IVA!AM18*0.9373*0.11</f>
        <v>351065.56489956</v>
      </c>
      <c r="AN35" s="192" t="n">
        <f aca="false">IVA!AN18*0.9373*0.11</f>
        <v>314280.708964032</v>
      </c>
      <c r="AO35" s="192" t="n">
        <f aca="false">IVA!AO18*0.9373*0.11</f>
        <v>334529.288885031</v>
      </c>
      <c r="AP35" s="192" t="n">
        <f aca="false">IVA!AP18*0.9373*0.11</f>
        <v>353063.355757923</v>
      </c>
      <c r="AQ35" s="128" t="n">
        <f aca="false">IVA!AE35+IVA!AF35+IVA!AG35</f>
        <v>850757.774183387</v>
      </c>
      <c r="AR35" s="128" t="n">
        <f aca="false">IVA!AH35+IVA!AI35+IVA!AJ35</f>
        <v>946240.740662377</v>
      </c>
      <c r="AS35" s="128" t="n">
        <f aca="false">IVA!AK35+IVA!AL35+IVA!AM35</f>
        <v>1000796.28018062</v>
      </c>
      <c r="AT35" s="128" t="n">
        <f aca="false">IVA!AN35+IVA!AO35+IVA!AP35</f>
        <v>1001873.35360699</v>
      </c>
      <c r="AU35" s="129" t="n">
        <f aca="false">IVA!AQ35+IVA!AR35+IVA!AS35+IVA!AT35</f>
        <v>3799668.14863337</v>
      </c>
      <c r="AV35" s="130" t="n">
        <f aca="false">IVA!AQ35/IVA!CJ14</f>
        <v>0.00186257624108596</v>
      </c>
      <c r="AW35" s="130" t="n">
        <f aca="false">IVA!AR35/IVA!CK14</f>
        <v>0.00171292628041817</v>
      </c>
      <c r="AX35" s="130" t="n">
        <f aca="false">IVA!AS35/IVA!CL14</f>
        <v>0.00183892775330709</v>
      </c>
      <c r="AY35" s="130" t="n">
        <f aca="false">IVA!AT35/IVA!CM14</f>
        <v>0.00174435682160526</v>
      </c>
      <c r="AZ35" s="271" t="n">
        <f aca="false">IVA!AU35/IVA!CN14</f>
        <v>0.00714305612539357</v>
      </c>
      <c r="BA35" s="266" t="n">
        <v>2005</v>
      </c>
      <c r="BB35" s="267" t="s">
        <v>313</v>
      </c>
      <c r="BC35" s="268"/>
      <c r="BD35" s="268"/>
      <c r="BE35" s="268"/>
      <c r="BF35" s="269" t="n">
        <f aca="false">0.64*IVA!AE69</f>
        <v>1075282.48704427</v>
      </c>
      <c r="BG35" s="269" t="n">
        <f aca="false">0.64*IVA!AF69</f>
        <v>1156703.94058027</v>
      </c>
      <c r="BH35" s="269" t="n">
        <f aca="false">0.64*IVA!AG69</f>
        <v>1078040.58137387</v>
      </c>
      <c r="BI35" s="269" t="n">
        <f aca="false">0.64*IVA!AH69</f>
        <v>1221048.39328427</v>
      </c>
      <c r="BJ35" s="269" t="n">
        <f aca="false">0.64*IVA!AI69</f>
        <v>2342875.92298027</v>
      </c>
      <c r="BK35" s="269" t="n">
        <f aca="false">0.64*IVA!AJ69</f>
        <v>2276337.35731627</v>
      </c>
      <c r="BL35" s="269" t="n">
        <f aca="false">0.64*IVA!AK69</f>
        <v>1301052.19002027</v>
      </c>
      <c r="BM35" s="269" t="n">
        <f aca="false">0.64*IVA!AL69</f>
        <v>1373070.82415147</v>
      </c>
      <c r="BN35" s="269" t="n">
        <f aca="false">0.64*IVA!AM69</f>
        <v>1297139.46717867</v>
      </c>
      <c r="BO35" s="269" t="n">
        <f aca="false">0.64*IVA!AN69</f>
        <v>1396372.45023147</v>
      </c>
      <c r="BP35" s="269" t="n">
        <f aca="false">0.64*IVA!AO69</f>
        <v>1415477.74401067</v>
      </c>
      <c r="BQ35" s="270" t="n">
        <f aca="false">0.64*IVA!AP69</f>
        <v>1644454.03545387</v>
      </c>
      <c r="BR35" s="175" t="n">
        <f aca="false">0.64*IVA!AQ69</f>
        <v>3310027.0089984</v>
      </c>
      <c r="BS35" s="175" t="n">
        <f aca="false">0.64*IVA!AR69</f>
        <v>3455792.9152384</v>
      </c>
      <c r="BT35" s="175" t="n">
        <f aca="false">0.64*IVA!AS69</f>
        <v>4641964.8976384</v>
      </c>
      <c r="BU35" s="176" t="n">
        <f aca="false">0.64*IVA!AT69</f>
        <v>5840261.6735808</v>
      </c>
      <c r="BV35" s="137" t="n">
        <f aca="false">0.64*IVA!AU69</f>
        <v>17248046.495456</v>
      </c>
      <c r="BW35" s="138" t="n">
        <f aca="false">IVA!BR35/IVA!CJ14</f>
        <v>0.00724668977633614</v>
      </c>
      <c r="BX35" s="139" t="n">
        <f aca="false">IVA!BS35/IVA!CK14</f>
        <v>0.00625582713765954</v>
      </c>
      <c r="BY35" s="138" t="n">
        <f aca="false">IVA!BT35/IVA!CL14</f>
        <v>0.00852944625114311</v>
      </c>
      <c r="BZ35" s="138" t="n">
        <f aca="false">IVA!BU35/IVA!CM14</f>
        <v>0.0101684511855645</v>
      </c>
      <c r="CA35" s="273" t="n">
        <f aca="false">IVA!BV35/IVA!CN14</f>
        <v>0.0324248748445974</v>
      </c>
      <c r="CH35" s="13"/>
      <c r="CI35" s="53" t="n">
        <v>2001</v>
      </c>
      <c r="CJ35" s="286" t="n">
        <f aca="false">IVA!AV31+IVA!AV82+IVA!AV99+IVA!AV116+IVA!AV150+IVA!AV167+IVA!AV216+IVA!AV250</f>
        <v>0.0197559154063385</v>
      </c>
      <c r="CK35" s="286" t="n">
        <f aca="false">IVA!AW31+IVA!AW82+IVA!AW99+IVA!AW116+IVA!AW150+IVA!AW167+IVA!AW216+IVA!AW250</f>
        <v>0.0168313438812035</v>
      </c>
      <c r="CL35" s="286" t="n">
        <f aca="false">IVA!AX31+IVA!AX82+IVA!AX99+IVA!AX116+IVA!AX150+IVA!AX167+IVA!AX216+IVA!AX250</f>
        <v>0.0183929352130774</v>
      </c>
      <c r="CM35" s="287" t="n">
        <f aca="false">IVA!AY31+IVA!AY82+IVA!AY99+IVA!AY116+IVA!AY150+IVA!AY167+IVA!AY216+IVA!AY250</f>
        <v>0.0157508727951847</v>
      </c>
      <c r="CN35" s="288" t="n">
        <f aca="false">IVA!AZ31+IVA!AZ82+IVA!AZ99+IVA!AZ116+IVA!AZ150+IVA!AZ167+IVA!AZ216+IVA!AZ250</f>
        <v>0.0707550984180742</v>
      </c>
      <c r="CO35" s="63"/>
      <c r="CP35" s="63"/>
      <c r="CQ35" s="13"/>
      <c r="CS35" s="289" t="n">
        <v>2010</v>
      </c>
      <c r="CT35" s="290" t="s">
        <v>162</v>
      </c>
      <c r="CU35" s="291" t="n">
        <v>1813510</v>
      </c>
      <c r="CV35" s="291" t="n">
        <v>633113.234</v>
      </c>
      <c r="CW35" s="291" t="n">
        <v>2446623.234</v>
      </c>
      <c r="CX35" s="291" t="n">
        <v>4107.404</v>
      </c>
      <c r="CY35" s="292" t="n">
        <v>83881817</v>
      </c>
      <c r="CZ35" s="291" t="n">
        <v>1717.362</v>
      </c>
      <c r="DA35" s="291" t="n">
        <v>15358210</v>
      </c>
      <c r="DB35" s="291" t="n">
        <v>101692475</v>
      </c>
      <c r="DC35" s="291" t="n">
        <v>121363</v>
      </c>
      <c r="DD35" s="291" t="n">
        <v>0</v>
      </c>
      <c r="DE35" s="291" t="n">
        <v>0</v>
      </c>
      <c r="DF35" s="291" t="n">
        <v>121363</v>
      </c>
      <c r="DG35" s="291" t="n">
        <v>101813838</v>
      </c>
      <c r="DI35" s="99" t="n">
        <v>1998</v>
      </c>
      <c r="DJ35" s="99" t="s">
        <v>84</v>
      </c>
      <c r="DK35" s="147" t="n">
        <v>17456106</v>
      </c>
      <c r="DL35" s="148"/>
      <c r="DY35" s="177" t="s">
        <v>163</v>
      </c>
      <c r="DZ35" s="45"/>
      <c r="EA35" s="210" t="n">
        <v>1998</v>
      </c>
      <c r="EB35" s="227" t="n">
        <v>20377815528</v>
      </c>
      <c r="EC35" s="227" t="n">
        <v>-219726570</v>
      </c>
      <c r="ED35" s="227" t="n">
        <v>20158088958</v>
      </c>
      <c r="EE35" s="227" t="n">
        <v>18900171343.13</v>
      </c>
      <c r="EF35" s="227" t="n">
        <v>18838058106.41</v>
      </c>
      <c r="EG35" s="228" t="n">
        <v>17244664206.98</v>
      </c>
      <c r="EH35" s="229" t="n">
        <v>1320030851.59</v>
      </c>
      <c r="EJ35" s="31" t="n">
        <v>1983</v>
      </c>
      <c r="EK35" s="32" t="n">
        <v>3053.375</v>
      </c>
      <c r="EL35" s="33" t="n">
        <v>2445.271</v>
      </c>
      <c r="EM35" s="122" t="s">
        <v>146</v>
      </c>
      <c r="EN35" s="34" t="n">
        <f aca="false">IVA!EO13/IVA!EK51/1000</f>
        <v>0.632159409498163</v>
      </c>
      <c r="EO35" s="34" t="n">
        <f aca="false">IVA!EO13/IVA!EL50/1000</f>
        <v>0.753562350398022</v>
      </c>
      <c r="EU35" s="122" t="s">
        <v>380</v>
      </c>
      <c r="EV35" s="293" t="s">
        <v>381</v>
      </c>
    </row>
    <row r="36" customFormat="false" ht="12.75" hidden="false" customHeight="true" outlineLevel="0" collapsed="false">
      <c r="AA36" s="123" t="n">
        <v>2006</v>
      </c>
      <c r="AB36" s="123" t="s">
        <v>312</v>
      </c>
      <c r="AC36" s="124"/>
      <c r="AD36" s="125"/>
      <c r="AE36" s="192" t="n">
        <f aca="false">IVA!AE19*0.9373*0.11</f>
        <v>373659.050127133</v>
      </c>
      <c r="AF36" s="192" t="n">
        <f aca="false">IVA!AF19*0.9373*0.11</f>
        <v>342828.865396718</v>
      </c>
      <c r="AG36" s="192" t="n">
        <f aca="false">IVA!AG19*0.9373*0.11</f>
        <v>366278.008945649</v>
      </c>
      <c r="AH36" s="192" t="n">
        <f aca="false">IVA!AH19*0.9373*0.11</f>
        <v>369960.88795702</v>
      </c>
      <c r="AI36" s="192" t="n">
        <f aca="false">IVA!AI19*0.9373*0.11</f>
        <v>388650.139771133</v>
      </c>
      <c r="AJ36" s="192" t="n">
        <f aca="false">IVA!AJ19*0.9373*0.11</f>
        <v>391342.946236863</v>
      </c>
      <c r="AK36" s="192" t="n">
        <f aca="false">IVA!AK19*0.9373*0.11</f>
        <v>389995.358981518</v>
      </c>
      <c r="AL36" s="192" t="n">
        <f aca="false">IVA!AL19*0.9373*0.11</f>
        <v>430602.883933843</v>
      </c>
      <c r="AM36" s="192" t="n">
        <f aca="false">IVA!AM19*0.9373*0.11</f>
        <v>431124.993848159</v>
      </c>
      <c r="AN36" s="192" t="n">
        <f aca="false">IVA!AN19*0.9373*0.11</f>
        <v>448747.106506889</v>
      </c>
      <c r="AO36" s="192" t="n">
        <f aca="false">IVA!AO19*0.9373*0.11</f>
        <v>442533.12494378</v>
      </c>
      <c r="AP36" s="192" t="n">
        <f aca="false">IVA!AP19*0.9373*0.11</f>
        <v>480872.203538026</v>
      </c>
      <c r="AQ36" s="128" t="n">
        <f aca="false">IVA!AE36+IVA!AF36+IVA!AG36</f>
        <v>1082765.9244695</v>
      </c>
      <c r="AR36" s="128" t="n">
        <f aca="false">IVA!AH36+IVA!AI36+IVA!AJ36</f>
        <v>1149953.97396502</v>
      </c>
      <c r="AS36" s="128" t="n">
        <f aca="false">IVA!AK36+IVA!AL36+IVA!AM36</f>
        <v>1251723.23676352</v>
      </c>
      <c r="AT36" s="128" t="n">
        <f aca="false">IVA!AN36+IVA!AO36+IVA!AP36</f>
        <v>1372152.4349887</v>
      </c>
      <c r="AU36" s="129" t="n">
        <f aca="false">IVA!AQ36+IVA!AR36+IVA!AS36+IVA!AT36</f>
        <v>4856595.57018673</v>
      </c>
      <c r="AV36" s="130" t="n">
        <f aca="false">IVA!AQ36/IVA!CJ15</f>
        <v>0.00190629817299038</v>
      </c>
      <c r="AW36" s="130" t="n">
        <f aca="false">IVA!AR36/IVA!CK15</f>
        <v>0.00169540095383774</v>
      </c>
      <c r="AX36" s="130" t="n">
        <f aca="false">IVA!AS36/IVA!CL15</f>
        <v>0.00187328408758664</v>
      </c>
      <c r="AY36" s="130" t="n">
        <f aca="false">IVA!AT36/IVA!CM15</f>
        <v>0.00195105915578793</v>
      </c>
      <c r="AZ36" s="271" t="n">
        <f aca="false">IVA!AU36/IVA!CN15</f>
        <v>0.00742100589918481</v>
      </c>
      <c r="BA36" s="266" t="n">
        <v>2006</v>
      </c>
      <c r="BB36" s="267" t="s">
        <v>313</v>
      </c>
      <c r="BC36" s="268"/>
      <c r="BD36" s="268"/>
      <c r="BE36" s="268"/>
      <c r="BF36" s="269" t="n">
        <f aca="false">0.64*IVA!AE70</f>
        <v>1509722.40344107</v>
      </c>
      <c r="BG36" s="269" t="n">
        <f aca="false">0.64*IVA!AF70</f>
        <v>1441892.65200427</v>
      </c>
      <c r="BH36" s="269" t="n">
        <f aca="false">0.64*IVA!AG70</f>
        <v>1241024.53768747</v>
      </c>
      <c r="BI36" s="269" t="n">
        <f aca="false">0.64*IVA!AH70</f>
        <v>855336.764593067</v>
      </c>
      <c r="BJ36" s="269" t="n">
        <f aca="false">0.64*IVA!AI70</f>
        <v>2671129.33080747</v>
      </c>
      <c r="BK36" s="269" t="n">
        <f aca="false">0.64*IVA!AJ70</f>
        <v>2831783.58248107</v>
      </c>
      <c r="BL36" s="269" t="n">
        <f aca="false">0.64*IVA!AK70</f>
        <v>1648781.04872747</v>
      </c>
      <c r="BM36" s="269" t="n">
        <f aca="false">0.64*IVA!AL70</f>
        <v>1801210.05498667</v>
      </c>
      <c r="BN36" s="269" t="n">
        <f aca="false">0.64*IVA!AM70</f>
        <v>1607881.76144427</v>
      </c>
      <c r="BO36" s="269" t="n">
        <f aca="false">0.64*IVA!AN70</f>
        <v>1736295.89505067</v>
      </c>
      <c r="BP36" s="269" t="n">
        <f aca="false">0.64*IVA!AO70</f>
        <v>1993624.97195947</v>
      </c>
      <c r="BQ36" s="270" t="n">
        <f aca="false">0.64*IVA!AP70</f>
        <v>1803775.92583467</v>
      </c>
      <c r="BR36" s="175" t="n">
        <f aca="false">0.64*IVA!AQ70</f>
        <v>4192639.5931328</v>
      </c>
      <c r="BS36" s="175" t="n">
        <f aca="false">0.64*IVA!AR70</f>
        <v>3538253.9542848</v>
      </c>
      <c r="BT36" s="175" t="n">
        <f aca="false">0.64*IVA!AS70</f>
        <v>4767490.633088</v>
      </c>
      <c r="BU36" s="176" t="n">
        <f aca="false">0.64*IVA!AT70</f>
        <v>6358249.6778816</v>
      </c>
      <c r="BV36" s="137" t="n">
        <f aca="false">0.64*IVA!AU70</f>
        <v>18856633.8583872</v>
      </c>
      <c r="BW36" s="138" t="n">
        <f aca="false">IVA!BR36/IVA!CJ15</f>
        <v>0.00738148570782931</v>
      </c>
      <c r="BX36" s="139" t="n">
        <f aca="false">IVA!BS36/IVA!CK15</f>
        <v>0.00521652106503969</v>
      </c>
      <c r="BY36" s="138" t="n">
        <f aca="false">IVA!BT36/IVA!CL15</f>
        <v>0.00713485543639339</v>
      </c>
      <c r="BZ36" s="138" t="n">
        <f aca="false">IVA!BU36/IVA!CM15</f>
        <v>0.00904077486763978</v>
      </c>
      <c r="CA36" s="273" t="n">
        <f aca="false">IVA!BV36/IVA!CN15</f>
        <v>0.0288134330066275</v>
      </c>
      <c r="CH36" s="13"/>
      <c r="CI36" s="53" t="n">
        <v>2002</v>
      </c>
      <c r="CJ36" s="286" t="n">
        <f aca="false">IVA!AV32+IVA!AV83+IVA!AV100+IVA!AV117+IVA!AV151+IVA!AV168+IVA!AV217+IVA!AV251</f>
        <v>0.0160377207429971</v>
      </c>
      <c r="CK36" s="286" t="n">
        <f aca="false">IVA!AW32+IVA!AW83+IVA!AW100+IVA!AW117+IVA!AW151+IVA!AW168+IVA!AW217+IVA!AW251</f>
        <v>0.0117893537550282</v>
      </c>
      <c r="CL36" s="286" t="n">
        <f aca="false">IVA!AX32+IVA!AX83+IVA!AX100+IVA!AX117+IVA!AX151+IVA!AX168+IVA!AX217+IVA!AX251</f>
        <v>0.0137281767795403</v>
      </c>
      <c r="CM36" s="287" t="n">
        <f aca="false">IVA!AY32+IVA!AY83+IVA!AY100+IVA!AY117+IVA!AY151+IVA!AY168+IVA!AY217+IVA!AY251</f>
        <v>0.0132287903402345</v>
      </c>
      <c r="CN36" s="288" t="n">
        <f aca="false">IVA!AZ32+IVA!AZ83+IVA!AZ100+IVA!AZ117+IVA!AZ151+IVA!AZ168+IVA!AZ217+IVA!AZ251</f>
        <v>0.0540179111706622</v>
      </c>
      <c r="CO36" s="63"/>
      <c r="CP36" s="63"/>
      <c r="CQ36" s="13"/>
      <c r="CS36" s="294" t="n">
        <v>2009</v>
      </c>
      <c r="CT36" s="295" t="s">
        <v>162</v>
      </c>
      <c r="CU36" s="291" t="n">
        <v>1041220</v>
      </c>
      <c r="CV36" s="291" t="n">
        <v>430862.718</v>
      </c>
      <c r="CW36" s="291" t="n">
        <v>1472082.718</v>
      </c>
      <c r="CX36" s="291" t="n">
        <v>0</v>
      </c>
      <c r="CY36" s="292" t="n">
        <v>70768676.059</v>
      </c>
      <c r="CZ36" s="291" t="n">
        <v>191.282</v>
      </c>
      <c r="DA36" s="291" t="n">
        <v>14432505.004</v>
      </c>
      <c r="DB36" s="291" t="n">
        <v>86673455.063</v>
      </c>
      <c r="DC36" s="291" t="n">
        <v>126267</v>
      </c>
      <c r="DD36" s="291" t="n">
        <v>0</v>
      </c>
      <c r="DE36" s="291" t="n">
        <v>0</v>
      </c>
      <c r="DF36" s="291" t="n">
        <v>126267</v>
      </c>
      <c r="DG36" s="291" t="n">
        <v>86799722.063</v>
      </c>
      <c r="DI36" s="115"/>
      <c r="DJ36" s="116" t="s">
        <v>102</v>
      </c>
      <c r="DK36" s="166" t="n">
        <v>17329325</v>
      </c>
      <c r="DL36" s="148"/>
      <c r="DY36" s="215" t="s">
        <v>382</v>
      </c>
      <c r="EA36" s="179"/>
      <c r="EB36" s="230"/>
      <c r="EC36" s="230"/>
      <c r="ED36" s="230"/>
      <c r="EE36" s="230"/>
      <c r="EF36" s="230"/>
      <c r="EG36" s="231"/>
      <c r="EH36" s="232"/>
      <c r="EJ36" s="31" t="n">
        <v>1984</v>
      </c>
      <c r="EK36" s="32" t="n">
        <v>3131.574</v>
      </c>
      <c r="EL36" s="33" t="n">
        <v>2507.662</v>
      </c>
      <c r="EM36" s="122" t="s">
        <v>155</v>
      </c>
      <c r="EN36" s="34" t="n">
        <f aca="false">IVA!EO14/IVA!EK52/1000</f>
        <v>0.61036733951161</v>
      </c>
      <c r="EO36" s="34" t="n">
        <f aca="false">IVA!EO14/IVA!EL51/1000</f>
        <v>0.725039297716688</v>
      </c>
      <c r="ET36" s="181" t="n">
        <v>1995</v>
      </c>
      <c r="EU36" s="122" t="s">
        <v>383</v>
      </c>
      <c r="EV36" s="122" t="s">
        <v>384</v>
      </c>
      <c r="EW36" s="122" t="s">
        <v>385</v>
      </c>
      <c r="EX36" s="122" t="s">
        <v>386</v>
      </c>
    </row>
    <row r="37" customFormat="false" ht="12.75" hidden="false" customHeight="true" outlineLevel="0" collapsed="false">
      <c r="AA37" s="123" t="n">
        <v>2007</v>
      </c>
      <c r="AB37" s="123" t="s">
        <v>312</v>
      </c>
      <c r="AC37" s="124"/>
      <c r="AD37" s="125"/>
      <c r="AE37" s="192" t="n">
        <f aca="false">IVA!AE20*0.9373*0.11</f>
        <v>476664.388901411</v>
      </c>
      <c r="AF37" s="192" t="n">
        <f aca="false">IVA!AF20*0.9373*0.11</f>
        <v>440176.093067541</v>
      </c>
      <c r="AG37" s="192" t="n">
        <f aca="false">IVA!AG20*0.9373*0.11</f>
        <v>464430.015693104</v>
      </c>
      <c r="AH37" s="192" t="n">
        <f aca="false">IVA!AH20*0.9373*0.11</f>
        <v>450439.699045776</v>
      </c>
      <c r="AI37" s="192" t="n">
        <f aca="false">IVA!AI20*0.9373*0.11</f>
        <v>520879.659281962</v>
      </c>
      <c r="AJ37" s="192" t="n">
        <f aca="false">IVA!AJ20*0.9373*0.11</f>
        <v>521287.144021554</v>
      </c>
      <c r="AK37" s="192" t="n">
        <f aca="false">IVA!AK20*0.9373*0.11</f>
        <v>580015.016543002</v>
      </c>
      <c r="AL37" s="192" t="n">
        <f aca="false">IVA!AL20*0.9373*0.11</f>
        <v>617043.684222415</v>
      </c>
      <c r="AM37" s="192" t="n">
        <f aca="false">IVA!AM20*0.9373*0.11</f>
        <v>528279.925319987</v>
      </c>
      <c r="AN37" s="192" t="n">
        <f aca="false">IVA!AN20*0.9373*0.11</f>
        <v>597349.631391873</v>
      </c>
      <c r="AO37" s="192" t="n">
        <f aca="false">IVA!AO20*0.9373*0.11</f>
        <v>605654.875250705</v>
      </c>
      <c r="AP37" s="192" t="n">
        <f aca="false">IVA!AP20*0.9373*0.11</f>
        <v>659174.521092157</v>
      </c>
      <c r="AQ37" s="128" t="n">
        <f aca="false">IVA!AE37+IVA!AF37+IVA!AG37</f>
        <v>1381270.49766206</v>
      </c>
      <c r="AR37" s="128" t="n">
        <f aca="false">IVA!AH37+IVA!AI37+IVA!AJ37</f>
        <v>1492606.50234929</v>
      </c>
      <c r="AS37" s="128" t="n">
        <f aca="false">IVA!AK37+IVA!AL37+IVA!AM37</f>
        <v>1725338.6260854</v>
      </c>
      <c r="AT37" s="128" t="n">
        <f aca="false">IVA!AN37+IVA!AO37+IVA!AP37</f>
        <v>1862179.02773474</v>
      </c>
      <c r="AU37" s="129" t="n">
        <f aca="false">IVA!AQ37+IVA!AR37+IVA!AS37+IVA!AT37</f>
        <v>6461394.65383149</v>
      </c>
      <c r="AV37" s="130" t="n">
        <f aca="false">IVA!AQ37/IVA!CJ16</f>
        <v>0.00202794000713832</v>
      </c>
      <c r="AW37" s="130" t="n">
        <f aca="false">IVA!AR37/IVA!CK16</f>
        <v>0.00178728456126236</v>
      </c>
      <c r="AX37" s="130" t="n">
        <f aca="false">IVA!AS37/IVA!CL16</f>
        <v>0.00208509459164386</v>
      </c>
      <c r="AY37" s="130" t="n">
        <f aca="false">IVA!AT37/IVA!CM16</f>
        <v>0.00205512455351745</v>
      </c>
      <c r="AZ37" s="271" t="n">
        <f aca="false">IVA!AU37/IVA!CN16</f>
        <v>0.00795291808987174</v>
      </c>
      <c r="BA37" s="266" t="n">
        <v>2007</v>
      </c>
      <c r="BB37" s="267" t="s">
        <v>313</v>
      </c>
      <c r="BC37" s="268"/>
      <c r="BD37" s="268"/>
      <c r="BE37" s="268"/>
      <c r="BF37" s="269" t="n">
        <f aca="false">0.64*IVA!AE71</f>
        <v>1889765.45738027</v>
      </c>
      <c r="BG37" s="269" t="n">
        <f aca="false">0.64*IVA!AF71</f>
        <v>1687329.88003627</v>
      </c>
      <c r="BH37" s="269" t="n">
        <f aca="false">0.64*IVA!AG71</f>
        <v>1595118.42767147</v>
      </c>
      <c r="BI37" s="269" t="n">
        <f aca="false">0.64*IVA!AH71</f>
        <v>1333471.04149547</v>
      </c>
      <c r="BJ37" s="269" t="n">
        <f aca="false">0.64*IVA!AI71</f>
        <v>3375327.74108587</v>
      </c>
      <c r="BK37" s="269" t="n">
        <f aca="false">0.64*IVA!AJ71</f>
        <v>3458821.44174507</v>
      </c>
      <c r="BL37" s="269" t="n">
        <f aca="false">0.64*IVA!AK71</f>
        <v>2142023.44435627</v>
      </c>
      <c r="BM37" s="269" t="n">
        <f aca="false">0.64*IVA!AL71</f>
        <v>2412998.95053227</v>
      </c>
      <c r="BN37" s="269" t="n">
        <f aca="false">0.64*IVA!AM71</f>
        <v>2239205.61602347</v>
      </c>
      <c r="BO37" s="269" t="n">
        <f aca="false">0.64*IVA!AN71</f>
        <v>2105272.69060907</v>
      </c>
      <c r="BP37" s="269" t="n">
        <f aca="false">0.64*IVA!AO71</f>
        <v>2342194.37456427</v>
      </c>
      <c r="BQ37" s="270" t="n">
        <f aca="false">0.64*IVA!AP71</f>
        <v>2474410.40767787</v>
      </c>
      <c r="BR37" s="175" t="n">
        <f aca="false">0.64*IVA!AQ71</f>
        <v>5172213.765088</v>
      </c>
      <c r="BS37" s="175" t="n">
        <f aca="false">0.64*IVA!AR71</f>
        <v>4615919.3492032</v>
      </c>
      <c r="BT37" s="175" t="n">
        <f aca="false">0.64*IVA!AS71</f>
        <v>6303917.2102528</v>
      </c>
      <c r="BU37" s="176" t="n">
        <f aca="false">0.64*IVA!AT71</f>
        <v>8167620.2243264</v>
      </c>
      <c r="BV37" s="137" t="n">
        <f aca="false">0.64*IVA!AU71</f>
        <v>24259670.5488704</v>
      </c>
      <c r="BW37" s="138" t="n">
        <f aca="false">IVA!BR37/IVA!CJ16</f>
        <v>0.00759368946013625</v>
      </c>
      <c r="BX37" s="139" t="n">
        <f aca="false">IVA!BS37/IVA!CK16</f>
        <v>0.00552721790765217</v>
      </c>
      <c r="BY37" s="138" t="n">
        <f aca="false">IVA!BT37/IVA!CL16</f>
        <v>0.00761836748018075</v>
      </c>
      <c r="BZ37" s="138" t="n">
        <f aca="false">IVA!BU37/IVA!CM16</f>
        <v>0.00901388997342416</v>
      </c>
      <c r="CA37" s="273" t="n">
        <f aca="false">IVA!BV37/IVA!CN16</f>
        <v>0.0298596793879527</v>
      </c>
      <c r="CH37" s="13"/>
      <c r="CI37" s="53" t="n">
        <v>2003</v>
      </c>
      <c r="CJ37" s="286" t="n">
        <f aca="false">IVA!AV33+IVA!AV84+IVA!AV101+IVA!AV118+IVA!AV152+IVA!AV169+IVA!AV218+IVA!AV252</f>
        <v>0.0145058377314911</v>
      </c>
      <c r="CK37" s="286" t="n">
        <f aca="false">IVA!AW33+IVA!AW84+IVA!AW101+IVA!AW118+IVA!AW152+IVA!AW169+IVA!AW218+IVA!AW252</f>
        <v>0.0128823455686331</v>
      </c>
      <c r="CL37" s="286" t="n">
        <f aca="false">IVA!AX33+IVA!AX84+IVA!AX101+IVA!AX118+IVA!AX152+IVA!AX169+IVA!AX218+IVA!AX252</f>
        <v>0.0148009974176208</v>
      </c>
      <c r="CM37" s="287" t="n">
        <f aca="false">IVA!AY33+IVA!AY84+IVA!AY101+IVA!AY118+IVA!AY152+IVA!AY169+IVA!AY218+IVA!AY252</f>
        <v>0.0141840057294471</v>
      </c>
      <c r="CN37" s="288" t="n">
        <f aca="false">IVA!AZ33+IVA!AZ84+IVA!AZ101+IVA!AZ118+IVA!AZ152+IVA!AZ169+IVA!AZ218+IVA!AZ252</f>
        <v>0.0562545107556582</v>
      </c>
      <c r="CO37" s="63"/>
      <c r="CP37" s="63"/>
      <c r="CQ37" s="13"/>
      <c r="CS37" s="294" t="n">
        <v>2008</v>
      </c>
      <c r="CT37" s="295" t="s">
        <v>162</v>
      </c>
      <c r="CU37" s="291" t="n">
        <v>575990.424</v>
      </c>
      <c r="CV37" s="291" t="n">
        <v>342038.973</v>
      </c>
      <c r="CW37" s="291" t="n">
        <v>918029.397</v>
      </c>
      <c r="CX37" s="291" t="n">
        <v>0</v>
      </c>
      <c r="CY37" s="292" t="n">
        <v>49945826.381</v>
      </c>
      <c r="CZ37" s="291" t="n">
        <v>120.027</v>
      </c>
      <c r="DA37" s="291" t="n">
        <v>9565998</v>
      </c>
      <c r="DB37" s="291" t="n">
        <v>60429973.805</v>
      </c>
      <c r="DC37" s="291" t="n">
        <v>79018</v>
      </c>
      <c r="DD37" s="291" t="n">
        <v>0</v>
      </c>
      <c r="DE37" s="291" t="n">
        <v>0</v>
      </c>
      <c r="DF37" s="291" t="n">
        <v>79018</v>
      </c>
      <c r="DG37" s="291" t="n">
        <v>60508991.805</v>
      </c>
      <c r="DI37" s="99" t="n">
        <v>1997</v>
      </c>
      <c r="DJ37" s="99" t="s">
        <v>84</v>
      </c>
      <c r="DK37" s="147" t="n">
        <v>15369816</v>
      </c>
      <c r="DL37" s="148"/>
      <c r="DY37" s="215" t="s">
        <v>387</v>
      </c>
      <c r="EA37" s="195"/>
      <c r="EB37" s="230"/>
      <c r="EC37" s="230"/>
      <c r="ED37" s="230"/>
      <c r="EE37" s="230"/>
      <c r="EF37" s="230"/>
      <c r="EG37" s="231"/>
      <c r="EH37" s="232"/>
      <c r="EJ37" s="31" t="n">
        <v>1985</v>
      </c>
      <c r="EK37" s="32" t="n">
        <v>3208.426</v>
      </c>
      <c r="EL37" s="33" t="n">
        <v>2569.309</v>
      </c>
      <c r="EM37" s="122" t="s">
        <v>164</v>
      </c>
      <c r="EN37" s="34" t="n">
        <f aca="false">IVA!EO15/IVA!EK53/1000</f>
        <v>0.588714231418723</v>
      </c>
      <c r="EO37" s="34" t="n">
        <f aca="false">IVA!EO15/IVA!EL52/1000</f>
        <v>0.702163823107346</v>
      </c>
      <c r="ET37" s="181" t="n">
        <v>1996</v>
      </c>
      <c r="EU37" s="122" t="s">
        <v>388</v>
      </c>
      <c r="EV37" s="122" t="s">
        <v>389</v>
      </c>
      <c r="EW37" s="122" t="s">
        <v>385</v>
      </c>
      <c r="EX37" s="122" t="s">
        <v>390</v>
      </c>
    </row>
    <row r="38" customFormat="false" ht="12.75" hidden="false" customHeight="true" outlineLevel="0" collapsed="false">
      <c r="AA38" s="123" t="n">
        <v>2008</v>
      </c>
      <c r="AB38" s="123" t="s">
        <v>312</v>
      </c>
      <c r="AC38" s="124"/>
      <c r="AD38" s="125"/>
      <c r="AE38" s="192" t="n">
        <f aca="false">IVA!AE21*0.9373*0.11</f>
        <v>693702.332712839</v>
      </c>
      <c r="AF38" s="192" t="n">
        <f aca="false">IVA!AF21*0.9373*0.11</f>
        <v>609978.555131316</v>
      </c>
      <c r="AG38" s="192" t="n">
        <f aca="false">IVA!AG21*0.9373*0.11</f>
        <v>593439.805550031</v>
      </c>
      <c r="AH38" s="192" t="n">
        <f aca="false">IVA!AH21*0.9373*0.11</f>
        <v>678550.637045081</v>
      </c>
      <c r="AI38" s="192" t="n">
        <f aca="false">IVA!AI21*0.9373*0.11</f>
        <v>691957.297817636</v>
      </c>
      <c r="AJ38" s="192" t="n">
        <f aca="false">IVA!AJ21*0.9373*0.11</f>
        <v>683527.646460108</v>
      </c>
      <c r="AK38" s="192" t="n">
        <f aca="false">IVA!AK21*0.9373*0.11</f>
        <v>705927.189729732</v>
      </c>
      <c r="AL38" s="192" t="n">
        <f aca="false">IVA!AL21*0.9373*0.11</f>
        <v>732801.036991934</v>
      </c>
      <c r="AM38" s="192" t="n">
        <f aca="false">IVA!AM21*0.9373*0.11</f>
        <v>752233.618342086</v>
      </c>
      <c r="AN38" s="192" t="n">
        <f aca="false">IVA!AN21*0.9373*0.11</f>
        <v>743309.395003105</v>
      </c>
      <c r="AO38" s="192" t="n">
        <f aca="false">IVA!AO21*0.9373*0.11</f>
        <v>700514.285868237</v>
      </c>
      <c r="AP38" s="192" t="n">
        <f aca="false">IVA!AP21*0.9373*0.11</f>
        <v>685898.972980642</v>
      </c>
      <c r="AQ38" s="128" t="n">
        <f aca="false">IVA!AE38+IVA!AF38+IVA!AG38</f>
        <v>1897120.69339419</v>
      </c>
      <c r="AR38" s="128" t="n">
        <f aca="false">IVA!AH38+IVA!AI38+IVA!AJ38</f>
        <v>2054035.58132283</v>
      </c>
      <c r="AS38" s="128" t="n">
        <f aca="false">IVA!AK38+IVA!AL38+IVA!AM38</f>
        <v>2190961.84506375</v>
      </c>
      <c r="AT38" s="128" t="n">
        <f aca="false">IVA!AN38+IVA!AO38+IVA!AP38</f>
        <v>2129722.65385198</v>
      </c>
      <c r="AU38" s="129" t="n">
        <f aca="false">IVA!AQ38+IVA!AR38+IVA!AS38+IVA!AT38</f>
        <v>8271840.77363275</v>
      </c>
      <c r="AV38" s="130" t="n">
        <f aca="false">IVA!AQ38/IVA!CJ17</f>
        <v>0.00213725641208705</v>
      </c>
      <c r="AW38" s="130" t="n">
        <f aca="false">IVA!AR38/IVA!CK17</f>
        <v>0.00185391836700726</v>
      </c>
      <c r="AX38" s="130" t="n">
        <f aca="false">IVA!AS38/IVA!CL17</f>
        <v>0.00207173202321939</v>
      </c>
      <c r="AY38" s="130" t="n">
        <f aca="false">IVA!AT38/IVA!CM17</f>
        <v>0.00197581388640282</v>
      </c>
      <c r="AZ38" s="271" t="n">
        <f aca="false">IVA!AU38/IVA!CN17</f>
        <v>0.00800946666463271</v>
      </c>
      <c r="BA38" s="266" t="n">
        <v>2008</v>
      </c>
      <c r="BB38" s="267" t="s">
        <v>313</v>
      </c>
      <c r="BC38" s="268"/>
      <c r="BD38" s="268"/>
      <c r="BE38" s="268"/>
      <c r="BF38" s="269" t="n">
        <f aca="false">0.64*IVA!AE72</f>
        <v>2490907.59149227</v>
      </c>
      <c r="BG38" s="269" t="n">
        <f aca="false">0.64*IVA!AF72</f>
        <v>2403283.44630827</v>
      </c>
      <c r="BH38" s="269" t="n">
        <f aca="false">0.64*IVA!AG72</f>
        <v>1920436.21522987</v>
      </c>
      <c r="BI38" s="269" t="n">
        <f aca="false">0.64*IVA!AH72</f>
        <v>1904590.47695147</v>
      </c>
      <c r="BJ38" s="269" t="n">
        <f aca="false">0.64*IVA!AI72</f>
        <v>3345538.39588907</v>
      </c>
      <c r="BK38" s="269" t="n">
        <f aca="false">0.64*IVA!AJ72</f>
        <v>4238868.48866347</v>
      </c>
      <c r="BL38" s="269" t="n">
        <f aca="false">0.64*IVA!AK72</f>
        <v>3059578.61891627</v>
      </c>
      <c r="BM38" s="269" t="n">
        <f aca="false">0.64*IVA!AL72</f>
        <v>3151231.79060907</v>
      </c>
      <c r="BN38" s="269" t="n">
        <f aca="false">0.64*IVA!AM72</f>
        <v>2783589.93101867</v>
      </c>
      <c r="BO38" s="269" t="n">
        <f aca="false">0.64*IVA!AN72</f>
        <v>2965846.66772267</v>
      </c>
      <c r="BP38" s="269" t="n">
        <f aca="false">0.64*IVA!AO72</f>
        <v>2642654.14061867</v>
      </c>
      <c r="BQ38" s="270" t="n">
        <f aca="false">0.64*IVA!AP72</f>
        <v>3055714.50615467</v>
      </c>
      <c r="BR38" s="175" t="n">
        <f aca="false">0.64*IVA!AQ72</f>
        <v>6814627.2530304</v>
      </c>
      <c r="BS38" s="175" t="n">
        <f aca="false">0.64*IVA!AR72</f>
        <v>6228310.1384896</v>
      </c>
      <c r="BT38" s="175" t="n">
        <f aca="false">0.64*IVA!AS72</f>
        <v>7170565.0880704</v>
      </c>
      <c r="BU38" s="176" t="n">
        <f aca="false">0.64*IVA!AT72</f>
        <v>9488997.361504</v>
      </c>
      <c r="BV38" s="137" t="n">
        <f aca="false">0.64*IVA!AU72</f>
        <v>29702499.8410944</v>
      </c>
      <c r="BW38" s="138" t="n">
        <f aca="false">IVA!BR38/IVA!CJ17</f>
        <v>0.0076772162378686</v>
      </c>
      <c r="BX38" s="139" t="n">
        <f aca="false">IVA!BS38/IVA!CK17</f>
        <v>0.00562150853965594</v>
      </c>
      <c r="BY38" s="138" t="n">
        <f aca="false">IVA!BT38/IVA!CL17</f>
        <v>0.00678035053463112</v>
      </c>
      <c r="BZ38" s="138" t="n">
        <f aca="false">IVA!BU38/IVA!CM17</f>
        <v>0.0088032555417436</v>
      </c>
      <c r="CA38" s="273" t="n">
        <f aca="false">IVA!BV38/IVA!CN17</f>
        <v>0.028760367715471</v>
      </c>
      <c r="CH38" s="13"/>
      <c r="CI38" s="53" t="n">
        <v>2004</v>
      </c>
      <c r="CJ38" s="286" t="n">
        <f aca="false">IVA!AV34+IVA!AV85+IVA!AV102+IVA!AV119+IVA!AV153+IVA!AV170+IVA!AV219+IVA!AV253</f>
        <v>0.0160978326710887</v>
      </c>
      <c r="CK38" s="286" t="n">
        <f aca="false">IVA!AW34+IVA!AW85+IVA!AW102+IVA!AW119+IVA!AW153+IVA!AW170+IVA!AW219+IVA!AW253</f>
        <v>0.015759492896094</v>
      </c>
      <c r="CL38" s="286" t="n">
        <f aca="false">IVA!AX34+IVA!AX85+IVA!AX102+IVA!AX119+IVA!AX153+IVA!AX170+IVA!AX219+IVA!AX253</f>
        <v>0.016367280378511</v>
      </c>
      <c r="CM38" s="287" t="n">
        <f aca="false">IVA!AY34+IVA!AY85+IVA!AY102+IVA!AY119+IVA!AY153+IVA!AY170+IVA!AY219+IVA!AY253</f>
        <v>0.0148873487655697</v>
      </c>
      <c r="CN38" s="288" t="n">
        <f aca="false">IVA!AZ34+IVA!AZ85+IVA!AZ102+IVA!AZ119+IVA!AZ153+IVA!AZ170+IVA!AZ219+IVA!AZ253</f>
        <v>0.0630301149970064</v>
      </c>
      <c r="CO38" s="63"/>
      <c r="CP38" s="63"/>
      <c r="CQ38" s="13"/>
      <c r="CS38" s="294" t="n">
        <v>2007</v>
      </c>
      <c r="CT38" s="295" t="s">
        <v>162</v>
      </c>
      <c r="CU38" s="291" t="n">
        <v>398811</v>
      </c>
      <c r="CV38" s="291" t="n">
        <v>282156.793</v>
      </c>
      <c r="CW38" s="291" t="n">
        <v>680967.793</v>
      </c>
      <c r="CX38" s="291" t="n">
        <v>0</v>
      </c>
      <c r="CY38" s="292" t="n">
        <v>34297457.998</v>
      </c>
      <c r="CZ38" s="291" t="n">
        <v>168.209</v>
      </c>
      <c r="DA38" s="291" t="n">
        <v>6903701</v>
      </c>
      <c r="DB38" s="291" t="n">
        <v>41882295</v>
      </c>
      <c r="DC38" s="291" t="n">
        <v>26240.7</v>
      </c>
      <c r="DD38" s="291" t="n">
        <v>0</v>
      </c>
      <c r="DE38" s="291" t="n">
        <v>0</v>
      </c>
      <c r="DF38" s="291" t="n">
        <v>26240.7</v>
      </c>
      <c r="DG38" s="291" t="n">
        <v>41908535.7</v>
      </c>
      <c r="DI38" s="115"/>
      <c r="DJ38" s="116" t="s">
        <v>102</v>
      </c>
      <c r="DK38" s="166" t="n">
        <v>15329906</v>
      </c>
      <c r="DL38" s="148"/>
      <c r="DY38" s="222" t="s">
        <v>391</v>
      </c>
      <c r="DZ38" s="223"/>
      <c r="EA38" s="206"/>
      <c r="EB38" s="236" t="n">
        <v>20377815528</v>
      </c>
      <c r="EC38" s="236" t="n">
        <v>-219726570</v>
      </c>
      <c r="ED38" s="236" t="n">
        <v>20158088958</v>
      </c>
      <c r="EE38" s="236" t="n">
        <v>18900171343.13</v>
      </c>
      <c r="EF38" s="236" t="n">
        <v>18838058106.41</v>
      </c>
      <c r="EG38" s="237" t="n">
        <v>17244664206.98</v>
      </c>
      <c r="EH38" s="238" t="n">
        <v>1320030851.59</v>
      </c>
      <c r="EJ38" s="31" t="n">
        <v>1986</v>
      </c>
      <c r="EK38" s="32" t="n">
        <v>3297.887</v>
      </c>
      <c r="EL38" s="33" t="n">
        <v>2644.815</v>
      </c>
      <c r="EM38" s="122" t="s">
        <v>173</v>
      </c>
      <c r="EN38" s="34" t="n">
        <f aca="false">IVA!EO16/IVA!EK54/1000</f>
        <v>0.571759240852674</v>
      </c>
      <c r="EO38" s="34" t="n">
        <f aca="false">IVA!EO16/IVA!EL53/1000</f>
        <v>0.679174157472672</v>
      </c>
      <c r="ET38" s="181" t="n">
        <v>1997</v>
      </c>
      <c r="EU38" s="122" t="s">
        <v>392</v>
      </c>
      <c r="EV38" s="122" t="s">
        <v>393</v>
      </c>
      <c r="EW38" s="122" t="s">
        <v>385</v>
      </c>
      <c r="EX38" s="122" t="s">
        <v>386</v>
      </c>
    </row>
    <row r="39" customFormat="false" ht="12.75" hidden="false" customHeight="true" outlineLevel="0" collapsed="false">
      <c r="AA39" s="123" t="n">
        <v>2009</v>
      </c>
      <c r="AB39" s="123" t="s">
        <v>312</v>
      </c>
      <c r="AC39" s="124"/>
      <c r="AD39" s="125"/>
      <c r="AE39" s="192" t="n">
        <f aca="false">IVA!AE22*0.9373*0.11</f>
        <v>691429.235497</v>
      </c>
      <c r="AF39" s="192" t="n">
        <f aca="false">IVA!AF22*0.9373*0.11</f>
        <v>695441.385639</v>
      </c>
      <c r="AG39" s="192" t="n">
        <f aca="false">IVA!AG22*0.9373*0.11</f>
        <v>690075.905519</v>
      </c>
      <c r="AH39" s="192" t="n">
        <f aca="false">IVA!AH22*0.9373*0.11</f>
        <v>715341.398772</v>
      </c>
      <c r="AI39" s="192" t="n">
        <f aca="false">IVA!AI22*0.9373*0.11</f>
        <v>693986.602309</v>
      </c>
      <c r="AJ39" s="192" t="n">
        <f aca="false">IVA!AJ22*0.9373*0.11</f>
        <v>747200.638184</v>
      </c>
      <c r="AK39" s="192" t="n">
        <f aca="false">IVA!AK22*0.9373*0.11</f>
        <v>804182.160782</v>
      </c>
      <c r="AL39" s="192" t="n">
        <f aca="false">IVA!AL22*0.9373*0.11</f>
        <v>775040.613347</v>
      </c>
      <c r="AM39" s="192" t="n">
        <f aca="false">IVA!AM22*0.9373*0.11</f>
        <v>816837.229208</v>
      </c>
      <c r="AN39" s="192" t="n">
        <f aca="false">IVA!AN22*0.9373*0.11</f>
        <v>792199.942534</v>
      </c>
      <c r="AO39" s="192" t="n">
        <f aca="false">IVA!AO22*0.9373*0.11</f>
        <v>765449.147463</v>
      </c>
      <c r="AP39" s="192" t="n">
        <f aca="false">IVA!AP22*0.9373*0.11</f>
        <v>822546.970245</v>
      </c>
      <c r="AQ39" s="128" t="n">
        <f aca="false">IVA!AE39+IVA!AF39+IVA!AG39</f>
        <v>2076946.526655</v>
      </c>
      <c r="AR39" s="128" t="n">
        <f aca="false">IVA!AH39+IVA!AI39+IVA!AJ39</f>
        <v>2156528.639265</v>
      </c>
      <c r="AS39" s="128" t="n">
        <f aca="false">IVA!AK39+IVA!AL39+IVA!AM39</f>
        <v>2396060.003337</v>
      </c>
      <c r="AT39" s="128" t="n">
        <f aca="false">IVA!AN39+IVA!AO39+IVA!AP39</f>
        <v>2380196.060242</v>
      </c>
      <c r="AU39" s="129" t="n">
        <f aca="false">IVA!AQ39+IVA!AR39+IVA!AS39+IVA!AT39</f>
        <v>9009731.229499</v>
      </c>
      <c r="AV39" s="130" t="n">
        <f aca="false">IVA!AQ39/IVA!CJ18</f>
        <v>0.00209166768381368</v>
      </c>
      <c r="AW39" s="130" t="n">
        <f aca="false">IVA!AR39/IVA!CK18</f>
        <v>0.0018040642139976</v>
      </c>
      <c r="AX39" s="130" t="n">
        <f aca="false">IVA!AS39/IVA!CL18</f>
        <v>0.00205002604652429</v>
      </c>
      <c r="AY39" s="130" t="n">
        <f aca="false">IVA!AT39/IVA!CM18</f>
        <v>0.00194348719769226</v>
      </c>
      <c r="AZ39" s="271" t="n">
        <f aca="false">IVA!AU39/IVA!CN18</f>
        <v>0.00786561234350921</v>
      </c>
      <c r="BA39" s="266" t="n">
        <v>2009</v>
      </c>
      <c r="BB39" s="267" t="s">
        <v>313</v>
      </c>
      <c r="BC39" s="268"/>
      <c r="BD39" s="268"/>
      <c r="BE39" s="268"/>
      <c r="BF39" s="269" t="n">
        <f aca="false">0.64*IVA!AE73</f>
        <v>2497124.90666667</v>
      </c>
      <c r="BG39" s="269" t="n">
        <f aca="false">0.64*IVA!AF73</f>
        <v>2371979.94666667</v>
      </c>
      <c r="BH39" s="269" t="n">
        <f aca="false">0.64*IVA!AG73</f>
        <v>2128826.02666667</v>
      </c>
      <c r="BI39" s="269" t="n">
        <f aca="false">0.64*IVA!AH73</f>
        <v>1961569.70666667</v>
      </c>
      <c r="BJ39" s="269" t="n">
        <f aca="false">0.64*IVA!AI73</f>
        <v>4140740.26666667</v>
      </c>
      <c r="BK39" s="269" t="n">
        <f aca="false">0.64*IVA!AJ73</f>
        <v>3984994.34666667</v>
      </c>
      <c r="BL39" s="269" t="n">
        <f aca="false">0.64*IVA!AK73</f>
        <v>2800678.18666667</v>
      </c>
      <c r="BM39" s="269" t="n">
        <f aca="false">0.64*IVA!AL73</f>
        <v>2955492.26666667</v>
      </c>
      <c r="BN39" s="269" t="n">
        <f aca="false">0.64*IVA!AM73</f>
        <v>2698575.78666667</v>
      </c>
      <c r="BO39" s="269" t="n">
        <f aca="false">0.64*IVA!AN73</f>
        <v>3106424.74666667</v>
      </c>
      <c r="BP39" s="269" t="n">
        <f aca="false">0.64*IVA!AO73</f>
        <v>3157324.58666667</v>
      </c>
      <c r="BQ39" s="270" t="n">
        <f aca="false">0.64*IVA!AP73</f>
        <v>3378513.06666667</v>
      </c>
      <c r="BR39" s="175" t="n">
        <f aca="false">0.64*IVA!AQ73</f>
        <v>6997930.88</v>
      </c>
      <c r="BS39" s="175" t="n">
        <f aca="false">0.64*IVA!AR73</f>
        <v>6462375.68</v>
      </c>
      <c r="BT39" s="175" t="n">
        <f aca="false">0.64*IVA!AS73</f>
        <v>8231136</v>
      </c>
      <c r="BU39" s="176" t="n">
        <f aca="false">0.64*IVA!AT73</f>
        <v>10087304.32</v>
      </c>
      <c r="BV39" s="137" t="n">
        <f aca="false">0.64*IVA!AU73</f>
        <v>31778746.88</v>
      </c>
      <c r="BW39" s="138" t="n">
        <f aca="false">IVA!BR39/IVA!CJ18</f>
        <v>0.00704753140603568</v>
      </c>
      <c r="BX39" s="139" t="n">
        <f aca="false">IVA!BS39/IVA!CK18</f>
        <v>0.00540616085009191</v>
      </c>
      <c r="BY39" s="138" t="n">
        <f aca="false">IVA!BT39/IVA!CL18</f>
        <v>0.00704241261445172</v>
      </c>
      <c r="BZ39" s="138" t="n">
        <f aca="false">IVA!BU39/IVA!CM18</f>
        <v>0.00823652602935262</v>
      </c>
      <c r="CA39" s="273" t="n">
        <f aca="false">IVA!BV39/IVA!CN18</f>
        <v>0.0277432586337519</v>
      </c>
      <c r="CH39" s="13"/>
      <c r="CI39" s="53" t="n">
        <v>2005</v>
      </c>
      <c r="CJ39" s="286" t="n">
        <f aca="false">IVA!AV35+IVA!AV86+IVA!AV103+IVA!AV120+IVA!AV154+IVA!AV171+IVA!AV220+IVA!AV254</f>
        <v>0.0172208110790745</v>
      </c>
      <c r="CK39" s="286" t="n">
        <f aca="false">IVA!AW35+IVA!AW86+IVA!AW103+IVA!AW120+IVA!AW154+IVA!AW171+IVA!AW220+IVA!AW254</f>
        <v>0.0154812331221045</v>
      </c>
      <c r="CL39" s="286" t="n">
        <f aca="false">IVA!AX35+IVA!AX86+IVA!AX103+IVA!AX120+IVA!AX154+IVA!AX171+IVA!AX220+IVA!AX254</f>
        <v>0.0170315729419784</v>
      </c>
      <c r="CM39" s="287" t="n">
        <f aca="false">IVA!AY35+IVA!AY86+IVA!AY103+IVA!AY120+IVA!AY154+IVA!AY171+IVA!AY220+IVA!AY254</f>
        <v>0.0168274388015218</v>
      </c>
      <c r="CN39" s="288" t="n">
        <f aca="false">IVA!AZ35+IVA!AZ86+IVA!AZ103+IVA!AZ120+IVA!AZ154+IVA!AZ171+IVA!AZ220+IVA!AZ254</f>
        <v>0.0664583757514838</v>
      </c>
      <c r="CO39" s="63"/>
      <c r="CP39" s="63"/>
      <c r="CQ39" s="13"/>
      <c r="CS39" s="294" t="n">
        <v>2006</v>
      </c>
      <c r="CT39" s="295" t="s">
        <v>162</v>
      </c>
      <c r="CU39" s="291" t="n">
        <v>240163</v>
      </c>
      <c r="CV39" s="291" t="n">
        <v>252346.654</v>
      </c>
      <c r="CW39" s="291" t="n">
        <v>492509.654</v>
      </c>
      <c r="CX39" s="291" t="n">
        <v>13467.596</v>
      </c>
      <c r="CY39" s="292" t="n">
        <v>24390053</v>
      </c>
      <c r="CZ39" s="291" t="n">
        <v>75.866</v>
      </c>
      <c r="DA39" s="291" t="n">
        <v>6763770</v>
      </c>
      <c r="DB39" s="291" t="n">
        <v>31659876.116</v>
      </c>
      <c r="DC39" s="291" t="n">
        <v>24505</v>
      </c>
      <c r="DD39" s="291" t="n">
        <v>0</v>
      </c>
      <c r="DE39" s="291" t="n">
        <v>0</v>
      </c>
      <c r="DF39" s="291" t="n">
        <v>24505</v>
      </c>
      <c r="DG39" s="291" t="n">
        <v>31684381.116</v>
      </c>
      <c r="DI39" s="99" t="n">
        <v>1996</v>
      </c>
      <c r="DJ39" s="99" t="s">
        <v>84</v>
      </c>
      <c r="DK39" s="147" t="n">
        <v>15656543</v>
      </c>
      <c r="DL39" s="148"/>
      <c r="DY39" s="177" t="s">
        <v>163</v>
      </c>
      <c r="DZ39" s="45"/>
      <c r="EA39" s="210" t="n">
        <v>1999</v>
      </c>
      <c r="EB39" s="227" t="n">
        <v>20300635326</v>
      </c>
      <c r="EC39" s="227" t="n">
        <v>149082734</v>
      </c>
      <c r="ED39" s="227" t="n">
        <v>20449718060</v>
      </c>
      <c r="EE39" s="227" t="n">
        <v>19355781909.26</v>
      </c>
      <c r="EF39" s="227" t="n">
        <v>19321587525.01</v>
      </c>
      <c r="EG39" s="228" t="n">
        <v>17653949067.22</v>
      </c>
      <c r="EH39" s="229" t="n">
        <f aca="false">IVA!EF39-IVA!EG39</f>
        <v>1667638457.79</v>
      </c>
      <c r="EJ39" s="31" t="n">
        <v>1987</v>
      </c>
      <c r="EK39" s="32" t="n">
        <v>3380.165</v>
      </c>
      <c r="EL39" s="33" t="n">
        <v>2713.902</v>
      </c>
      <c r="EM39" s="122" t="s">
        <v>182</v>
      </c>
      <c r="EN39" s="34" t="n">
        <f aca="false">IVA!EO17/IVA!EK55/1000</f>
        <v>0.553219142324055</v>
      </c>
      <c r="EO39" s="34" t="n">
        <f aca="false">IVA!EO17/IVA!EL54/1000</f>
        <v>0.655303555664164</v>
      </c>
      <c r="ET39" s="181" t="n">
        <v>1998</v>
      </c>
      <c r="EU39" s="122" t="s">
        <v>394</v>
      </c>
      <c r="EV39" s="122" t="s">
        <v>395</v>
      </c>
      <c r="EW39" s="122" t="s">
        <v>396</v>
      </c>
      <c r="EX39" s="122" t="s">
        <v>397</v>
      </c>
    </row>
    <row r="40" customFormat="false" ht="12.75" hidden="false" customHeight="true" outlineLevel="0" collapsed="false">
      <c r="AA40" s="123" t="n">
        <v>2010</v>
      </c>
      <c r="AB40" s="123" t="s">
        <v>312</v>
      </c>
      <c r="AC40" s="124"/>
      <c r="AD40" s="125"/>
      <c r="AE40" s="192" t="n">
        <f aca="false">IVA!AE23*0.9373*0.11</f>
        <v>851148.361063</v>
      </c>
      <c r="AF40" s="192" t="n">
        <f aca="false">IVA!AF23*0.9373*0.11</f>
        <v>849524.076401</v>
      </c>
      <c r="AG40" s="192" t="n">
        <f aca="false">IVA!AG23*0.9373*0.11</f>
        <v>884032.031883</v>
      </c>
      <c r="AH40" s="192" t="n">
        <f aca="false">IVA!AH23*0.9373*0.11</f>
        <v>910963.669616</v>
      </c>
      <c r="AI40" s="192" t="n">
        <f aca="false">IVA!AI23*0.9373*0.11</f>
        <v>923105.491308</v>
      </c>
      <c r="AJ40" s="192" t="n">
        <f aca="false">IVA!AJ23*0.9373*0.11</f>
        <v>1024639.160545</v>
      </c>
      <c r="AK40" s="192" t="n">
        <f aca="false">IVA!AK23*0.9373*0.11</f>
        <v>1047090.148104</v>
      </c>
      <c r="AL40" s="192" t="n">
        <f aca="false">IVA!AL23*0.9373*0.11</f>
        <v>1063175.659546</v>
      </c>
      <c r="AM40" s="192" t="n">
        <f aca="false">IVA!AM23*0.9373*0.11</f>
        <v>1105578.830356</v>
      </c>
      <c r="AN40" s="192" t="n">
        <f aca="false">IVA!AN23*0.9373*0.11</f>
        <v>1043726.412729</v>
      </c>
      <c r="AO40" s="192" t="n">
        <f aca="false">IVA!AO23*0.9373*0.11</f>
        <v>1096461.22586</v>
      </c>
      <c r="AP40" s="192" t="n">
        <f aca="false">IVA!AP23*0.9373*0.11</f>
        <v>1200299.35025</v>
      </c>
      <c r="AQ40" s="128" t="n">
        <f aca="false">IVA!AE40+IVA!AF40+IVA!AG40</f>
        <v>2584704.469347</v>
      </c>
      <c r="AR40" s="128" t="n">
        <f aca="false">IVA!AH40+IVA!AI40+IVA!AJ40</f>
        <v>2858708.321469</v>
      </c>
      <c r="AS40" s="128" t="n">
        <f aca="false">IVA!AK40+IVA!AL40+IVA!AM40</f>
        <v>3215844.638006</v>
      </c>
      <c r="AT40" s="128" t="n">
        <f aca="false">IVA!AN40+IVA!AO40+IVA!AP40</f>
        <v>3340486.988839</v>
      </c>
      <c r="AU40" s="129" t="n">
        <f aca="false">IVA!AQ40+IVA!AR40+IVA!AS40+IVA!AT40</f>
        <v>11999744.417661</v>
      </c>
      <c r="AV40" s="130" t="n">
        <f aca="false">IVA!AQ40/IVA!CJ19</f>
        <v>0.00212316807092192</v>
      </c>
      <c r="AW40" s="130" t="n">
        <f aca="false">IVA!AR40/IVA!CK19</f>
        <v>0.00189533613411533</v>
      </c>
      <c r="AX40" s="130" t="n">
        <f aca="false">IVA!AS40/IVA!CL19</f>
        <v>0.00219383293425032</v>
      </c>
      <c r="AY40" s="130" t="n">
        <f aca="false">IVA!AT40/IVA!CM19</f>
        <v>0.00211543942935648</v>
      </c>
      <c r="AZ40" s="271" t="n">
        <f aca="false">IVA!AU40/IVA!CN19</f>
        <v>0.00831781768236955</v>
      </c>
      <c r="BA40" s="266" t="n">
        <v>2010</v>
      </c>
      <c r="BB40" s="267" t="s">
        <v>313</v>
      </c>
      <c r="BC40" s="268"/>
      <c r="BD40" s="268"/>
      <c r="BE40" s="268"/>
      <c r="BF40" s="269" t="n">
        <f aca="false">0.64*IVA!AE74</f>
        <v>3148180.90666667</v>
      </c>
      <c r="BG40" s="269" t="n">
        <f aca="false">0.64*IVA!AF74</f>
        <v>2969691.30666667</v>
      </c>
      <c r="BH40" s="269" t="n">
        <f aca="false">0.64*IVA!AG74</f>
        <v>2726735.78666667</v>
      </c>
      <c r="BI40" s="269" t="n">
        <f aca="false">0.64*IVA!AH74</f>
        <v>2682868.26666667</v>
      </c>
      <c r="BJ40" s="269" t="n">
        <f aca="false">0.64*IVA!AI74</f>
        <v>7312967.46666667</v>
      </c>
      <c r="BK40" s="269" t="n">
        <f aca="false">0.64*IVA!AJ74</f>
        <v>5837855.14666667</v>
      </c>
      <c r="BL40" s="269" t="n">
        <f aca="false">0.64*IVA!AK74</f>
        <v>3970502.18666667</v>
      </c>
      <c r="BM40" s="269" t="n">
        <f aca="false">0.64*IVA!AL74</f>
        <v>3825563.94666667</v>
      </c>
      <c r="BN40" s="269" t="n">
        <f aca="false">0.64*IVA!AM74</f>
        <v>3644949.54666667</v>
      </c>
      <c r="BO40" s="269" t="n">
        <f aca="false">0.64*IVA!AN74</f>
        <v>3914696.74666667</v>
      </c>
      <c r="BP40" s="269" t="n">
        <f aca="false">0.64*IVA!AO74</f>
        <v>4060642.98666667</v>
      </c>
      <c r="BQ40" s="270" t="n">
        <f aca="false">0.64*IVA!AP74</f>
        <v>4591187.62666667</v>
      </c>
      <c r="BR40" s="175" t="n">
        <f aca="false">0.64*IVA!AQ74</f>
        <v>8844608</v>
      </c>
      <c r="BS40" s="175" t="n">
        <f aca="false">0.64*IVA!AR74</f>
        <v>8379295.36</v>
      </c>
      <c r="BT40" s="175" t="n">
        <f aca="false">0.64*IVA!AS74</f>
        <v>12722571.52</v>
      </c>
      <c r="BU40" s="176" t="n">
        <f aca="false">0.64*IVA!AT74</f>
        <v>15833690.88</v>
      </c>
      <c r="BV40" s="137" t="n">
        <f aca="false">0.64*IVA!AU74</f>
        <v>45780165.76</v>
      </c>
      <c r="BW40" s="138" t="n">
        <f aca="false">IVA!BR40/IVA!CJ19</f>
        <v>0.00726527520965088</v>
      </c>
      <c r="BX40" s="139" t="n">
        <f aca="false">IVA!BS40/IVA!CK19</f>
        <v>0.00555550951279699</v>
      </c>
      <c r="BY40" s="138" t="n">
        <f aca="false">IVA!BT40/IVA!CL19</f>
        <v>0.00867927389248432</v>
      </c>
      <c r="BZ40" s="138" t="n">
        <f aca="false">IVA!BU40/IVA!CM19</f>
        <v>0.0100270451918256</v>
      </c>
      <c r="CA40" s="273" t="n">
        <f aca="false">IVA!BV40/IVA!CN19</f>
        <v>0.031733265226874</v>
      </c>
      <c r="CH40" s="13"/>
      <c r="CI40" s="53" t="n">
        <v>2006</v>
      </c>
      <c r="CJ40" s="286" t="n">
        <f aca="false">IVA!AV36+IVA!AV87+IVA!AV104+IVA!AV121+IVA!AV155+IVA!AV172+IVA!AV221+IVA!AV255</f>
        <v>0.0186558637198949</v>
      </c>
      <c r="CK40" s="286" t="n">
        <f aca="false">IVA!AW36+IVA!AW87+IVA!AW104+IVA!AW121+IVA!AW155+IVA!AW172+IVA!AW221+IVA!AW255</f>
        <v>0.0165176836819542</v>
      </c>
      <c r="CL40" s="286" t="n">
        <f aca="false">IVA!AX36+IVA!AX87+IVA!AX104+IVA!AX121+IVA!AX155+IVA!AX172+IVA!AX221+IVA!AX255</f>
        <v>0.0184442183597941</v>
      </c>
      <c r="CM40" s="287" t="n">
        <f aca="false">IVA!AY36+IVA!AY87+IVA!AY104+IVA!AY121+IVA!AY155+IVA!AY172+IVA!AY221+IVA!AY255</f>
        <v>0.0179923762256485</v>
      </c>
      <c r="CN40" s="288" t="n">
        <f aca="false">IVA!AZ36+IVA!AZ87+IVA!AZ104+IVA!AZ121+IVA!AZ155+IVA!AZ172+IVA!AZ221+IVA!AZ255</f>
        <v>0.0714782729928939</v>
      </c>
      <c r="CO40" s="63"/>
      <c r="CP40" s="63"/>
      <c r="CQ40" s="13"/>
      <c r="CS40" s="294" t="n">
        <v>2005</v>
      </c>
      <c r="CT40" s="295" t="s">
        <v>162</v>
      </c>
      <c r="CU40" s="291" t="n">
        <v>190521</v>
      </c>
      <c r="CV40" s="291" t="n">
        <v>221937.302</v>
      </c>
      <c r="CW40" s="291" t="n">
        <v>412458.302</v>
      </c>
      <c r="CX40" s="291" t="n">
        <v>0</v>
      </c>
      <c r="CY40" s="292" t="n">
        <v>19684200</v>
      </c>
      <c r="CZ40" s="291" t="n">
        <v>85.698</v>
      </c>
      <c r="DA40" s="291" t="n">
        <v>5152438</v>
      </c>
      <c r="DB40" s="291" t="n">
        <v>25249182</v>
      </c>
      <c r="DC40" s="291" t="n">
        <v>18626</v>
      </c>
      <c r="DD40" s="291" t="n">
        <v>0</v>
      </c>
      <c r="DE40" s="291" t="n">
        <v>0</v>
      </c>
      <c r="DF40" s="291" t="n">
        <v>18626</v>
      </c>
      <c r="DG40" s="291" t="n">
        <v>25267808</v>
      </c>
      <c r="DI40" s="115"/>
      <c r="DJ40" s="116" t="s">
        <v>102</v>
      </c>
      <c r="DK40" s="166" t="n">
        <v>15425977</v>
      </c>
      <c r="DL40" s="148"/>
      <c r="DY40" s="215" t="s">
        <v>398</v>
      </c>
      <c r="EA40" s="179"/>
      <c r="EB40" s="230" t="n">
        <v>416320000</v>
      </c>
      <c r="EC40" s="230" t="n">
        <v>-67442250</v>
      </c>
      <c r="ED40" s="230" t="n">
        <v>348877750</v>
      </c>
      <c r="EE40" s="230" t="n">
        <v>335843865.85</v>
      </c>
      <c r="EF40" s="230" t="n">
        <v>332510200.11</v>
      </c>
      <c r="EG40" s="231" t="n">
        <v>325955958.51</v>
      </c>
      <c r="EH40" s="232" t="n">
        <f aca="false">IVA!EF40-IVA!EG40</f>
        <v>6554241.60000002</v>
      </c>
      <c r="EJ40" s="31" t="n">
        <v>1988</v>
      </c>
      <c r="EK40" s="32" t="n">
        <v>3457.915</v>
      </c>
      <c r="EL40" s="33" t="n">
        <v>2779.493</v>
      </c>
      <c r="EM40" s="122" t="s">
        <v>192</v>
      </c>
      <c r="EN40" s="34" t="n">
        <f aca="false">IVA!EO18/IVA!EK56/1000</f>
        <v>0.535669615782233</v>
      </c>
      <c r="EO40" s="34" t="n">
        <f aca="false">IVA!EO18/IVA!EL55/1000</f>
        <v>0.633473298343161</v>
      </c>
      <c r="ET40" s="181" t="n">
        <v>1999</v>
      </c>
      <c r="EU40" s="122" t="s">
        <v>399</v>
      </c>
      <c r="EV40" s="122" t="s">
        <v>400</v>
      </c>
      <c r="EW40" s="122" t="s">
        <v>401</v>
      </c>
      <c r="EX40" s="122" t="s">
        <v>402</v>
      </c>
    </row>
    <row r="41" customFormat="false" ht="12.75" hidden="false" customHeight="true" outlineLevel="0" collapsed="false">
      <c r="AA41" s="123" t="n">
        <v>2011</v>
      </c>
      <c r="AB41" s="123" t="s">
        <v>312</v>
      </c>
      <c r="AC41" s="124"/>
      <c r="AD41" s="125"/>
      <c r="AE41" s="192" t="n">
        <f aca="false">IVA!AE24*0.9373*0.11</f>
        <v>1220457.120883</v>
      </c>
      <c r="AF41" s="192" t="n">
        <f aca="false">IVA!AF24*0.9373*0.11</f>
        <v>1102026.622697</v>
      </c>
      <c r="AG41" s="192" t="n">
        <f aca="false">IVA!AG24*0.9373*0.11</f>
        <v>1210244.356321</v>
      </c>
      <c r="AH41" s="192" t="n">
        <f aca="false">IVA!AH24*0.9373*0.11</f>
        <v>1193736.019476</v>
      </c>
      <c r="AI41" s="192" t="n">
        <f aca="false">IVA!AI24*0.9373*0.11</f>
        <v>1344699.122767</v>
      </c>
      <c r="AJ41" s="192" t="n">
        <f aca="false">IVA!AJ24*0.9373*0.11</f>
        <v>1265252.796808</v>
      </c>
      <c r="AK41" s="192" t="n">
        <f aca="false">IVA!AK24*0.9373*0.11</f>
        <v>1362419.332274</v>
      </c>
      <c r="AL41" s="192" t="n">
        <f aca="false">IVA!AL24*0.9373*0.11</f>
        <v>1398624.672445</v>
      </c>
      <c r="AM41" s="192" t="n">
        <f aca="false">IVA!AM24*0.9373*0.11</f>
        <v>1476696.016796</v>
      </c>
      <c r="AN41" s="192" t="n">
        <f aca="false">IVA!AN24*0.9373*0.11</f>
        <v>1346164.938118</v>
      </c>
      <c r="AO41" s="192" t="n">
        <f aca="false">IVA!AO24*0.9373*0.11</f>
        <v>1555617.342279</v>
      </c>
      <c r="AP41" s="192" t="n">
        <f aca="false">IVA!AP24*0.9373*0.11</f>
        <v>1426345.46054</v>
      </c>
      <c r="AQ41" s="128" t="n">
        <f aca="false">IVA!AE41+IVA!AF41+IVA!AG41</f>
        <v>3532728.099901</v>
      </c>
      <c r="AR41" s="128" t="n">
        <f aca="false">IVA!AH41+IVA!AI41+IVA!AJ41</f>
        <v>3803687.939051</v>
      </c>
      <c r="AS41" s="128" t="n">
        <f aca="false">IVA!AK41+IVA!AL41+IVA!AM41</f>
        <v>4237740.021515</v>
      </c>
      <c r="AT41" s="128" t="n">
        <f aca="false">IVA!AN41+IVA!AO41+IVA!AP41</f>
        <v>4328127.740937</v>
      </c>
      <c r="AU41" s="129" t="n">
        <f aca="false">IVA!AQ41+IVA!AR41+IVA!AS41+IVA!AT41</f>
        <v>15902283.801404</v>
      </c>
      <c r="AV41" s="130" t="n">
        <f aca="false">IVA!AQ41/IVA!CJ20</f>
        <v>0.00225361901778601</v>
      </c>
      <c r="AW41" s="130" t="n">
        <f aca="false">IVA!AR41/IVA!CK20</f>
        <v>0.00192472185281386</v>
      </c>
      <c r="AX41" s="130" t="n">
        <f aca="false">IVA!AS41/IVA!CL20</f>
        <v>0.00227177050053041</v>
      </c>
      <c r="AY41" s="130" t="n">
        <f aca="false">IVA!AT41/IVA!CM20</f>
        <v>0.002209479585133</v>
      </c>
      <c r="AZ41" s="271" t="n">
        <f aca="false">IVA!AU41/IVA!CN20</f>
        <v>0.00863305793210384</v>
      </c>
      <c r="BA41" s="266" t="n">
        <v>2011</v>
      </c>
      <c r="BB41" s="267" t="s">
        <v>313</v>
      </c>
      <c r="BC41" s="268"/>
      <c r="BD41" s="268"/>
      <c r="BE41" s="268"/>
      <c r="BF41" s="269" t="n">
        <f aca="false">0.64*IVA!AE75</f>
        <v>4519978.66666667</v>
      </c>
      <c r="BG41" s="269" t="n">
        <f aca="false">0.64*IVA!AF75</f>
        <v>4364399.78666667</v>
      </c>
      <c r="BH41" s="269" t="n">
        <f aca="false">0.64*IVA!AG75</f>
        <v>3790372.90666667</v>
      </c>
      <c r="BI41" s="269" t="n">
        <f aca="false">0.64*IVA!AH75</f>
        <v>4254003.62666667</v>
      </c>
      <c r="BJ41" s="269" t="n">
        <f aca="false">0.64*IVA!AI75</f>
        <v>8954889.38666667</v>
      </c>
      <c r="BK41" s="269" t="n">
        <f aca="false">0.64*IVA!AJ75</f>
        <v>8518384.42666667</v>
      </c>
      <c r="BL41" s="269" t="n">
        <f aca="false">0.64*IVA!AK75</f>
        <v>5519614.50666667</v>
      </c>
      <c r="BM41" s="269" t="n">
        <f aca="false">0.64*IVA!AL75</f>
        <v>5792137.38666667</v>
      </c>
      <c r="BN41" s="269" t="n">
        <f aca="false">0.64*IVA!AM75</f>
        <v>5513044.90666667</v>
      </c>
      <c r="BO41" s="269" t="n">
        <f aca="false">0.64*IVA!AN75</f>
        <v>5679614.50666667</v>
      </c>
      <c r="BP41" s="269" t="n">
        <f aca="false">0.64*IVA!AO75</f>
        <v>5853808.42666667</v>
      </c>
      <c r="BQ41" s="270" t="n">
        <f aca="false">0.64*IVA!AP75</f>
        <v>6371194.02666667</v>
      </c>
      <c r="BR41" s="175" t="n">
        <f aca="false">0.64*IVA!AQ75</f>
        <v>12674751.36</v>
      </c>
      <c r="BS41" s="175" t="n">
        <f aca="false">0.64*IVA!AR75</f>
        <v>12408776.32</v>
      </c>
      <c r="BT41" s="175" t="n">
        <f aca="false">0.64*IVA!AS75</f>
        <v>16999265.92</v>
      </c>
      <c r="BU41" s="176" t="n">
        <f aca="false">0.64*IVA!AT75</f>
        <v>21727277.44</v>
      </c>
      <c r="BV41" s="137" t="n">
        <f aca="false">0.64*IVA!AU75</f>
        <v>63810071.04</v>
      </c>
      <c r="BW41" s="138" t="n">
        <f aca="false">IVA!BR41/IVA!CJ20</f>
        <v>0.00808555312009595</v>
      </c>
      <c r="BX41" s="139" t="n">
        <f aca="false">IVA!BS41/IVA!CK20</f>
        <v>0.00627902270966579</v>
      </c>
      <c r="BY41" s="138" t="n">
        <f aca="false">IVA!BT41/IVA!CL20</f>
        <v>0.00911297782583694</v>
      </c>
      <c r="BZ41" s="138" t="n">
        <f aca="false">IVA!BU41/IVA!CM20</f>
        <v>0.0110916264069895</v>
      </c>
      <c r="CA41" s="273" t="n">
        <f aca="false">IVA!BV41/IVA!CN20</f>
        <v>0.0346413161040017</v>
      </c>
      <c r="CH41" s="13"/>
      <c r="CI41" s="53" t="n">
        <v>2007</v>
      </c>
      <c r="CJ41" s="286" t="n">
        <f aca="false">IVA!AV37+IVA!AV88+IVA!AV105+IVA!AV122+IVA!AV156+IVA!AV173+IVA!AV222+IVA!AV256</f>
        <v>0.0213666918512772</v>
      </c>
      <c r="CK41" s="286" t="n">
        <f aca="false">IVA!AW37+IVA!AW88+IVA!AW105+IVA!AW122+IVA!AW156+IVA!AW173+IVA!AW222+IVA!AW256</f>
        <v>0.0182282591197257</v>
      </c>
      <c r="CL41" s="286" t="n">
        <f aca="false">IVA!AX37+IVA!AX88+IVA!AX105+IVA!AX122+IVA!AX156+IVA!AX173+IVA!AX222+IVA!AX256</f>
        <v>0.0207010665399964</v>
      </c>
      <c r="CM41" s="287" t="n">
        <f aca="false">IVA!AY37+IVA!AY88+IVA!AY105+IVA!AY122+IVA!AY156+IVA!AY173+IVA!AY222+IVA!AY256</f>
        <v>0.0186786646146207</v>
      </c>
      <c r="CN41" s="288" t="n">
        <f aca="false">IVA!AZ37+IVA!AZ88+IVA!AZ105+IVA!AZ122+IVA!AZ156+IVA!AZ173+IVA!AZ222+IVA!AZ256</f>
        <v>0.0785649411817926</v>
      </c>
      <c r="CO41" s="63"/>
      <c r="CP41" s="63"/>
      <c r="CQ41" s="13"/>
      <c r="CS41" s="294" t="n">
        <v>2004</v>
      </c>
      <c r="CT41" s="295" t="s">
        <v>162</v>
      </c>
      <c r="CU41" s="291" t="n">
        <v>168737</v>
      </c>
      <c r="CV41" s="291" t="n">
        <v>98647.846</v>
      </c>
      <c r="CW41" s="291" t="n">
        <v>267384.846</v>
      </c>
      <c r="CX41" s="291" t="n">
        <v>0</v>
      </c>
      <c r="CY41" s="292" t="n">
        <v>16557900</v>
      </c>
      <c r="CZ41" s="291" t="n">
        <v>0</v>
      </c>
      <c r="DA41" s="291" t="n">
        <v>4651145</v>
      </c>
      <c r="DB41" s="291" t="n">
        <v>21476429.846</v>
      </c>
      <c r="DC41" s="291" t="n">
        <v>7298</v>
      </c>
      <c r="DD41" s="291" t="n">
        <v>0</v>
      </c>
      <c r="DE41" s="291" t="n">
        <v>0</v>
      </c>
      <c r="DF41" s="291" t="n">
        <v>7298</v>
      </c>
      <c r="DG41" s="291" t="n">
        <v>21483727.846</v>
      </c>
      <c r="DI41" s="99" t="n">
        <v>1995</v>
      </c>
      <c r="DJ41" s="99" t="s">
        <v>84</v>
      </c>
      <c r="DK41" s="147" t="n">
        <v>16097737</v>
      </c>
      <c r="DL41" s="148"/>
      <c r="DY41" s="215" t="s">
        <v>403</v>
      </c>
      <c r="EA41" s="195"/>
      <c r="EB41" s="230" t="n">
        <v>12200000</v>
      </c>
      <c r="EC41" s="230" t="n">
        <v>-171358</v>
      </c>
      <c r="ED41" s="230" t="n">
        <v>12028642</v>
      </c>
      <c r="EE41" s="230" t="n">
        <v>9869602.82</v>
      </c>
      <c r="EF41" s="230" t="n">
        <v>9867589.4</v>
      </c>
      <c r="EG41" s="231" t="n">
        <v>9195152.56</v>
      </c>
      <c r="EH41" s="232" t="n">
        <f aca="false">IVA!EF41-IVA!EG41</f>
        <v>672436.84</v>
      </c>
      <c r="EJ41" s="31" t="n">
        <v>1989</v>
      </c>
      <c r="EK41" s="32" t="n">
        <v>3535.199</v>
      </c>
      <c r="EL41" s="33" t="n">
        <v>2845.957</v>
      </c>
      <c r="EM41" s="122" t="s">
        <v>208</v>
      </c>
      <c r="EN41" s="34" t="n">
        <f aca="false">IVA!EO19/IVA!EK57/1000</f>
        <v>0.517377883842438</v>
      </c>
      <c r="EO41" s="34" t="n">
        <f aca="false">IVA!EO19/IVA!EL56/1000</f>
        <v>0.611400672200438</v>
      </c>
      <c r="ET41" s="181" t="n">
        <v>2000</v>
      </c>
      <c r="EU41" s="122" t="s">
        <v>399</v>
      </c>
      <c r="EV41" s="122" t="s">
        <v>404</v>
      </c>
      <c r="EW41" s="122" t="s">
        <v>405</v>
      </c>
      <c r="EX41" s="122" t="s">
        <v>406</v>
      </c>
    </row>
    <row r="42" customFormat="false" ht="12.75" hidden="false" customHeight="true" outlineLevel="0" collapsed="false">
      <c r="AA42" s="245" t="n">
        <v>2012</v>
      </c>
      <c r="AB42" s="245" t="s">
        <v>312</v>
      </c>
      <c r="AC42" s="246"/>
      <c r="AD42" s="247"/>
      <c r="AE42" s="248" t="n">
        <f aca="false">IVA!AE25*0.9373*0.11</f>
        <v>1560280.12420768</v>
      </c>
      <c r="AF42" s="248" t="n">
        <f aca="false">IVA!AF25*0.9373*0.11</f>
        <v>1415721.12875759</v>
      </c>
      <c r="AG42" s="248" t="n">
        <f aca="false">IVA!AG25*0.9373*0.11</f>
        <v>1417233.0435735</v>
      </c>
      <c r="AH42" s="248" t="n">
        <f aca="false">IVA!AH25*0.9373*0.11</f>
        <v>1432738.92966692</v>
      </c>
      <c r="AI42" s="248" t="n">
        <f aca="false">IVA!AI25*0.9373*0.11</f>
        <v>1628971.21395313</v>
      </c>
      <c r="AJ42" s="248" t="n">
        <f aca="false">IVA!AJ25*0.9373*0.11</f>
        <v>1586889.95388463</v>
      </c>
      <c r="AK42" s="248" t="n">
        <f aca="false">IVA!AK25*0.9373*0.11</f>
        <v>1602199.103969</v>
      </c>
      <c r="AL42" s="248" t="n">
        <f aca="false">IVA!AL25*0.9373*0.11</f>
        <v>1743509.40145143</v>
      </c>
      <c r="AM42" s="248" t="n">
        <f aca="false">IVA!AM25*0.9373*0.11</f>
        <v>1730837.09271296</v>
      </c>
      <c r="AN42" s="248" t="n">
        <f aca="false">IVA!AN25*0.9373*0.11</f>
        <v>1810206.89738533</v>
      </c>
      <c r="AO42" s="248" t="n">
        <f aca="false">IVA!AO25*0.9373*0.11</f>
        <v>1836956.22496864</v>
      </c>
      <c r="AP42" s="248" t="n">
        <f aca="false">IVA!AP25*0.9373*0.11</f>
        <v>1875211.37519796</v>
      </c>
      <c r="AQ42" s="249" t="n">
        <f aca="false">IVA!AE42+IVA!AF42+IVA!AG42</f>
        <v>4393234.29653877</v>
      </c>
      <c r="AR42" s="249" t="n">
        <f aca="false">IVA!AH42+IVA!AI42+IVA!AJ42</f>
        <v>4648600.09750467</v>
      </c>
      <c r="AS42" s="249" t="n">
        <f aca="false">IVA!AK42+IVA!AL42+IVA!AM42</f>
        <v>5076545.59813339</v>
      </c>
      <c r="AT42" s="249" t="n">
        <f aca="false">IVA!AN42+IVA!AO42+IVA!AP42</f>
        <v>5522374.49755193</v>
      </c>
      <c r="AU42" s="250" t="n">
        <f aca="false">IVA!AQ42+IVA!AR42+IVA!AS42+IVA!AT42</f>
        <v>19640754.4897288</v>
      </c>
      <c r="AV42" s="252" t="n">
        <f aca="false">IVA!AQ42/IVA!CJ21</f>
        <v>0.00234313952032405</v>
      </c>
      <c r="AW42" s="252" t="n">
        <f aca="false">IVA!AR42/IVA!CK21</f>
        <v>0.00204499315296419</v>
      </c>
      <c r="AX42" s="252" t="n">
        <f aca="false">IVA!AS42/IVA!CL21</f>
        <v>0.00232558694617016</v>
      </c>
      <c r="AY42" s="252" t="n">
        <f aca="false">IVA!AT42/IVA!CM21</f>
        <v>0.0023742167553817</v>
      </c>
      <c r="AZ42" s="296" t="n">
        <f aca="false">IVA!AU42/IVA!CN21</f>
        <v>0.00907510311481517</v>
      </c>
      <c r="BA42" s="297" t="n">
        <v>2012</v>
      </c>
      <c r="BB42" s="298" t="s">
        <v>313</v>
      </c>
      <c r="BC42" s="299"/>
      <c r="BD42" s="299"/>
      <c r="BE42" s="300"/>
      <c r="BF42" s="301" t="n">
        <f aca="false">0.64*IVA!AE76</f>
        <v>6050211.29609387</v>
      </c>
      <c r="BG42" s="301" t="n">
        <f aca="false">0.64*IVA!AF76</f>
        <v>5631576.26829867</v>
      </c>
      <c r="BH42" s="301" t="n">
        <f aca="false">0.64*IVA!AG76</f>
        <v>4942821.14703147</v>
      </c>
      <c r="BI42" s="301" t="n">
        <f aca="false">0.64*IVA!AH76</f>
        <v>4748400.81642027</v>
      </c>
      <c r="BJ42" s="301" t="n">
        <f aca="false">0.64*IVA!AI76</f>
        <v>9494416.51096747</v>
      </c>
      <c r="BK42" s="301" t="n">
        <f aca="false">0.64*IVA!AJ76</f>
        <v>10231177.6286571</v>
      </c>
      <c r="BL42" s="301" t="n">
        <f aca="false">0.64*IVA!AK76</f>
        <v>7000206.61644587</v>
      </c>
      <c r="BM42" s="301" t="n">
        <f aca="false">0.64*IVA!AL76</f>
        <v>7805435.91252907</v>
      </c>
      <c r="BN42" s="301" t="n">
        <f aca="false">0.64*IVA!AM76</f>
        <v>6901708.91373867</v>
      </c>
      <c r="BO42" s="301" t="n">
        <f aca="false">0.64*IVA!AN76</f>
        <v>7962562.64692907</v>
      </c>
      <c r="BP42" s="301" t="n">
        <f aca="false">0.64*IVA!AO76</f>
        <v>8787067.82842027</v>
      </c>
      <c r="BQ42" s="302" t="n">
        <f aca="false">0.64*IVA!AP76</f>
        <v>8674559.08228907</v>
      </c>
      <c r="BR42" s="259" t="n">
        <f aca="false">0.64*IVA!AQ76</f>
        <v>16624608.711424</v>
      </c>
      <c r="BS42" s="259" t="n">
        <f aca="false">0.64*IVA!AR76</f>
        <v>15322798.2317504</v>
      </c>
      <c r="BT42" s="259" t="n">
        <f aca="false">0.64*IVA!AS76</f>
        <v>19185638.4744192</v>
      </c>
      <c r="BU42" s="260" t="n">
        <f aca="false">0.64*IVA!AT76</f>
        <v>24473994.9560448</v>
      </c>
      <c r="BV42" s="261" t="n">
        <f aca="false">0.64*IVA!AU76</f>
        <v>75607040.3736384</v>
      </c>
      <c r="BW42" s="264" t="n">
        <f aca="false">IVA!BR42/IVA!CJ21</f>
        <v>0.0088667653606253</v>
      </c>
      <c r="BX42" s="263" t="n">
        <f aca="false">IVA!BS42/IVA!CK21</f>
        <v>0.00674074276361216</v>
      </c>
      <c r="BY42" s="264" t="n">
        <f aca="false">IVA!BT42/IVA!CL21</f>
        <v>0.00878902189048689</v>
      </c>
      <c r="BZ42" s="264" t="n">
        <f aca="false">IVA!BU42/IVA!CM21</f>
        <v>0.0105220261540624</v>
      </c>
      <c r="CA42" s="303" t="n">
        <f aca="false">IVA!BV42/IVA!CN21</f>
        <v>0.0349345890940994</v>
      </c>
      <c r="CH42" s="13"/>
      <c r="CI42" s="53" t="n">
        <v>2008</v>
      </c>
      <c r="CJ42" s="286" t="n">
        <f aca="false">IVA!AV38+IVA!AV89+IVA!AV106+IVA!AV123+IVA!AV157+IVA!AV174+IVA!AV223+IVA!AV257</f>
        <v>0.022073912631486</v>
      </c>
      <c r="CK42" s="286" t="n">
        <f aca="false">IVA!AW38+IVA!AW89+IVA!AW106+IVA!AW123+IVA!AW157+IVA!AW174+IVA!AW223+IVA!AW257</f>
        <v>0.0190581573797424</v>
      </c>
      <c r="CL42" s="286" t="n">
        <f aca="false">IVA!AX38+IVA!AX89+IVA!AX106+IVA!AX123+IVA!AX157+IVA!AX174+IVA!AX223+IVA!AX257</f>
        <v>0.0224280976714074</v>
      </c>
      <c r="CM42" s="287" t="n">
        <f aca="false">IVA!AY38+IVA!AY89+IVA!AY106+IVA!AY123+IVA!AY157+IVA!AY174+IVA!AY223+IVA!AY257</f>
        <v>0.0213213971803487</v>
      </c>
      <c r="CN42" s="288" t="n">
        <f aca="false">IVA!AZ38+IVA!AZ89+IVA!AZ106+IVA!AZ123+IVA!AZ157+IVA!AZ174+IVA!AZ223+IVA!AZ257</f>
        <v>0.0846376523552961</v>
      </c>
      <c r="CO42" s="63"/>
      <c r="CP42" s="63"/>
      <c r="CQ42" s="13"/>
      <c r="CS42" s="294" t="n">
        <v>2003</v>
      </c>
      <c r="CT42" s="295" t="s">
        <v>162</v>
      </c>
      <c r="CU42" s="291" t="n">
        <v>166295</v>
      </c>
      <c r="CV42" s="291" t="n">
        <v>87757.754</v>
      </c>
      <c r="CW42" s="291" t="n">
        <v>254052.754</v>
      </c>
      <c r="CX42" s="291" t="n">
        <v>0</v>
      </c>
      <c r="CY42" s="292" t="n">
        <v>14688888.577</v>
      </c>
      <c r="CZ42" s="291" t="n">
        <v>179.82</v>
      </c>
      <c r="DA42" s="291" t="n">
        <v>6508966.082</v>
      </c>
      <c r="DB42" s="291" t="n">
        <v>21452087.233</v>
      </c>
      <c r="DC42" s="291" t="n">
        <v>5195.799</v>
      </c>
      <c r="DD42" s="291" t="n">
        <v>0</v>
      </c>
      <c r="DE42" s="291" t="n">
        <v>0</v>
      </c>
      <c r="DF42" s="291" t="n">
        <v>5195.799</v>
      </c>
      <c r="DG42" s="291" t="n">
        <v>21457283.032</v>
      </c>
      <c r="DI42" s="115"/>
      <c r="DJ42" s="116" t="s">
        <v>102</v>
      </c>
      <c r="DK42" s="166" t="n">
        <v>15920757</v>
      </c>
      <c r="DL42" s="148"/>
      <c r="DY42" s="222" t="s">
        <v>407</v>
      </c>
      <c r="DZ42" s="223"/>
      <c r="EA42" s="206"/>
      <c r="EB42" s="236" t="n">
        <v>19872115326</v>
      </c>
      <c r="EC42" s="236" t="n">
        <v>216696342</v>
      </c>
      <c r="ED42" s="236" t="n">
        <v>20088811668</v>
      </c>
      <c r="EE42" s="236" t="n">
        <v>19010068440.59</v>
      </c>
      <c r="EF42" s="236" t="n">
        <v>18979209735.5</v>
      </c>
      <c r="EG42" s="237" t="n">
        <v>17318797956.15</v>
      </c>
      <c r="EH42" s="238" t="n">
        <f aca="false">IVA!EF42-IVA!EG42</f>
        <v>1660411779.35</v>
      </c>
      <c r="EJ42" s="31" t="n">
        <v>1990</v>
      </c>
      <c r="EK42" s="32" t="n">
        <v>4081.851</v>
      </c>
      <c r="EL42" s="33" t="n">
        <v>3383.533</v>
      </c>
      <c r="EM42" s="122" t="s">
        <v>224</v>
      </c>
      <c r="EN42" s="34" t="n">
        <f aca="false">IVA!EO20/IVA!EK58/1000</f>
        <v>0.505714663471964</v>
      </c>
      <c r="EO42" s="34" t="n">
        <f aca="false">IVA!EO20/IVA!EL57/1000</f>
        <v>0.601163932130258</v>
      </c>
      <c r="ET42" s="181" t="n">
        <v>2001</v>
      </c>
      <c r="EU42" s="122" t="s">
        <v>408</v>
      </c>
      <c r="EV42" s="122" t="s">
        <v>409</v>
      </c>
      <c r="EW42" s="122" t="s">
        <v>410</v>
      </c>
      <c r="EX42" s="122" t="s">
        <v>411</v>
      </c>
    </row>
    <row r="43" customFormat="false" ht="12.75" hidden="false" customHeight="true" outlineLevel="0" collapsed="false">
      <c r="AA43" s="304" t="n">
        <v>1996</v>
      </c>
      <c r="AB43" s="304" t="s">
        <v>412</v>
      </c>
      <c r="AC43" s="305"/>
      <c r="AD43" s="306"/>
      <c r="AE43" s="307" t="n">
        <v>527247</v>
      </c>
      <c r="AF43" s="307" t="n">
        <v>578197</v>
      </c>
      <c r="AG43" s="307" t="n">
        <v>485758</v>
      </c>
      <c r="AH43" s="307" t="n">
        <v>476983</v>
      </c>
      <c r="AI43" s="307" t="n">
        <v>689747</v>
      </c>
      <c r="AJ43" s="307" t="n">
        <v>736696</v>
      </c>
      <c r="AK43" s="307" t="n">
        <v>557857</v>
      </c>
      <c r="AL43" s="307" t="n">
        <v>513405</v>
      </c>
      <c r="AM43" s="307" t="n">
        <v>484229</v>
      </c>
      <c r="AN43" s="307" t="n">
        <v>522377</v>
      </c>
      <c r="AO43" s="307" t="n">
        <v>674229</v>
      </c>
      <c r="AP43" s="307" t="n">
        <v>554901</v>
      </c>
      <c r="AQ43" s="128" t="n">
        <f aca="false">IVA!AE43+IVA!AF43+IVA!AG43</f>
        <v>1591202</v>
      </c>
      <c r="AR43" s="128" t="n">
        <f aca="false">IVA!AH43+IVA!AI43+IVA!AJ43</f>
        <v>1903426</v>
      </c>
      <c r="AS43" s="128" t="n">
        <f aca="false">IVA!AK43+IVA!AL43+IVA!AM43</f>
        <v>1555491</v>
      </c>
      <c r="AT43" s="128" t="n">
        <f aca="false">IVA!AN43+IVA!AO43+IVA!AP43</f>
        <v>1751507</v>
      </c>
      <c r="AU43" s="129" t="n">
        <f aca="false">IVA!AQ43+IVA!AR43+IVA!AS43+IVA!AT43</f>
        <v>6801626</v>
      </c>
      <c r="AV43" s="130"/>
      <c r="AW43" s="130"/>
      <c r="AX43" s="130"/>
      <c r="AY43" s="130"/>
      <c r="AZ43" s="271"/>
      <c r="BA43" s="266" t="n">
        <v>1996</v>
      </c>
      <c r="BB43" s="308" t="s">
        <v>413</v>
      </c>
      <c r="BC43" s="309"/>
      <c r="BD43" s="309"/>
      <c r="BE43" s="309"/>
      <c r="BF43" s="310" t="n">
        <v>89804</v>
      </c>
      <c r="BG43" s="310" t="n">
        <v>150337</v>
      </c>
      <c r="BH43" s="310" t="n">
        <v>106805</v>
      </c>
      <c r="BI43" s="310" t="n">
        <v>115774</v>
      </c>
      <c r="BJ43" s="310" t="n">
        <v>105397</v>
      </c>
      <c r="BK43" s="310" t="n">
        <v>106242</v>
      </c>
      <c r="BL43" s="310" t="n">
        <v>106951</v>
      </c>
      <c r="BM43" s="310" t="n">
        <v>106047</v>
      </c>
      <c r="BN43" s="310" t="n">
        <v>110302</v>
      </c>
      <c r="BO43" s="310" t="n">
        <v>96824</v>
      </c>
      <c r="BP43" s="310" t="n">
        <v>94153</v>
      </c>
      <c r="BQ43" s="311" t="n">
        <v>155076</v>
      </c>
      <c r="BR43" s="175" t="n">
        <f aca="false">IVA!BF43+IVA!BG43+IVA!BH43</f>
        <v>346946</v>
      </c>
      <c r="BS43" s="175" t="n">
        <f aca="false">IVA!BI43+IVA!BJ43+IVA!BK43</f>
        <v>327413</v>
      </c>
      <c r="BT43" s="175" t="n">
        <f aca="false">IVA!BL43+IVA!BM43+IVA!BN43</f>
        <v>323300</v>
      </c>
      <c r="BU43" s="176" t="n">
        <f aca="false">IVA!BO43+IVA!BP43+IVA!BQ43</f>
        <v>346053</v>
      </c>
      <c r="BV43" s="137" t="n">
        <f aca="false">IVA!BR43+IVA!BS43+IVA!BT43+IVA!BU43</f>
        <v>1343712</v>
      </c>
      <c r="BW43" s="138"/>
      <c r="BX43" s="139"/>
      <c r="BY43" s="138"/>
      <c r="BZ43" s="138"/>
      <c r="CA43" s="273"/>
      <c r="CH43" s="13"/>
      <c r="CI43" s="53" t="n">
        <v>2009</v>
      </c>
      <c r="CJ43" s="286" t="n">
        <f aca="false">IVA!AV39+IVA!AV90+IVA!AV107+IVA!AV124+IVA!AV158+IVA!AV175+IVA!AV224+IVA!AV258</f>
        <v>0.0247298392150505</v>
      </c>
      <c r="CK43" s="286" t="n">
        <f aca="false">IVA!AW39+IVA!AW90+IVA!AW107+IVA!AW124+IVA!AW158+IVA!AW175+IVA!AW224+IVA!AW258</f>
        <v>0.0203538544885528</v>
      </c>
      <c r="CL43" s="286" t="n">
        <f aca="false">IVA!AX39+IVA!AX90+IVA!AX107+IVA!AX124+IVA!AX158+IVA!AX175+IVA!AX224+IVA!AX258</f>
        <v>0.023519743564838</v>
      </c>
      <c r="CM43" s="287" t="n">
        <f aca="false">IVA!AY39+IVA!AY90+IVA!AY107+IVA!AY124+IVA!AY158+IVA!AY175+IVA!AY224+IVA!AY258</f>
        <v>0.0221246275249305</v>
      </c>
      <c r="CN43" s="288" t="n">
        <f aca="false">IVA!AZ39+IVA!AZ90+IVA!AZ107+IVA!AZ124+IVA!AZ158+IVA!AZ175+IVA!AZ224+IVA!AZ258</f>
        <v>0.0903324850973908</v>
      </c>
      <c r="CO43" s="63"/>
      <c r="CP43" s="63"/>
      <c r="CQ43" s="13"/>
      <c r="CS43" s="294" t="n">
        <v>2002</v>
      </c>
      <c r="CT43" s="295" t="s">
        <v>162</v>
      </c>
      <c r="CU43" s="291" t="n">
        <v>156080.02</v>
      </c>
      <c r="CV43" s="291" t="n">
        <v>54028.633</v>
      </c>
      <c r="CW43" s="291" t="n">
        <v>210108.653</v>
      </c>
      <c r="CX43" s="291" t="n">
        <v>0</v>
      </c>
      <c r="CY43" s="292" t="n">
        <v>14410700</v>
      </c>
      <c r="CZ43" s="291" t="n">
        <v>183.368</v>
      </c>
      <c r="DA43" s="291" t="n">
        <v>5488638</v>
      </c>
      <c r="DB43" s="291" t="n">
        <v>20109630.021</v>
      </c>
      <c r="DC43" s="291" t="n">
        <v>5201</v>
      </c>
      <c r="DD43" s="291" t="n">
        <v>0</v>
      </c>
      <c r="DE43" s="291" t="n">
        <v>0</v>
      </c>
      <c r="DF43" s="291" t="n">
        <v>5201</v>
      </c>
      <c r="DG43" s="291" t="n">
        <v>20114831.021</v>
      </c>
      <c r="DH43" s="312" t="n">
        <v>20684.8</v>
      </c>
      <c r="DI43" s="99" t="n">
        <v>1994</v>
      </c>
      <c r="DJ43" s="99" t="s">
        <v>84</v>
      </c>
      <c r="DK43" s="147" t="n">
        <v>16717534</v>
      </c>
      <c r="DL43" s="148"/>
      <c r="DY43" s="177" t="s">
        <v>163</v>
      </c>
      <c r="DZ43" s="45"/>
      <c r="EA43" s="210" t="n">
        <v>2000</v>
      </c>
      <c r="EB43" s="227" t="n">
        <v>20107855216</v>
      </c>
      <c r="EC43" s="227" t="n">
        <v>392467099</v>
      </c>
      <c r="ED43" s="227" t="n">
        <v>20500322315</v>
      </c>
      <c r="EE43" s="227" t="n">
        <v>19452389658.36</v>
      </c>
      <c r="EF43" s="227" t="n">
        <v>19369109451.61</v>
      </c>
      <c r="EG43" s="228" t="n">
        <v>17965259998.19</v>
      </c>
      <c r="EH43" s="229" t="n">
        <f aca="false">IVA!EF43-IVA!EG43</f>
        <v>1403849453.42</v>
      </c>
      <c r="EJ43" s="31" t="n">
        <v>1991</v>
      </c>
      <c r="EK43" s="32" t="n">
        <v>4195.379</v>
      </c>
      <c r="EL43" s="33" t="n">
        <v>3493.064</v>
      </c>
      <c r="EM43" s="122" t="s">
        <v>240</v>
      </c>
      <c r="EN43" s="34" t="n">
        <f aca="false">IVA!EO21/IVA!EK59/1000</f>
        <v>0.569463860929437</v>
      </c>
      <c r="EO43" s="34" t="n">
        <f aca="false">IVA!EO21/IVA!EL58/1000</f>
        <v>0.675955004643829</v>
      </c>
      <c r="ET43" s="181" t="n">
        <v>2002</v>
      </c>
      <c r="EU43" s="122" t="s">
        <v>414</v>
      </c>
      <c r="EV43" s="122" t="s">
        <v>415</v>
      </c>
      <c r="EW43" s="122" t="s">
        <v>416</v>
      </c>
      <c r="EX43" s="122" t="s">
        <v>390</v>
      </c>
    </row>
    <row r="44" customFormat="false" ht="12.75" hidden="false" customHeight="true" outlineLevel="0" collapsed="false">
      <c r="AA44" s="304" t="n">
        <v>1997</v>
      </c>
      <c r="AB44" s="304" t="s">
        <v>412</v>
      </c>
      <c r="AC44" s="305"/>
      <c r="AD44" s="306"/>
      <c r="AE44" s="307" t="n">
        <v>631743</v>
      </c>
      <c r="AF44" s="307" t="n">
        <v>532715</v>
      </c>
      <c r="AG44" s="307" t="n">
        <v>527816</v>
      </c>
      <c r="AH44" s="307" t="n">
        <v>747628</v>
      </c>
      <c r="AI44" s="307" t="n">
        <v>1288791</v>
      </c>
      <c r="AJ44" s="307" t="n">
        <v>662721</v>
      </c>
      <c r="AK44" s="307" t="n">
        <v>592974</v>
      </c>
      <c r="AL44" s="307" t="n">
        <v>668983</v>
      </c>
      <c r="AM44" s="307" t="n">
        <v>574901</v>
      </c>
      <c r="AN44" s="307" t="n">
        <v>696076</v>
      </c>
      <c r="AO44" s="307" t="n">
        <v>766425</v>
      </c>
      <c r="AP44" s="307" t="n">
        <v>643007</v>
      </c>
      <c r="AQ44" s="128" t="n">
        <f aca="false">IVA!AE44+IVA!AF44+IVA!AG44</f>
        <v>1692274</v>
      </c>
      <c r="AR44" s="128" t="n">
        <f aca="false">IVA!AH44+IVA!AI44+IVA!AJ44</f>
        <v>2699140</v>
      </c>
      <c r="AS44" s="128" t="n">
        <f aca="false">IVA!AK44+IVA!AL44+IVA!AM44</f>
        <v>1836858</v>
      </c>
      <c r="AT44" s="128" t="n">
        <f aca="false">IVA!AN44+IVA!AO44+IVA!AP44</f>
        <v>2105508</v>
      </c>
      <c r="AU44" s="129" t="n">
        <f aca="false">IVA!AQ44+IVA!AR44+IVA!AS44+IVA!AT44</f>
        <v>8333780</v>
      </c>
      <c r="AV44" s="130" t="n">
        <f aca="false">IVA!AQ44/IVA!CJ6</f>
        <v>0.00623856816338568</v>
      </c>
      <c r="AW44" s="130" t="n">
        <f aca="false">IVA!AR44/IVA!CK6</f>
        <v>0.0090009575770431</v>
      </c>
      <c r="AX44" s="130" t="n">
        <f aca="false">IVA!AS44/IVA!CL6</f>
        <v>0.00615847669788219</v>
      </c>
      <c r="AY44" s="130" t="n">
        <f aca="false">IVA!AT44/IVA!CM6</f>
        <v>0.00697101466392395</v>
      </c>
      <c r="AZ44" s="271" t="n">
        <f aca="false">IVA!AU44/IVA!CN6</f>
        <v>0.0284566412191163</v>
      </c>
      <c r="BA44" s="266" t="n">
        <v>1997</v>
      </c>
      <c r="BB44" s="308" t="s">
        <v>413</v>
      </c>
      <c r="BC44" s="309"/>
      <c r="BD44" s="309"/>
      <c r="BE44" s="309"/>
      <c r="BF44" s="310" t="n">
        <v>106286</v>
      </c>
      <c r="BG44" s="310" t="n">
        <v>113818</v>
      </c>
      <c r="BH44" s="310" t="n">
        <v>133692</v>
      </c>
      <c r="BI44" s="310" t="n">
        <v>90523</v>
      </c>
      <c r="BJ44" s="310" t="n">
        <v>109610</v>
      </c>
      <c r="BK44" s="310" t="n">
        <v>113083</v>
      </c>
      <c r="BL44" s="310" t="n">
        <v>93830</v>
      </c>
      <c r="BM44" s="310" t="n">
        <v>106584</v>
      </c>
      <c r="BN44" s="310" t="n">
        <v>116438</v>
      </c>
      <c r="BO44" s="310" t="n">
        <v>102912</v>
      </c>
      <c r="BP44" s="310" t="n">
        <v>117608</v>
      </c>
      <c r="BQ44" s="311" t="n">
        <v>113862</v>
      </c>
      <c r="BR44" s="175" t="n">
        <f aca="false">IVA!BF44+IVA!BG44+IVA!BH44</f>
        <v>353796</v>
      </c>
      <c r="BS44" s="175" t="n">
        <f aca="false">IVA!BI44+IVA!BJ44+IVA!BK44</f>
        <v>313216</v>
      </c>
      <c r="BT44" s="175" t="n">
        <f aca="false">IVA!BL44+IVA!BM44+IVA!BN44</f>
        <v>316852</v>
      </c>
      <c r="BU44" s="176" t="n">
        <f aca="false">IVA!BO44+IVA!BP44+IVA!BQ44</f>
        <v>334382</v>
      </c>
      <c r="BV44" s="137" t="n">
        <f aca="false">IVA!BR44+IVA!BS44+IVA!BT44+IVA!BU44</f>
        <v>1318246</v>
      </c>
      <c r="BW44" s="138" t="n">
        <f aca="false">IVA!BR44/IVA!CJ6</f>
        <v>0.00130426896704269</v>
      </c>
      <c r="BX44" s="139" t="n">
        <f aca="false">IVA!BS44/IVA!CK6</f>
        <v>0.00104449710961682</v>
      </c>
      <c r="BY44" s="138" t="n">
        <f aca="false">IVA!BT44/IVA!CL6</f>
        <v>0.00106231709728099</v>
      </c>
      <c r="BZ44" s="138" t="n">
        <f aca="false">IVA!BU44/IVA!CM6</f>
        <v>0.00110708761275294</v>
      </c>
      <c r="CA44" s="273" t="n">
        <f aca="false">IVA!BV44/IVA!CN6</f>
        <v>0.00450130114552282</v>
      </c>
      <c r="CH44" s="13"/>
      <c r="CI44" s="53" t="n">
        <v>2010</v>
      </c>
      <c r="CJ44" s="286" t="n">
        <f aca="false">IVA!AV40+IVA!AV91+IVA!AV108+IVA!AV125+IVA!AV159+IVA!AV176+IVA!AV225+IVA!AV259+IVA!AV196</f>
        <v>0.0252644342152104</v>
      </c>
      <c r="CK44" s="286" t="n">
        <f aca="false">IVA!AW40+IVA!AW91+IVA!AW108+IVA!AW125+IVA!AW159+IVA!AW176+IVA!AW225+IVA!AW259+IVA!AW196</f>
        <v>0.0220589555368894</v>
      </c>
      <c r="CL44" s="286" t="n">
        <f aca="false">IVA!AX40+IVA!AX91+IVA!AX108+IVA!AX125+IVA!AX159+IVA!AX176+IVA!AX225+IVA!AX259+IVA!AX196</f>
        <v>0.025036916225563</v>
      </c>
      <c r="CM44" s="287" t="n">
        <f aca="false">IVA!AY40+IVA!AY91+IVA!AY108+IVA!AY125+IVA!AY159+IVA!AY176+IVA!AY225+IVA!AY259+IVA!AY196</f>
        <v>0.0234934222812483</v>
      </c>
      <c r="CN44" s="288" t="n">
        <f aca="false">IVA!AZ40+IVA!AZ91+IVA!AZ108+IVA!AZ125+IVA!AZ159+IVA!AZ176+IVA!AZ225+IVA!AZ259+IVA!AZ196</f>
        <v>0.0955367487567847</v>
      </c>
      <c r="CO44" s="63"/>
      <c r="CP44" s="63"/>
      <c r="CQ44" s="13"/>
      <c r="CS44" s="294" t="n">
        <v>2001</v>
      </c>
      <c r="CT44" s="295" t="s">
        <v>162</v>
      </c>
      <c r="CU44" s="291" t="n">
        <v>131687</v>
      </c>
      <c r="CV44" s="291" t="n">
        <v>84136.791</v>
      </c>
      <c r="CW44" s="291" t="n">
        <v>215823.791</v>
      </c>
      <c r="CX44" s="291" t="n">
        <v>19.415</v>
      </c>
      <c r="CY44" s="292" t="n">
        <v>14475111.068</v>
      </c>
      <c r="CZ44" s="291" t="n">
        <v>269.455</v>
      </c>
      <c r="DA44" s="291" t="n">
        <v>5089755.071</v>
      </c>
      <c r="DB44" s="291" t="n">
        <v>19780978.8</v>
      </c>
      <c r="DC44" s="291" t="n">
        <v>10838</v>
      </c>
      <c r="DD44" s="291" t="n">
        <v>0</v>
      </c>
      <c r="DE44" s="291" t="n">
        <v>0</v>
      </c>
      <c r="DF44" s="291" t="n">
        <v>10838</v>
      </c>
      <c r="DG44" s="291" t="n">
        <v>19791816.8</v>
      </c>
      <c r="DH44" s="312" t="n">
        <v>18230.2</v>
      </c>
      <c r="DI44" s="115"/>
      <c r="DJ44" s="116" t="s">
        <v>102</v>
      </c>
      <c r="DK44" s="166" t="n">
        <v>16577814</v>
      </c>
      <c r="DL44" s="148"/>
      <c r="DY44" s="215" t="s">
        <v>417</v>
      </c>
      <c r="EA44" s="179"/>
      <c r="EB44" s="230" t="n">
        <v>265856537</v>
      </c>
      <c r="EC44" s="230" t="n">
        <v>10467099</v>
      </c>
      <c r="ED44" s="230" t="n">
        <v>276323636</v>
      </c>
      <c r="EE44" s="230" t="n">
        <v>265262802.23</v>
      </c>
      <c r="EF44" s="230" t="n">
        <v>235541964.65</v>
      </c>
      <c r="EG44" s="231" t="n">
        <v>228170907.5</v>
      </c>
      <c r="EH44" s="232" t="n">
        <f aca="false">IVA!EF44-IVA!EG44</f>
        <v>7371057.15000001</v>
      </c>
      <c r="EJ44" s="31" t="n">
        <v>1992</v>
      </c>
      <c r="EK44" s="32" t="n">
        <v>4305.372</v>
      </c>
      <c r="EL44" s="33" t="n">
        <v>3600.198</v>
      </c>
      <c r="EM44" s="122" t="s">
        <v>255</v>
      </c>
      <c r="EN44" s="34" t="n">
        <f aca="false">IVA!EO22/IVA!EK60/1000</f>
        <v>0.691795227518429</v>
      </c>
      <c r="EO44" s="34" t="n">
        <f aca="false">IVA!EO22/IVA!EL59/1000</f>
        <v>0.820483580834811</v>
      </c>
      <c r="ET44" s="181" t="n">
        <v>2003</v>
      </c>
      <c r="EU44" s="122" t="s">
        <v>418</v>
      </c>
      <c r="EV44" s="122" t="s">
        <v>419</v>
      </c>
      <c r="EW44" s="122" t="s">
        <v>420</v>
      </c>
      <c r="EX44" s="122" t="s">
        <v>421</v>
      </c>
    </row>
    <row r="45" customFormat="false" ht="12.75" hidden="false" customHeight="true" outlineLevel="0" collapsed="false">
      <c r="AA45" s="304" t="n">
        <v>1998</v>
      </c>
      <c r="AB45" s="304" t="s">
        <v>412</v>
      </c>
      <c r="AC45" s="313"/>
      <c r="AD45" s="314"/>
      <c r="AE45" s="315" t="n">
        <v>652583</v>
      </c>
      <c r="AF45" s="315" t="n">
        <v>689226</v>
      </c>
      <c r="AG45" s="315" t="n">
        <v>584178</v>
      </c>
      <c r="AH45" s="315" t="n">
        <v>758066</v>
      </c>
      <c r="AI45" s="315" t="n">
        <v>1388415</v>
      </c>
      <c r="AJ45" s="315" t="n">
        <v>1012287</v>
      </c>
      <c r="AK45" s="315" t="n">
        <v>705490</v>
      </c>
      <c r="AL45" s="315" t="n">
        <v>786417</v>
      </c>
      <c r="AM45" s="315" t="n">
        <v>577443</v>
      </c>
      <c r="AN45" s="315" t="n">
        <v>675355</v>
      </c>
      <c r="AO45" s="315" t="n">
        <v>699981</v>
      </c>
      <c r="AP45" s="315" t="n">
        <v>950445</v>
      </c>
      <c r="AQ45" s="155" t="n">
        <f aca="false">IVA!AE45+IVA!AF45+IVA!AG45</f>
        <v>1925987</v>
      </c>
      <c r="AR45" s="155" t="n">
        <f aca="false">IVA!AH45+IVA!AI45+IVA!AJ45</f>
        <v>3158768</v>
      </c>
      <c r="AS45" s="155" t="n">
        <f aca="false">IVA!AK45+IVA!AL45+IVA!AM45</f>
        <v>2069350</v>
      </c>
      <c r="AT45" s="155" t="n">
        <f aca="false">IVA!AN45+IVA!AO45+IVA!AP45</f>
        <v>2325781</v>
      </c>
      <c r="AU45" s="129" t="n">
        <f aca="false">IVA!AQ45+IVA!AR45+IVA!AS45+IVA!AT45</f>
        <v>9479886</v>
      </c>
      <c r="AV45" s="130" t="n">
        <f aca="false">IVA!AQ45/IVA!CJ7</f>
        <v>0.00681128785842611</v>
      </c>
      <c r="AW45" s="130" t="n">
        <f aca="false">IVA!AR45/IVA!CK7</f>
        <v>0.0101200685496639</v>
      </c>
      <c r="AX45" s="130" t="n">
        <f aca="false">IVA!AS45/IVA!CL7</f>
        <v>0.00677420924616249</v>
      </c>
      <c r="AY45" s="130" t="n">
        <f aca="false">IVA!AT45/IVA!CM7</f>
        <v>0.00787265282399793</v>
      </c>
      <c r="AZ45" s="271" t="n">
        <f aca="false">IVA!AU45/IVA!CN7</f>
        <v>0.0317107812394328</v>
      </c>
      <c r="BA45" s="266" t="n">
        <v>1998</v>
      </c>
      <c r="BB45" s="308" t="s">
        <v>413</v>
      </c>
      <c r="BC45" s="309"/>
      <c r="BD45" s="309"/>
      <c r="BE45" s="309"/>
      <c r="BF45" s="310" t="n">
        <v>96221</v>
      </c>
      <c r="BG45" s="310" t="n">
        <v>117030</v>
      </c>
      <c r="BH45" s="310" t="n">
        <v>106729</v>
      </c>
      <c r="BI45" s="310" t="n">
        <v>109922</v>
      </c>
      <c r="BJ45" s="310" t="n">
        <v>106461</v>
      </c>
      <c r="BK45" s="310" t="n">
        <v>105380</v>
      </c>
      <c r="BL45" s="310" t="n">
        <v>108952</v>
      </c>
      <c r="BM45" s="310" t="n">
        <v>107903</v>
      </c>
      <c r="BN45" s="310" t="n">
        <v>108838</v>
      </c>
      <c r="BO45" s="310" t="n">
        <v>112881</v>
      </c>
      <c r="BP45" s="310" t="n">
        <v>115717</v>
      </c>
      <c r="BQ45" s="311" t="n">
        <v>111468</v>
      </c>
      <c r="BR45" s="175" t="n">
        <f aca="false">IVA!BF45+IVA!BG45+IVA!BH45</f>
        <v>319980</v>
      </c>
      <c r="BS45" s="175" t="n">
        <f aca="false">IVA!BI45+IVA!BJ45+IVA!BK45</f>
        <v>321763</v>
      </c>
      <c r="BT45" s="175" t="n">
        <f aca="false">IVA!BL45+IVA!BM45+IVA!BN45</f>
        <v>325693</v>
      </c>
      <c r="BU45" s="176" t="n">
        <f aca="false">IVA!BO45+IVA!BP45+IVA!BQ45</f>
        <v>340066</v>
      </c>
      <c r="BV45" s="137" t="n">
        <f aca="false">IVA!BR45+IVA!BS45+IVA!BT45+IVA!BU45</f>
        <v>1307502</v>
      </c>
      <c r="BW45" s="138" t="n">
        <f aca="false">IVA!BR45/IVA!CJ7</f>
        <v>0.0011316150570794</v>
      </c>
      <c r="BX45" s="139" t="n">
        <f aca="false">IVA!BS45/IVA!CK7</f>
        <v>0.00103086507674685</v>
      </c>
      <c r="BY45" s="138" t="n">
        <f aca="false">IVA!BT45/IVA!CL7</f>
        <v>0.0010661862575255</v>
      </c>
      <c r="BZ45" s="138" t="n">
        <f aca="false">IVA!BU45/IVA!CM7</f>
        <v>0.00115110646928738</v>
      </c>
      <c r="CA45" s="273" t="n">
        <f aca="false">IVA!BV45/IVA!CN7</f>
        <v>0.00437367178171983</v>
      </c>
      <c r="CH45" s="13"/>
      <c r="CI45" s="53" t="n">
        <v>2011</v>
      </c>
      <c r="CJ45" s="286" t="n">
        <f aca="false">IVA!AV41+IVA!AV92+IVA!AV109+IVA!AV126+IVA!AV160+IVA!AV177+IVA!AV226+IVA!AV260+IVA!AV197</f>
        <v>0.0265304279334394</v>
      </c>
      <c r="CK45" s="286" t="n">
        <f aca="false">IVA!AW41+IVA!AW92+IVA!AW109+IVA!AW126+IVA!AW160+IVA!AW177+IVA!AW226+IVA!AW260+IVA!AW197</f>
        <v>0.0227703241258333</v>
      </c>
      <c r="CL45" s="286" t="n">
        <f aca="false">IVA!AX41+IVA!AX92+IVA!AX109+IVA!AX126+IVA!AX160+IVA!AX177+IVA!AX226+IVA!AX260+IVA!AX197</f>
        <v>0.0265139470001894</v>
      </c>
      <c r="CM45" s="287" t="n">
        <f aca="false">IVA!AY41+IVA!AY92+IVA!AY109+IVA!AY126+IVA!AY160+IVA!AY177+IVA!AY226+IVA!AY260+IVA!AY197</f>
        <v>0.0248319083023313</v>
      </c>
      <c r="CN45" s="288" t="n">
        <f aca="false">IVA!AZ41+IVA!AZ92+IVA!AZ109+IVA!AZ126+IVA!AZ160+IVA!AZ177+IVA!AZ226+IVA!AZ260+IVA!AZ197</f>
        <v>0.10026468041208</v>
      </c>
      <c r="CO45" s="63"/>
      <c r="CP45" s="63"/>
      <c r="CQ45" s="13"/>
      <c r="CS45" s="99" t="n">
        <v>2000</v>
      </c>
      <c r="CT45" s="208" t="s">
        <v>162</v>
      </c>
      <c r="CU45" s="291"/>
      <c r="CV45" s="291"/>
      <c r="CW45" s="291" t="n">
        <v>215900</v>
      </c>
      <c r="CX45" s="291"/>
      <c r="CY45" s="292" t="n">
        <f aca="false">13315200+IVA!CY51+IVA!CY53</f>
        <v>15968100</v>
      </c>
      <c r="CZ45" s="291"/>
      <c r="DA45" s="291" t="n">
        <f aca="false">1.127*1713.7*1000+IVA!DA49+IVA!DA54</f>
        <v>2402639.9</v>
      </c>
      <c r="DB45" s="291"/>
      <c r="DC45" s="291"/>
      <c r="DD45" s="291"/>
      <c r="DE45" s="291"/>
      <c r="DF45" s="291"/>
      <c r="DG45" s="291" t="n">
        <f aca="false">SUM(IVA!CU45:DF45)</f>
        <v>18586639.9</v>
      </c>
      <c r="DY45" s="215" t="s">
        <v>422</v>
      </c>
      <c r="EA45" s="195"/>
      <c r="EB45" s="230" t="n">
        <v>12423478</v>
      </c>
      <c r="EC45" s="230" t="n">
        <v>0</v>
      </c>
      <c r="ED45" s="230" t="n">
        <v>12423478</v>
      </c>
      <c r="EE45" s="230" t="n">
        <v>11224454.5</v>
      </c>
      <c r="EF45" s="230" t="n">
        <v>10118246.55</v>
      </c>
      <c r="EG45" s="231" t="n">
        <v>9264196.7</v>
      </c>
      <c r="EH45" s="232" t="n">
        <f aca="false">IVA!EF45-IVA!EG45</f>
        <v>854049.850000001</v>
      </c>
      <c r="EJ45" s="31" t="n">
        <v>1993</v>
      </c>
      <c r="EK45" s="32" t="n">
        <v>4409.346</v>
      </c>
      <c r="EL45" s="33" t="n">
        <v>3702.054</v>
      </c>
      <c r="EM45" s="122" t="s">
        <v>270</v>
      </c>
      <c r="EN45" s="34" t="n">
        <f aca="false">IVA!EO23/IVA!EK61/1000</f>
        <v>0.707109734950715</v>
      </c>
      <c r="EO45" s="34" t="n">
        <f aca="false">IVA!EO23/IVA!EL60/1000</f>
        <v>0.838468801852436</v>
      </c>
      <c r="ET45" s="181" t="n">
        <v>2004</v>
      </c>
      <c r="EU45" s="122" t="s">
        <v>423</v>
      </c>
      <c r="EV45" s="122" t="s">
        <v>424</v>
      </c>
      <c r="EW45" s="122" t="s">
        <v>425</v>
      </c>
      <c r="EX45" s="122" t="s">
        <v>426</v>
      </c>
    </row>
    <row r="46" customFormat="false" ht="12.75" hidden="false" customHeight="true" outlineLevel="0" collapsed="false">
      <c r="AA46" s="304" t="n">
        <v>1999</v>
      </c>
      <c r="AB46" s="304" t="s">
        <v>412</v>
      </c>
      <c r="AC46" s="313"/>
      <c r="AD46" s="314"/>
      <c r="AE46" s="315" t="n">
        <v>721097</v>
      </c>
      <c r="AF46" s="315" t="n">
        <v>650449</v>
      </c>
      <c r="AG46" s="315" t="n">
        <v>650749</v>
      </c>
      <c r="AH46" s="315" t="n">
        <v>681890</v>
      </c>
      <c r="AI46" s="315" t="n">
        <v>1138451</v>
      </c>
      <c r="AJ46" s="315" t="n">
        <v>801355</v>
      </c>
      <c r="AK46" s="315" t="n">
        <v>753856</v>
      </c>
      <c r="AL46" s="315" t="n">
        <v>795201</v>
      </c>
      <c r="AM46" s="315" t="n">
        <v>701118</v>
      </c>
      <c r="AN46" s="315" t="n">
        <v>764773</v>
      </c>
      <c r="AO46" s="315" t="n">
        <v>845936</v>
      </c>
      <c r="AP46" s="315" t="n">
        <v>735092</v>
      </c>
      <c r="AQ46" s="155" t="n">
        <f aca="false">IVA!AE46+IVA!AF46+IVA!AG46</f>
        <v>2022295</v>
      </c>
      <c r="AR46" s="155" t="n">
        <f aca="false">IVA!AH46+IVA!AI46+IVA!AJ46</f>
        <v>2621696</v>
      </c>
      <c r="AS46" s="155" t="n">
        <f aca="false">IVA!AK46+IVA!AL46+IVA!AM46</f>
        <v>2250175</v>
      </c>
      <c r="AT46" s="155" t="n">
        <f aca="false">IVA!AN46+IVA!AO46+IVA!AP46</f>
        <v>2345801</v>
      </c>
      <c r="AU46" s="129" t="n">
        <f aca="false">IVA!AQ46+IVA!AR46+IVA!AS46+IVA!AT46</f>
        <v>9239967</v>
      </c>
      <c r="AV46" s="130" t="n">
        <f aca="false">IVA!AQ46/IVA!CJ8</f>
        <v>0.00746934396076027</v>
      </c>
      <c r="AW46" s="130" t="n">
        <f aca="false">IVA!AR46/IVA!CK8</f>
        <v>0.00907695636762559</v>
      </c>
      <c r="AX46" s="130" t="n">
        <f aca="false">IVA!AS46/IVA!CL8</f>
        <v>0.00789294086073628</v>
      </c>
      <c r="AY46" s="130" t="n">
        <f aca="false">IVA!AT46/IVA!CM8</f>
        <v>0.00810493207705593</v>
      </c>
      <c r="AZ46" s="271" t="n">
        <f aca="false">IVA!AU46/IVA!CN8</f>
        <v>0.0325898294617152</v>
      </c>
      <c r="BA46" s="266" t="n">
        <v>1999</v>
      </c>
      <c r="BB46" s="308" t="s">
        <v>413</v>
      </c>
      <c r="BC46" s="309"/>
      <c r="BD46" s="309"/>
      <c r="BE46" s="309"/>
      <c r="BF46" s="310" t="n">
        <v>134281</v>
      </c>
      <c r="BG46" s="310" t="n">
        <v>107065</v>
      </c>
      <c r="BH46" s="310" t="n">
        <v>109814</v>
      </c>
      <c r="BI46" s="310" t="n">
        <v>100279</v>
      </c>
      <c r="BJ46" s="310" t="n">
        <v>105313</v>
      </c>
      <c r="BK46" s="310" t="n">
        <v>110040</v>
      </c>
      <c r="BL46" s="310" t="n">
        <v>101492</v>
      </c>
      <c r="BM46" s="310" t="n">
        <v>112727</v>
      </c>
      <c r="BN46" s="310" t="n">
        <v>110296</v>
      </c>
      <c r="BO46" s="310" t="n">
        <v>104670</v>
      </c>
      <c r="BP46" s="310" t="n">
        <v>116561</v>
      </c>
      <c r="BQ46" s="311" t="n">
        <v>115481</v>
      </c>
      <c r="BR46" s="175" t="n">
        <f aca="false">IVA!BF46+IVA!BG46+IVA!BH46</f>
        <v>351160</v>
      </c>
      <c r="BS46" s="175" t="n">
        <f aca="false">IVA!BI46+IVA!BJ46+IVA!BK46</f>
        <v>315632</v>
      </c>
      <c r="BT46" s="175" t="n">
        <f aca="false">IVA!BL46+IVA!BM46+IVA!BN46</f>
        <v>324515</v>
      </c>
      <c r="BU46" s="176" t="n">
        <f aca="false">IVA!BO46+IVA!BP46+IVA!BQ46</f>
        <v>336712</v>
      </c>
      <c r="BV46" s="137" t="n">
        <f aca="false">IVA!BR46+IVA!BS46+IVA!BT46+IVA!BU46</f>
        <v>1328019</v>
      </c>
      <c r="BW46" s="138" t="n">
        <f aca="false">IVA!BR46/IVA!CJ8</f>
        <v>0.00129700900474984</v>
      </c>
      <c r="BX46" s="139" t="n">
        <f aca="false">IVA!BS46/IVA!CK8</f>
        <v>0.00109279561483345</v>
      </c>
      <c r="BY46" s="138" t="n">
        <f aca="false">IVA!BT46/IVA!CL8</f>
        <v>0.00113830155584425</v>
      </c>
      <c r="BZ46" s="138" t="n">
        <f aca="false">IVA!BU46/IVA!CM8</f>
        <v>0.0011633671780043</v>
      </c>
      <c r="CA46" s="273" t="n">
        <f aca="false">IVA!BV46/IVA!CN8</f>
        <v>0.00468398996792062</v>
      </c>
      <c r="CH46" s="13"/>
      <c r="CI46" s="233" t="n">
        <v>2012</v>
      </c>
      <c r="CJ46" s="316" t="n">
        <f aca="false">IVA!AV42+IVA!AV93+IVA!AV110+IVA!AV127+IVA!AV161+IVA!AV178+IVA!AV227+IVA!AV261+IVA!AV198</f>
        <v>0.0290733601469431</v>
      </c>
      <c r="CK46" s="316" t="n">
        <f aca="false">IVA!AW42+IVA!AW93+IVA!AW110+IVA!AW127+IVA!AW161+IVA!AW178+IVA!AW227+IVA!AW261+IVA!AW198</f>
        <v>0.0249117783304829</v>
      </c>
      <c r="CL46" s="316" t="n">
        <f aca="false">IVA!AX42+IVA!AX93+IVA!AX110+IVA!AX127+IVA!AX161+IVA!AX178+IVA!AX227+IVA!AX261+IVA!AX198</f>
        <v>0.0293785704444446</v>
      </c>
      <c r="CM46" s="317" t="n">
        <f aca="false">IVA!AY42+IVA!AY93+IVA!AY110+IVA!AY127+IVA!AY161+IVA!AY178+IVA!AY227+IVA!AY261+IVA!AY198</f>
        <v>0.0277916843702705</v>
      </c>
      <c r="CN46" s="318" t="n">
        <f aca="false">IVA!AZ42+IVA!AZ93+IVA!AZ110+IVA!AZ127+IVA!AZ161+IVA!AZ178+IVA!AZ227+IVA!AZ261+IVA!AZ198</f>
        <v>0.110852815020198</v>
      </c>
      <c r="CO46" s="63"/>
      <c r="CP46" s="63"/>
      <c r="CQ46" s="13"/>
      <c r="CS46" s="220" t="n">
        <v>1999</v>
      </c>
      <c r="CT46" s="99" t="s">
        <v>427</v>
      </c>
      <c r="CU46" s="100"/>
      <c r="CV46" s="100"/>
      <c r="CW46" s="100" t="n">
        <v>215900</v>
      </c>
      <c r="CX46" s="100"/>
      <c r="CY46" s="100"/>
      <c r="CZ46" s="100"/>
      <c r="DA46" s="100"/>
      <c r="DB46" s="100"/>
      <c r="DC46" s="100"/>
      <c r="DD46" s="100"/>
      <c r="DE46" s="100"/>
      <c r="DF46" s="100"/>
      <c r="DG46" s="100"/>
      <c r="DY46" s="222" t="s">
        <v>428</v>
      </c>
      <c r="DZ46" s="223"/>
      <c r="EA46" s="206"/>
      <c r="EB46" s="236" t="n">
        <v>19829575201</v>
      </c>
      <c r="EC46" s="236" t="n">
        <v>382000000</v>
      </c>
      <c r="ED46" s="236" t="n">
        <v>20211575201</v>
      </c>
      <c r="EE46" s="236" t="n">
        <v>19175902401.63</v>
      </c>
      <c r="EF46" s="236" t="n">
        <v>19123449240.41</v>
      </c>
      <c r="EG46" s="237" t="n">
        <v>17727824893.99</v>
      </c>
      <c r="EH46" s="238" t="n">
        <f aca="false">IVA!EF46-IVA!EG46</f>
        <v>1395624346.42</v>
      </c>
      <c r="EJ46" s="31" t="n">
        <v>1994</v>
      </c>
      <c r="EK46" s="32" t="n">
        <v>4503.389</v>
      </c>
      <c r="EL46" s="33" t="n">
        <v>3794.129</v>
      </c>
      <c r="EM46" s="122" t="s">
        <v>287</v>
      </c>
      <c r="EN46" s="34" t="n">
        <f aca="false">IVA!EO24/IVA!EK62/1000</f>
        <v>0.729163038709131</v>
      </c>
      <c r="EO46" s="34" t="n">
        <f aca="false">IVA!EO24/IVA!EL61/1000</f>
        <v>0.864835004433767</v>
      </c>
      <c r="ET46" s="181" t="n">
        <v>2005</v>
      </c>
      <c r="EU46" s="122" t="s">
        <v>429</v>
      </c>
      <c r="EV46" s="122" t="s">
        <v>430</v>
      </c>
      <c r="EW46" s="122" t="s">
        <v>431</v>
      </c>
      <c r="EX46" s="122" t="s">
        <v>432</v>
      </c>
    </row>
    <row r="47" customFormat="false" ht="12.75" hidden="false" customHeight="true" outlineLevel="0" collapsed="false">
      <c r="AA47" s="304" t="n">
        <v>2000</v>
      </c>
      <c r="AB47" s="304" t="s">
        <v>412</v>
      </c>
      <c r="AC47" s="313"/>
      <c r="AD47" s="314"/>
      <c r="AE47" s="315" t="n">
        <v>739583.2703</v>
      </c>
      <c r="AF47" s="315" t="n">
        <v>706749.4594</v>
      </c>
      <c r="AG47" s="315" t="n">
        <v>695568.65978</v>
      </c>
      <c r="AH47" s="315" t="n">
        <v>774009.21158</v>
      </c>
      <c r="AI47" s="315" t="n">
        <v>1189205.8137</v>
      </c>
      <c r="AJ47" s="315" t="n">
        <v>1361562.22252</v>
      </c>
      <c r="AK47" s="315" t="n">
        <v>802294.8004</v>
      </c>
      <c r="AL47" s="315" t="n">
        <v>900356.6794</v>
      </c>
      <c r="AM47" s="315" t="n">
        <v>731971.618</v>
      </c>
      <c r="AN47" s="315" t="n">
        <v>860504.8961</v>
      </c>
      <c r="AO47" s="315" t="n">
        <v>817586.24206</v>
      </c>
      <c r="AP47" s="315" t="n">
        <v>875751.83126</v>
      </c>
      <c r="AQ47" s="155" t="n">
        <f aca="false">IVA!AE47+IVA!AF47+IVA!AG47</f>
        <v>2141901.38948</v>
      </c>
      <c r="AR47" s="155" t="n">
        <f aca="false">IVA!AH47+IVA!AI47+IVA!AJ47</f>
        <v>3324777.2478</v>
      </c>
      <c r="AS47" s="155" t="n">
        <f aca="false">IVA!AK47+IVA!AL47+IVA!AM47</f>
        <v>2434623.0978</v>
      </c>
      <c r="AT47" s="155" t="n">
        <f aca="false">IVA!AN47+IVA!AO47+IVA!AP47</f>
        <v>2553842.96942</v>
      </c>
      <c r="AU47" s="129" t="n">
        <f aca="false">IVA!AQ47+IVA!AR47+IVA!AS47+IVA!AT47</f>
        <v>10455144.7045</v>
      </c>
      <c r="AV47" s="130" t="n">
        <f aca="false">IVA!AQ47/IVA!CJ9</f>
        <v>0.00791994420094363</v>
      </c>
      <c r="AW47" s="130" t="n">
        <f aca="false">IVA!AR47/IVA!CK9</f>
        <v>0.0113941835978986</v>
      </c>
      <c r="AX47" s="130" t="n">
        <f aca="false">IVA!AS47/IVA!CL9</f>
        <v>0.00846838260757177</v>
      </c>
      <c r="AY47" s="130" t="n">
        <f aca="false">IVA!AT47/IVA!CM9</f>
        <v>0.0088959584626632</v>
      </c>
      <c r="AZ47" s="271" t="n">
        <f aca="false">IVA!AU47/IVA!CN9</f>
        <v>0.0367874987490078</v>
      </c>
      <c r="BA47" s="266" t="n">
        <v>2000</v>
      </c>
      <c r="BB47" s="308" t="s">
        <v>413</v>
      </c>
      <c r="BC47" s="309"/>
      <c r="BD47" s="309"/>
      <c r="BE47" s="309"/>
      <c r="BF47" s="310" t="n">
        <v>163504.22399</v>
      </c>
      <c r="BG47" s="310" t="n">
        <v>62444.57251</v>
      </c>
      <c r="BH47" s="310" t="n">
        <v>87024.04858</v>
      </c>
      <c r="BI47" s="310" t="n">
        <v>101531.083</v>
      </c>
      <c r="BJ47" s="310" t="n">
        <v>87514.7531</v>
      </c>
      <c r="BK47" s="310" t="n">
        <v>91319.93385</v>
      </c>
      <c r="BL47" s="310" t="n">
        <v>96655.9983</v>
      </c>
      <c r="BM47" s="310" t="n">
        <v>102026.7232</v>
      </c>
      <c r="BN47" s="310" t="n">
        <v>101818.3447</v>
      </c>
      <c r="BO47" s="310" t="n">
        <v>125395.0428</v>
      </c>
      <c r="BP47" s="310" t="n">
        <v>91412.3447</v>
      </c>
      <c r="BQ47" s="311" t="n">
        <v>108570.97868</v>
      </c>
      <c r="BR47" s="175" t="n">
        <f aca="false">IVA!BF47+IVA!BG47+IVA!BH47</f>
        <v>312972.84508</v>
      </c>
      <c r="BS47" s="175" t="n">
        <f aca="false">IVA!BI47+IVA!BJ47+IVA!BK47</f>
        <v>280365.76995</v>
      </c>
      <c r="BT47" s="175" t="n">
        <f aca="false">IVA!BL47+IVA!BM47+IVA!BN47</f>
        <v>300501.0662</v>
      </c>
      <c r="BU47" s="176" t="n">
        <f aca="false">IVA!BO47+IVA!BP47+IVA!BQ47</f>
        <v>325378.36618</v>
      </c>
      <c r="BV47" s="137" t="n">
        <f aca="false">IVA!BR47+IVA!BS47+IVA!BT47+IVA!BU47</f>
        <v>1219218.04741</v>
      </c>
      <c r="BW47" s="138" t="n">
        <f aca="false">IVA!BR47/IVA!CJ9</f>
        <v>0.00115725564286876</v>
      </c>
      <c r="BX47" s="139" t="n">
        <f aca="false">IVA!BS47/IVA!CK9</f>
        <v>0.000960827995165787</v>
      </c>
      <c r="BY47" s="138" t="n">
        <f aca="false">IVA!BT47/IVA!CL9</f>
        <v>0.00104523694236877</v>
      </c>
      <c r="BZ47" s="138" t="n">
        <f aca="false">IVA!BU47/IVA!CM9</f>
        <v>0.00113341049737442</v>
      </c>
      <c r="CA47" s="273" t="n">
        <f aca="false">IVA!BV47/IVA!CN9</f>
        <v>0.00428994372259223</v>
      </c>
      <c r="CH47" s="13"/>
      <c r="CI47" s="239"/>
      <c r="CJ47" s="26"/>
      <c r="CK47" s="26"/>
      <c r="CL47" s="26"/>
      <c r="CM47" s="26"/>
      <c r="CN47" s="26"/>
      <c r="CO47" s="26"/>
      <c r="CP47" s="26"/>
      <c r="CQ47" s="27"/>
      <c r="CS47" s="220"/>
      <c r="CT47" s="99" t="s">
        <v>180</v>
      </c>
      <c r="CU47" s="100"/>
      <c r="CV47" s="100"/>
      <c r="CW47" s="100"/>
      <c r="CX47" s="100"/>
      <c r="CY47" s="291" t="n">
        <v>13315200</v>
      </c>
      <c r="CZ47" s="100"/>
      <c r="DA47" s="100"/>
      <c r="DB47" s="100"/>
      <c r="DC47" s="100"/>
      <c r="DD47" s="100"/>
      <c r="DE47" s="100"/>
      <c r="DF47" s="100"/>
      <c r="DG47" s="100"/>
      <c r="DY47" s="319" t="s">
        <v>433</v>
      </c>
      <c r="DZ47" s="45"/>
      <c r="EA47" s="210" t="n">
        <v>2001</v>
      </c>
      <c r="EB47" s="227" t="n">
        <v>20077057886</v>
      </c>
      <c r="EC47" s="227" t="n">
        <v>-302699649</v>
      </c>
      <c r="ED47" s="227" t="n">
        <v>19774358237</v>
      </c>
      <c r="EE47" s="227" t="n">
        <v>18409613646.45</v>
      </c>
      <c r="EF47" s="227" t="n">
        <v>18230243128.67</v>
      </c>
      <c r="EG47" s="228" t="n">
        <v>16892623716.7</v>
      </c>
      <c r="EH47" s="229" t="n">
        <f aca="false">IVA!EF47-IVA!EG47</f>
        <v>1337619411.97</v>
      </c>
      <c r="EJ47" s="31" t="n">
        <v>1995</v>
      </c>
      <c r="EK47" s="32" t="n">
        <v>4586.255</v>
      </c>
      <c r="EL47" s="33" t="n">
        <v>3874.659</v>
      </c>
      <c r="EM47" s="122" t="s">
        <v>304</v>
      </c>
      <c r="EN47" s="34" t="n">
        <f aca="false">IVA!EO25/IVA!EK63/1000</f>
        <v>0.729701501936809</v>
      </c>
      <c r="EO47" s="34" t="n">
        <f aca="false">IVA!EO25/IVA!EL62/1000</f>
        <v>0.869138656220342</v>
      </c>
      <c r="ET47" s="181" t="n">
        <v>2006</v>
      </c>
      <c r="EU47" s="122" t="s">
        <v>434</v>
      </c>
      <c r="EV47" s="122" t="s">
        <v>419</v>
      </c>
      <c r="EW47" s="122" t="s">
        <v>435</v>
      </c>
      <c r="EX47" s="122" t="s">
        <v>436</v>
      </c>
    </row>
    <row r="48" customFormat="false" ht="12.75" hidden="false" customHeight="true" outlineLevel="0" collapsed="false">
      <c r="AA48" s="304" t="n">
        <v>2001</v>
      </c>
      <c r="AB48" s="304" t="s">
        <v>412</v>
      </c>
      <c r="AC48" s="313"/>
      <c r="AD48" s="314"/>
      <c r="AE48" s="315" t="n">
        <v>806447.95203</v>
      </c>
      <c r="AF48" s="315" t="n">
        <v>759166.39827</v>
      </c>
      <c r="AG48" s="315" t="n">
        <v>734990.63902</v>
      </c>
      <c r="AH48" s="315" t="n">
        <v>617830.77983</v>
      </c>
      <c r="AI48" s="315" t="n">
        <v>1548845.34385</v>
      </c>
      <c r="AJ48" s="315" t="n">
        <v>1314514.89442</v>
      </c>
      <c r="AK48" s="315" t="n">
        <v>747352.35664</v>
      </c>
      <c r="AL48" s="315" t="n">
        <v>784997.52394</v>
      </c>
      <c r="AM48" s="315" t="n">
        <v>690082.25167</v>
      </c>
      <c r="AN48" s="315" t="n">
        <v>727619.44081</v>
      </c>
      <c r="AO48" s="315" t="n">
        <v>718576.73326</v>
      </c>
      <c r="AP48" s="315" t="n">
        <v>640855.40257</v>
      </c>
      <c r="AQ48" s="155" t="n">
        <f aca="false">IVA!AE48+IVA!AF48+IVA!AG48</f>
        <v>2300604.98932</v>
      </c>
      <c r="AR48" s="155" t="n">
        <f aca="false">IVA!AH48+IVA!AI48+IVA!AJ48</f>
        <v>3481191.0181</v>
      </c>
      <c r="AS48" s="155" t="n">
        <f aca="false">IVA!AK48+IVA!AL48+IVA!AM48</f>
        <v>2222432.13225</v>
      </c>
      <c r="AT48" s="155" t="n">
        <f aca="false">IVA!AN48+IVA!AO48+IVA!AP48</f>
        <v>2087051.57664</v>
      </c>
      <c r="AU48" s="129" t="n">
        <f aca="false">IVA!AQ48+IVA!AR48+IVA!AS48+IVA!AT48</f>
        <v>10091279.71631</v>
      </c>
      <c r="AV48" s="130" t="n">
        <f aca="false">IVA!AQ48/IVA!CJ10</f>
        <v>0.00873655205547391</v>
      </c>
      <c r="AW48" s="130" t="n">
        <f aca="false">IVA!AR48/IVA!CK10</f>
        <v>0.0120863745246762</v>
      </c>
      <c r="AX48" s="130" t="n">
        <f aca="false">IVA!AS48/IVA!CL10</f>
        <v>0.00818975878557495</v>
      </c>
      <c r="AY48" s="130" t="n">
        <f aca="false">IVA!AT48/IVA!CM10</f>
        <v>0.00827988255972139</v>
      </c>
      <c r="AZ48" s="271" t="n">
        <f aca="false">IVA!AU48/IVA!CN10</f>
        <v>0.0375563949409347</v>
      </c>
      <c r="BA48" s="266" t="n">
        <v>2001</v>
      </c>
      <c r="BB48" s="308" t="s">
        <v>413</v>
      </c>
      <c r="BC48" s="309"/>
      <c r="BD48" s="309"/>
      <c r="BE48" s="309"/>
      <c r="BF48" s="310" t="n">
        <v>130658.61902</v>
      </c>
      <c r="BG48" s="310" t="n">
        <v>156805.24071</v>
      </c>
      <c r="BH48" s="310" t="n">
        <v>88872.27297</v>
      </c>
      <c r="BI48" s="310" t="n">
        <v>92901.70151</v>
      </c>
      <c r="BJ48" s="310" t="n">
        <v>106078.00004</v>
      </c>
      <c r="BK48" s="310" t="n">
        <v>246230.30392</v>
      </c>
      <c r="BL48" s="310" t="n">
        <v>68864.02889</v>
      </c>
      <c r="BM48" s="310" t="n">
        <v>89017.12401</v>
      </c>
      <c r="BN48" s="310" t="n">
        <v>92370.61797</v>
      </c>
      <c r="BO48" s="310" t="n">
        <v>82035.94807</v>
      </c>
      <c r="BP48" s="310" t="n">
        <v>92747.31988</v>
      </c>
      <c r="BQ48" s="311" t="n">
        <v>89162.75722</v>
      </c>
      <c r="BR48" s="175" t="n">
        <f aca="false">IVA!BF48+IVA!BG48+IVA!BH48</f>
        <v>376336.1327</v>
      </c>
      <c r="BS48" s="175" t="n">
        <f aca="false">IVA!BI48+IVA!BJ48+IVA!BK48</f>
        <v>445210.00547</v>
      </c>
      <c r="BT48" s="175" t="n">
        <f aca="false">IVA!BL48+IVA!BM48+IVA!BN48</f>
        <v>250251.77087</v>
      </c>
      <c r="BU48" s="176" t="n">
        <f aca="false">IVA!BO48+IVA!BP48+IVA!BQ48</f>
        <v>263946.02517</v>
      </c>
      <c r="BV48" s="137" t="n">
        <f aca="false">IVA!BR48+IVA!BS48+IVA!BT48+IVA!BU48</f>
        <v>1335743.93421</v>
      </c>
      <c r="BW48" s="138" t="n">
        <f aca="false">IVA!BR48/IVA!CJ10</f>
        <v>0.00142913721779813</v>
      </c>
      <c r="BX48" s="139" t="n">
        <f aca="false">IVA!BS48/IVA!CK10</f>
        <v>0.0015457281258816</v>
      </c>
      <c r="BY48" s="138" t="n">
        <f aca="false">IVA!BT48/IVA!CL10</f>
        <v>0.000922188628101478</v>
      </c>
      <c r="BZ48" s="138" t="n">
        <f aca="false">IVA!BU48/IVA!CM10</f>
        <v>0.00104714330732126</v>
      </c>
      <c r="CA48" s="273" t="n">
        <f aca="false">IVA!BV48/IVA!CN10</f>
        <v>0.00497119573963136</v>
      </c>
      <c r="CH48" s="13"/>
      <c r="CI48" s="239"/>
      <c r="CJ48" s="26"/>
      <c r="CK48" s="26"/>
      <c r="CL48" s="26"/>
      <c r="CM48" s="26"/>
      <c r="CN48" s="26"/>
      <c r="CO48" s="26"/>
      <c r="CP48" s="26"/>
      <c r="CQ48" s="27"/>
      <c r="CS48" s="220"/>
      <c r="CT48" s="99" t="s">
        <v>190</v>
      </c>
      <c r="CU48" s="100"/>
      <c r="CV48" s="100"/>
      <c r="CW48" s="100"/>
      <c r="CX48" s="100"/>
      <c r="CY48" s="100"/>
      <c r="CZ48" s="100"/>
      <c r="DA48" s="100"/>
      <c r="DB48" s="100"/>
      <c r="DC48" s="100"/>
      <c r="DD48" s="100"/>
      <c r="DE48" s="100"/>
      <c r="DF48" s="100"/>
      <c r="DG48" s="100"/>
      <c r="DY48" s="215" t="s">
        <v>437</v>
      </c>
      <c r="EA48" s="179"/>
      <c r="EB48" s="230" t="n">
        <v>274035636</v>
      </c>
      <c r="EC48" s="230" t="n">
        <v>-24741950</v>
      </c>
      <c r="ED48" s="230" t="n">
        <v>249293686</v>
      </c>
      <c r="EE48" s="230" t="n">
        <v>235933754.06</v>
      </c>
      <c r="EF48" s="230" t="n">
        <v>217793617.14</v>
      </c>
      <c r="EG48" s="231" t="n">
        <v>212602051.44</v>
      </c>
      <c r="EH48" s="232" t="n">
        <f aca="false">IVA!EF48-IVA!EG48</f>
        <v>5191565.69999999</v>
      </c>
      <c r="EJ48" s="31" t="n">
        <v>1996</v>
      </c>
      <c r="EK48" s="32" t="n">
        <v>4699.226</v>
      </c>
      <c r="EL48" s="33" t="n">
        <v>3987.289</v>
      </c>
      <c r="EM48" s="122" t="s">
        <v>321</v>
      </c>
      <c r="EN48" s="34" t="n">
        <f aca="false">IVA!EO26/IVA!EK64/1000</f>
        <v>0.717469874374024</v>
      </c>
      <c r="EO48" s="34" t="n">
        <f aca="false">IVA!EO26/IVA!EL63/1000</f>
        <v>0.854198975889294</v>
      </c>
      <c r="ET48" s="181" t="n">
        <v>2007</v>
      </c>
      <c r="EU48" s="122" t="s">
        <v>438</v>
      </c>
      <c r="EV48" s="122" t="s">
        <v>439</v>
      </c>
      <c r="EW48" s="122" t="s">
        <v>435</v>
      </c>
      <c r="EX48" s="122" t="s">
        <v>386</v>
      </c>
    </row>
    <row r="49" customFormat="false" ht="12.75" hidden="false" customHeight="true" outlineLevel="0" collapsed="false">
      <c r="AA49" s="304" t="n">
        <v>2002</v>
      </c>
      <c r="AB49" s="304" t="s">
        <v>412</v>
      </c>
      <c r="AC49" s="313"/>
      <c r="AD49" s="314"/>
      <c r="AE49" s="315" t="n">
        <v>622668.73748</v>
      </c>
      <c r="AF49" s="315" t="n">
        <v>468729.1704</v>
      </c>
      <c r="AG49" s="315" t="n">
        <v>480320.29976</v>
      </c>
      <c r="AH49" s="315" t="n">
        <v>433019.70862</v>
      </c>
      <c r="AI49" s="315" t="n">
        <v>893093.73074</v>
      </c>
      <c r="AJ49" s="315" t="n">
        <v>832777.32165</v>
      </c>
      <c r="AK49" s="315" t="n">
        <v>763806.31146</v>
      </c>
      <c r="AL49" s="315" t="n">
        <v>844141.01432</v>
      </c>
      <c r="AM49" s="315" t="n">
        <v>683151.08198</v>
      </c>
      <c r="AN49" s="315" t="n">
        <v>848817.59578</v>
      </c>
      <c r="AO49" s="315" t="n">
        <v>1110582.39398</v>
      </c>
      <c r="AP49" s="315" t="n">
        <v>938231.47497</v>
      </c>
      <c r="AQ49" s="155" t="n">
        <f aca="false">IVA!AE49+IVA!AF49+IVA!AG49</f>
        <v>1571718.20764</v>
      </c>
      <c r="AR49" s="155" t="n">
        <f aca="false">IVA!AH49+IVA!AI49+IVA!AJ49</f>
        <v>2158890.76101</v>
      </c>
      <c r="AS49" s="155" t="n">
        <f aca="false">IVA!AK49+IVA!AL49+IVA!AM49</f>
        <v>2291098.40776</v>
      </c>
      <c r="AT49" s="155" t="n">
        <f aca="false">IVA!AN49+IVA!AO49+IVA!AP49</f>
        <v>2897631.46473</v>
      </c>
      <c r="AU49" s="129" t="n">
        <f aca="false">IVA!AQ49+IVA!AR49+IVA!AS49+IVA!AT49</f>
        <v>8919338.84114</v>
      </c>
      <c r="AV49" s="130" t="n">
        <f aca="false">IVA!AQ49/IVA!CJ11</f>
        <v>0.00663012780740497</v>
      </c>
      <c r="AW49" s="130" t="n">
        <f aca="false">IVA!AR49/IVA!CK11</f>
        <v>0.00636825525256949</v>
      </c>
      <c r="AX49" s="130" t="n">
        <f aca="false">IVA!AS49/IVA!CL11</f>
        <v>0.00685944810651067</v>
      </c>
      <c r="AY49" s="130" t="n">
        <f aca="false">IVA!AT49/IVA!CM11</f>
        <v>0.00851619802607502</v>
      </c>
      <c r="AZ49" s="271" t="n">
        <f aca="false">IVA!AU49/IVA!CN11</f>
        <v>0.0285345663066953</v>
      </c>
      <c r="BA49" s="266" t="n">
        <v>2002</v>
      </c>
      <c r="BB49" s="308" t="s">
        <v>413</v>
      </c>
      <c r="BC49" s="309"/>
      <c r="BD49" s="309"/>
      <c r="BE49" s="309"/>
      <c r="BF49" s="310" t="n">
        <v>119033.3512</v>
      </c>
      <c r="BG49" s="310" t="n">
        <v>103372.17512</v>
      </c>
      <c r="BH49" s="310" t="n">
        <v>106475.50454</v>
      </c>
      <c r="BI49" s="310" t="n">
        <v>82252.23403</v>
      </c>
      <c r="BJ49" s="310" t="n">
        <v>144816.99172</v>
      </c>
      <c r="BK49" s="310" t="n">
        <v>112315.69464</v>
      </c>
      <c r="BL49" s="310" t="n">
        <v>116790.74341</v>
      </c>
      <c r="BM49" s="310" t="n">
        <v>114356.92349</v>
      </c>
      <c r="BN49" s="310" t="n">
        <v>131945.62447</v>
      </c>
      <c r="BO49" s="310" t="n">
        <v>119812.82189</v>
      </c>
      <c r="BP49" s="310" t="n">
        <v>132254.79804</v>
      </c>
      <c r="BQ49" s="311" t="n">
        <v>143157.37091</v>
      </c>
      <c r="BR49" s="175" t="n">
        <f aca="false">IVA!BF49+IVA!BG49+IVA!BH49</f>
        <v>328881.03086</v>
      </c>
      <c r="BS49" s="175" t="n">
        <f aca="false">IVA!BI49+IVA!BJ49+IVA!BK49</f>
        <v>339384.92039</v>
      </c>
      <c r="BT49" s="175" t="n">
        <f aca="false">IVA!BL49+IVA!BM49+IVA!BN49</f>
        <v>363093.29137</v>
      </c>
      <c r="BU49" s="176" t="n">
        <f aca="false">IVA!BO49+IVA!BP49+IVA!BQ49</f>
        <v>395224.99084</v>
      </c>
      <c r="BV49" s="137" t="n">
        <f aca="false">IVA!BR49+IVA!BS49+IVA!BT49+IVA!BU49</f>
        <v>1426584.23346</v>
      </c>
      <c r="BW49" s="138" t="n">
        <f aca="false">IVA!BR49/IVA!CJ11</f>
        <v>0.00138735000805713</v>
      </c>
      <c r="BX49" s="139" t="n">
        <f aca="false">IVA!BS49/IVA!CK11</f>
        <v>0.00100111123774756</v>
      </c>
      <c r="BY49" s="138" t="n">
        <f aca="false">IVA!BT49/IVA!CL11</f>
        <v>0.00108708538294946</v>
      </c>
      <c r="BZ49" s="138" t="n">
        <f aca="false">IVA!BU49/IVA!CM11</f>
        <v>0.00116157431606326</v>
      </c>
      <c r="CA49" s="273" t="n">
        <f aca="false">IVA!BV49/IVA!CN11</f>
        <v>0.00456389908790006</v>
      </c>
      <c r="CH49" s="13"/>
      <c r="CI49" s="25" t="s">
        <v>440</v>
      </c>
      <c r="CJ49" s="26"/>
      <c r="CK49" s="26"/>
      <c r="CL49" s="26"/>
      <c r="CM49" s="26"/>
      <c r="CN49" s="26"/>
      <c r="CO49" s="26"/>
      <c r="CP49" s="26"/>
      <c r="CQ49" s="27"/>
      <c r="CS49" s="220"/>
      <c r="CT49" s="99" t="s">
        <v>200</v>
      </c>
      <c r="CU49" s="100"/>
      <c r="CV49" s="100"/>
      <c r="CW49" s="100"/>
      <c r="CX49" s="100"/>
      <c r="CY49" s="100"/>
      <c r="CZ49" s="100"/>
      <c r="DA49" s="100" t="n">
        <v>303300</v>
      </c>
      <c r="DB49" s="100"/>
      <c r="DC49" s="100"/>
      <c r="DD49" s="100"/>
      <c r="DE49" s="100"/>
      <c r="DF49" s="100"/>
      <c r="DG49" s="100"/>
      <c r="DY49" s="215" t="s">
        <v>441</v>
      </c>
      <c r="EA49" s="195"/>
      <c r="EB49" s="230" t="n">
        <v>11205450</v>
      </c>
      <c r="EC49" s="230" t="n">
        <v>-1471765</v>
      </c>
      <c r="ED49" s="230" t="n">
        <v>9733685</v>
      </c>
      <c r="EE49" s="230" t="n">
        <v>9521730.34</v>
      </c>
      <c r="EF49" s="230" t="n">
        <v>8911535.31</v>
      </c>
      <c r="EG49" s="231" t="n">
        <v>8045914.86</v>
      </c>
      <c r="EH49" s="232" t="n">
        <f aca="false">IVA!EF49-IVA!EG49</f>
        <v>865620.45</v>
      </c>
      <c r="EJ49" s="31" t="n">
        <v>1997</v>
      </c>
      <c r="EK49" s="32" t="n">
        <v>4802.807</v>
      </c>
      <c r="EL49" s="33" t="n">
        <v>4089.631</v>
      </c>
      <c r="EM49" s="122" t="s">
        <v>336</v>
      </c>
      <c r="EN49" s="34" t="n">
        <f aca="false">IVA!EO27/IVA!EK65/1000</f>
        <v>0.703829379856442</v>
      </c>
      <c r="EO49" s="34" t="n">
        <f aca="false">IVA!EO27/IVA!EL64/1000</f>
        <v>0.837538590257324</v>
      </c>
      <c r="ET49" s="181" t="n">
        <v>2008</v>
      </c>
      <c r="EU49" s="122" t="s">
        <v>442</v>
      </c>
      <c r="EV49" s="122" t="s">
        <v>443</v>
      </c>
      <c r="EW49" s="122" t="s">
        <v>425</v>
      </c>
      <c r="EX49" s="122" t="s">
        <v>444</v>
      </c>
    </row>
    <row r="50" customFormat="false" ht="12.75" hidden="false" customHeight="true" outlineLevel="0" collapsed="false">
      <c r="AA50" s="304" t="n">
        <v>2003</v>
      </c>
      <c r="AB50" s="304" t="s">
        <v>412</v>
      </c>
      <c r="AC50" s="313"/>
      <c r="AD50" s="314"/>
      <c r="AE50" s="315" t="n">
        <v>1095161.73649</v>
      </c>
      <c r="AF50" s="315" t="n">
        <v>803360.94843</v>
      </c>
      <c r="AG50" s="315" t="n">
        <v>783281.62337</v>
      </c>
      <c r="AH50" s="315" t="n">
        <v>961498.61043</v>
      </c>
      <c r="AI50" s="315" t="n">
        <v>2163978.28219</v>
      </c>
      <c r="AJ50" s="315" t="n">
        <v>1647392.00907</v>
      </c>
      <c r="AK50" s="315" t="n">
        <v>1183915.64157</v>
      </c>
      <c r="AL50" s="315" t="n">
        <v>1310293.3479</v>
      </c>
      <c r="AM50" s="315" t="n">
        <v>1018647.50485</v>
      </c>
      <c r="AN50" s="315" t="n">
        <v>1094194.89194</v>
      </c>
      <c r="AO50" s="315" t="n">
        <v>1377578.38404</v>
      </c>
      <c r="AP50" s="315" t="n">
        <v>1311433.64037</v>
      </c>
      <c r="AQ50" s="155" t="n">
        <f aca="false">IVA!AE50+IVA!AF50+IVA!AG50</f>
        <v>2681804.30829</v>
      </c>
      <c r="AR50" s="155" t="n">
        <f aca="false">IVA!AH50+IVA!AI50+IVA!AJ50</f>
        <v>4772868.90169</v>
      </c>
      <c r="AS50" s="155" t="n">
        <f aca="false">IVA!AK50+IVA!AL50+IVA!AM50</f>
        <v>3512856.49432</v>
      </c>
      <c r="AT50" s="155" t="n">
        <f aca="false">IVA!AN50+IVA!AO50+IVA!AP50</f>
        <v>3783206.91635</v>
      </c>
      <c r="AU50" s="129" t="n">
        <f aca="false">IVA!AQ50+IVA!AR50+IVA!AS50+IVA!AT50</f>
        <v>14750736.62065</v>
      </c>
      <c r="AV50" s="130" t="n">
        <f aca="false">IVA!AQ50/IVA!CJ12</f>
        <v>0.00819216741188654</v>
      </c>
      <c r="AW50" s="130" t="n">
        <f aca="false">IVA!AR50/IVA!CK12</f>
        <v>0.0119585157678257</v>
      </c>
      <c r="AX50" s="130" t="n">
        <f aca="false">IVA!AS50/IVA!CL12</f>
        <v>0.00929604415337259</v>
      </c>
      <c r="AY50" s="130" t="n">
        <f aca="false">IVA!AT50/IVA!CM12</f>
        <v>0.009475319247085</v>
      </c>
      <c r="AZ50" s="271" t="n">
        <f aca="false">IVA!AU50/IVA!CN12</f>
        <v>0.0392401417348195</v>
      </c>
      <c r="BA50" s="266" t="n">
        <v>2003</v>
      </c>
      <c r="BB50" s="308" t="s">
        <v>413</v>
      </c>
      <c r="BC50" s="309"/>
      <c r="BD50" s="309"/>
      <c r="BE50" s="309"/>
      <c r="BF50" s="310" t="n">
        <v>144051.69583</v>
      </c>
      <c r="BG50" s="310" t="n">
        <v>121690.86253</v>
      </c>
      <c r="BH50" s="310" t="n">
        <v>135576.9767</v>
      </c>
      <c r="BI50" s="310" t="n">
        <v>131815.81669</v>
      </c>
      <c r="BJ50" s="310" t="n">
        <v>125726.94497</v>
      </c>
      <c r="BK50" s="310" t="n">
        <v>135713.89045</v>
      </c>
      <c r="BL50" s="310" t="n">
        <v>132151.83481</v>
      </c>
      <c r="BM50" s="310" t="n">
        <v>164046.71856</v>
      </c>
      <c r="BN50" s="310" t="n">
        <v>161193.34125</v>
      </c>
      <c r="BO50" s="310" t="n">
        <v>155718.42283</v>
      </c>
      <c r="BP50" s="310" t="n">
        <v>172905.86535</v>
      </c>
      <c r="BQ50" s="311" t="n">
        <v>189556.94252</v>
      </c>
      <c r="BR50" s="175" t="n">
        <f aca="false">IVA!BF50+IVA!BG50+IVA!BH50</f>
        <v>401319.53506</v>
      </c>
      <c r="BS50" s="175" t="n">
        <f aca="false">IVA!BI50+IVA!BJ50+IVA!BK50</f>
        <v>393256.65211</v>
      </c>
      <c r="BT50" s="175" t="n">
        <f aca="false">IVA!BL50+IVA!BM50+IVA!BN50</f>
        <v>457391.89462</v>
      </c>
      <c r="BU50" s="176" t="n">
        <f aca="false">IVA!BO50+IVA!BP50+IVA!BQ50</f>
        <v>518181.2307</v>
      </c>
      <c r="BV50" s="137" t="n">
        <f aca="false">IVA!BR50+IVA!BS50+IVA!BT50+IVA!BU50</f>
        <v>1770149.31249</v>
      </c>
      <c r="BW50" s="138" t="n">
        <f aca="false">IVA!BR50/IVA!CJ12</f>
        <v>0.00122591973124553</v>
      </c>
      <c r="BX50" s="139" t="n">
        <f aca="false">IVA!BS50/IVA!CK12</f>
        <v>0.000985312182656978</v>
      </c>
      <c r="BY50" s="138" t="n">
        <f aca="false">IVA!BT50/IVA!CL12</f>
        <v>0.00121039252661112</v>
      </c>
      <c r="BZ50" s="138" t="n">
        <f aca="false">IVA!BU50/IVA!CM12</f>
        <v>0.00129782290456028</v>
      </c>
      <c r="CA50" s="273" t="n">
        <f aca="false">IVA!BV50/IVA!CN12</f>
        <v>0.00470897906323271</v>
      </c>
      <c r="CH50" s="13"/>
      <c r="CI50" s="239"/>
      <c r="CJ50" s="26"/>
      <c r="CK50" s="26"/>
      <c r="CL50" s="26"/>
      <c r="CM50" s="26"/>
      <c r="CN50" s="26"/>
      <c r="CO50" s="26"/>
      <c r="CP50" s="26"/>
      <c r="CQ50" s="27"/>
      <c r="CS50" s="220"/>
      <c r="CT50" s="99" t="s">
        <v>215</v>
      </c>
      <c r="CU50" s="100"/>
      <c r="CV50" s="100"/>
      <c r="CW50" s="100"/>
      <c r="CX50" s="100"/>
      <c r="CY50" s="100"/>
      <c r="CZ50" s="100"/>
      <c r="DA50" s="291" t="n">
        <f aca="false">1.127*1713.7*1000</f>
        <v>1931339.9</v>
      </c>
      <c r="DB50" s="100"/>
      <c r="DC50" s="100"/>
      <c r="DD50" s="100"/>
      <c r="DE50" s="100"/>
      <c r="DF50" s="100"/>
      <c r="DG50" s="100"/>
      <c r="DY50" s="222" t="s">
        <v>445</v>
      </c>
      <c r="DZ50" s="223"/>
      <c r="EA50" s="206"/>
      <c r="EB50" s="236" t="n">
        <v>19791816800</v>
      </c>
      <c r="EC50" s="236" t="n">
        <v>-276485934</v>
      </c>
      <c r="ED50" s="236" t="n">
        <v>19515330866</v>
      </c>
      <c r="EE50" s="236" t="n">
        <v>18164158162.05</v>
      </c>
      <c r="EF50" s="236" t="n">
        <v>18003537976.22</v>
      </c>
      <c r="EG50" s="237" t="n">
        <v>16671975750.4</v>
      </c>
      <c r="EH50" s="238" t="n">
        <f aca="false">IVA!EF50-IVA!EG50</f>
        <v>1331562225.82</v>
      </c>
      <c r="EJ50" s="31" t="n">
        <v>1998</v>
      </c>
      <c r="EK50" s="32" t="n">
        <v>4897.468</v>
      </c>
      <c r="EL50" s="33" t="n">
        <v>4181.93</v>
      </c>
      <c r="EN50" s="34"/>
      <c r="EQ50" s="173"/>
      <c r="ET50" s="181" t="n">
        <v>2009</v>
      </c>
      <c r="EU50" s="122" t="s">
        <v>446</v>
      </c>
      <c r="EV50" s="122" t="s">
        <v>447</v>
      </c>
      <c r="EW50" s="122" t="s">
        <v>435</v>
      </c>
      <c r="EX50" s="122" t="s">
        <v>448</v>
      </c>
    </row>
    <row r="51" customFormat="false" ht="12.75" hidden="false" customHeight="true" outlineLevel="0" collapsed="false">
      <c r="AA51" s="304" t="n">
        <v>2004</v>
      </c>
      <c r="AB51" s="304" t="s">
        <v>412</v>
      </c>
      <c r="AC51" s="313"/>
      <c r="AD51" s="314"/>
      <c r="AE51" s="315" t="n">
        <v>1281229.24298</v>
      </c>
      <c r="AF51" s="315" t="n">
        <v>1058752.55258</v>
      </c>
      <c r="AG51" s="315" t="n">
        <v>1039242.98539</v>
      </c>
      <c r="AH51" s="315" t="n">
        <v>1175565.18146</v>
      </c>
      <c r="AI51" s="315" t="n">
        <v>5432477.73476</v>
      </c>
      <c r="AJ51" s="315" t="n">
        <v>2912930.49575</v>
      </c>
      <c r="AK51" s="315" t="n">
        <v>1638761.15091</v>
      </c>
      <c r="AL51" s="315" t="n">
        <v>1737786.72499</v>
      </c>
      <c r="AM51" s="315" t="n">
        <v>1499712.59591</v>
      </c>
      <c r="AN51" s="315" t="n">
        <v>1692371.22291</v>
      </c>
      <c r="AO51" s="315" t="n">
        <v>1736125.0075</v>
      </c>
      <c r="AP51" s="315" t="n">
        <v>1084139.20636</v>
      </c>
      <c r="AQ51" s="155" t="n">
        <f aca="false">IVA!AE51+IVA!AF51+IVA!AG51</f>
        <v>3379224.78095</v>
      </c>
      <c r="AR51" s="155" t="n">
        <f aca="false">IVA!AH51+IVA!AI51+IVA!AJ51</f>
        <v>9520973.41197</v>
      </c>
      <c r="AS51" s="155" t="n">
        <f aca="false">IVA!AK51+IVA!AL51+IVA!AM51</f>
        <v>4876260.47181</v>
      </c>
      <c r="AT51" s="155" t="n">
        <f aca="false">IVA!AN51+IVA!AO51+IVA!AP51</f>
        <v>4512635.43677</v>
      </c>
      <c r="AU51" s="129" t="n">
        <f aca="false">IVA!AQ51+IVA!AR51+IVA!AS51+IVA!AT51</f>
        <v>22289094.1015</v>
      </c>
      <c r="AV51" s="130" t="n">
        <f aca="false">IVA!AQ51/IVA!CJ13</f>
        <v>0.00860254210217481</v>
      </c>
      <c r="AW51" s="130" t="n">
        <f aca="false">IVA!AR51/IVA!CK13</f>
        <v>0.0200774162760371</v>
      </c>
      <c r="AX51" s="130" t="n">
        <f aca="false">IVA!AS51/IVA!CL13</f>
        <v>0.0107862858293194</v>
      </c>
      <c r="AY51" s="130" t="n">
        <f aca="false">IVA!AT51/IVA!CM13</f>
        <v>0.00957154724042855</v>
      </c>
      <c r="AZ51" s="271" t="n">
        <f aca="false">IVA!AU51/IVA!CN13</f>
        <v>0.0497920729418541</v>
      </c>
      <c r="BA51" s="266" t="n">
        <v>2004</v>
      </c>
      <c r="BB51" s="308" t="s">
        <v>413</v>
      </c>
      <c r="BC51" s="309"/>
      <c r="BD51" s="309"/>
      <c r="BE51" s="309"/>
      <c r="BF51" s="310" t="n">
        <v>191112.71688</v>
      </c>
      <c r="BG51" s="310" t="n">
        <v>173975.67599</v>
      </c>
      <c r="BH51" s="310" t="n">
        <v>196418.76812</v>
      </c>
      <c r="BI51" s="310" t="n">
        <v>141412.31207</v>
      </c>
      <c r="BJ51" s="310" t="n">
        <v>184503.99258</v>
      </c>
      <c r="BK51" s="310" t="n">
        <v>177035.52626</v>
      </c>
      <c r="BL51" s="310" t="n">
        <v>171589.16788</v>
      </c>
      <c r="BM51" s="310" t="n">
        <v>198569.03083</v>
      </c>
      <c r="BN51" s="310" t="n">
        <v>192930.04871</v>
      </c>
      <c r="BO51" s="310" t="n">
        <v>200917.60833</v>
      </c>
      <c r="BP51" s="310" t="n">
        <v>215511.79022</v>
      </c>
      <c r="BQ51" s="311" t="n">
        <v>252668.89031</v>
      </c>
      <c r="BR51" s="175" t="n">
        <f aca="false">IVA!BF51+IVA!BG51+IVA!BH51</f>
        <v>561507.16099</v>
      </c>
      <c r="BS51" s="175" t="n">
        <f aca="false">IVA!BI51+IVA!BJ51+IVA!BK51</f>
        <v>502951.83091</v>
      </c>
      <c r="BT51" s="175" t="n">
        <f aca="false">IVA!BL51+IVA!BM51+IVA!BN51</f>
        <v>563088.24742</v>
      </c>
      <c r="BU51" s="176" t="n">
        <f aca="false">IVA!BO51+IVA!BP51+IVA!BQ51</f>
        <v>669098.28886</v>
      </c>
      <c r="BV51" s="137" t="n">
        <f aca="false">IVA!BR51+IVA!BS51+IVA!BT51+IVA!BU51</f>
        <v>2296645.52818</v>
      </c>
      <c r="BW51" s="138" t="n">
        <f aca="false">IVA!BR51/IVA!CJ13</f>
        <v>0.00142943701772072</v>
      </c>
      <c r="BX51" s="139" t="n">
        <f aca="false">IVA!BS51/IVA!CK13</f>
        <v>0.00106060303280331</v>
      </c>
      <c r="BY51" s="138" t="n">
        <f aca="false">IVA!BT51/IVA!CL13</f>
        <v>0.00124555093373595</v>
      </c>
      <c r="BZ51" s="138" t="n">
        <f aca="false">IVA!BU51/IVA!CM13</f>
        <v>0.00141919416492847</v>
      </c>
      <c r="CA51" s="273" t="n">
        <f aca="false">IVA!BV51/IVA!CN13</f>
        <v>0.00513052442328851</v>
      </c>
      <c r="CH51" s="13"/>
      <c r="CI51" s="239"/>
      <c r="CJ51" s="26"/>
      <c r="CK51" s="26"/>
      <c r="CL51" s="26"/>
      <c r="CM51" s="26"/>
      <c r="CN51" s="26"/>
      <c r="CO51" s="26"/>
      <c r="CP51" s="26"/>
      <c r="CQ51" s="27"/>
      <c r="CS51" s="220"/>
      <c r="CT51" s="99" t="s">
        <v>232</v>
      </c>
      <c r="CU51" s="100"/>
      <c r="CV51" s="100"/>
      <c r="CW51" s="100"/>
      <c r="CX51" s="100"/>
      <c r="CY51" s="100" t="n">
        <v>1979900</v>
      </c>
      <c r="CZ51" s="100"/>
      <c r="DA51" s="100"/>
      <c r="DB51" s="100"/>
      <c r="DC51" s="100"/>
      <c r="DD51" s="100"/>
      <c r="DE51" s="100"/>
      <c r="DF51" s="100"/>
      <c r="DG51" s="100"/>
      <c r="DY51" s="319" t="s">
        <v>433</v>
      </c>
      <c r="DZ51" s="45"/>
      <c r="EA51" s="210" t="n">
        <v>2002</v>
      </c>
      <c r="EB51" s="227" t="n">
        <v>21011911059</v>
      </c>
      <c r="EC51" s="227" t="n">
        <v>1529787344</v>
      </c>
      <c r="ED51" s="227" t="n">
        <v>22541698403</v>
      </c>
      <c r="EE51" s="227" t="n">
        <v>20686674979.25</v>
      </c>
      <c r="EF51" s="227" t="n">
        <v>20684832793.34</v>
      </c>
      <c r="EG51" s="228" t="n">
        <v>19087003916.57</v>
      </c>
      <c r="EH51" s="229" t="n">
        <f aca="false">IVA!EF51-IVA!EG51</f>
        <v>1597828876.77</v>
      </c>
      <c r="EJ51" s="31" t="n">
        <v>1999</v>
      </c>
      <c r="EK51" s="32" t="n">
        <v>4985.048</v>
      </c>
      <c r="EL51" s="33" t="n">
        <v>4265.515</v>
      </c>
      <c r="ET51" s="181" t="n">
        <v>2010</v>
      </c>
      <c r="EU51" s="122" t="s">
        <v>449</v>
      </c>
      <c r="EV51" s="122" t="s">
        <v>450</v>
      </c>
      <c r="EW51" s="122" t="s">
        <v>425</v>
      </c>
      <c r="EX51" s="122" t="s">
        <v>451</v>
      </c>
    </row>
    <row r="52" customFormat="false" ht="12.75" hidden="false" customHeight="true" outlineLevel="0" collapsed="false">
      <c r="AA52" s="304" t="n">
        <v>2005</v>
      </c>
      <c r="AB52" s="304" t="s">
        <v>412</v>
      </c>
      <c r="AC52" s="313"/>
      <c r="AD52" s="314"/>
      <c r="AE52" s="315" t="n">
        <v>1728462.21934</v>
      </c>
      <c r="AF52" s="315" t="n">
        <v>1855683.24049</v>
      </c>
      <c r="AG52" s="315" t="n">
        <v>1732771.74173</v>
      </c>
      <c r="AH52" s="315" t="n">
        <v>1956221.44784</v>
      </c>
      <c r="AI52" s="315" t="n">
        <v>3709076.96299</v>
      </c>
      <c r="AJ52" s="315" t="n">
        <v>3605110.45414</v>
      </c>
      <c r="AK52" s="315" t="n">
        <v>2081227.38024</v>
      </c>
      <c r="AL52" s="315" t="n">
        <v>2193756.49607</v>
      </c>
      <c r="AM52" s="315" t="n">
        <v>2075113.7508</v>
      </c>
      <c r="AN52" s="315" t="n">
        <v>2230165.28682</v>
      </c>
      <c r="AO52" s="315" t="n">
        <v>2260017.30835</v>
      </c>
      <c r="AP52" s="315" t="n">
        <v>2617792.76373</v>
      </c>
      <c r="AQ52" s="155" t="n">
        <f aca="false">IVA!AE52+IVA!AF52+IVA!AG52</f>
        <v>5316917.20156</v>
      </c>
      <c r="AR52" s="155" t="n">
        <f aca="false">IVA!AH52+IVA!AI52+IVA!AJ52</f>
        <v>9270408.86497</v>
      </c>
      <c r="AS52" s="155" t="n">
        <f aca="false">IVA!AK52+IVA!AL52+IVA!AM52</f>
        <v>6350097.62711</v>
      </c>
      <c r="AT52" s="155" t="n">
        <f aca="false">IVA!AN52+IVA!AO52+IVA!AP52</f>
        <v>7107975.3589</v>
      </c>
      <c r="AU52" s="129" t="n">
        <f aca="false">IVA!AQ52+IVA!AR52+IVA!AS52+IVA!AT52</f>
        <v>28045399.05254</v>
      </c>
      <c r="AV52" s="130" t="n">
        <f aca="false">IVA!AQ52/IVA!CJ14</f>
        <v>0.0116404033626993</v>
      </c>
      <c r="AW52" s="130" t="n">
        <f aca="false">IVA!AR52/IVA!CK14</f>
        <v>0.0167816986657252</v>
      </c>
      <c r="AX52" s="130" t="n">
        <f aca="false">IVA!AS52/IVA!CL14</f>
        <v>0.0116680797020894</v>
      </c>
      <c r="AY52" s="130" t="n">
        <f aca="false">IVA!AT52/IVA!CM14</f>
        <v>0.0123756613153354</v>
      </c>
      <c r="AZ52" s="271" t="n">
        <f aca="false">IVA!AU52/IVA!CN14</f>
        <v>0.0527229883387069</v>
      </c>
      <c r="BA52" s="266" t="n">
        <v>2005</v>
      </c>
      <c r="BB52" s="308" t="s">
        <v>413</v>
      </c>
      <c r="BC52" s="309"/>
      <c r="BD52" s="309"/>
      <c r="BE52" s="309"/>
      <c r="BF52" s="310" t="n">
        <v>214741.12007</v>
      </c>
      <c r="BG52" s="310" t="n">
        <v>217696.43099</v>
      </c>
      <c r="BH52" s="310" t="n">
        <v>219044.27689</v>
      </c>
      <c r="BI52" s="310" t="n">
        <v>250584.03796</v>
      </c>
      <c r="BJ52" s="310" t="n">
        <v>212290.99465</v>
      </c>
      <c r="BK52" s="310" t="n">
        <v>221677.48016</v>
      </c>
      <c r="BL52" s="310" t="n">
        <v>208046.02871</v>
      </c>
      <c r="BM52" s="310" t="n">
        <v>224562.25214</v>
      </c>
      <c r="BN52" s="310" t="n">
        <v>222811.15813</v>
      </c>
      <c r="BO52" s="310" t="n">
        <v>223725.57559</v>
      </c>
      <c r="BP52" s="310" t="n">
        <v>241035.06123</v>
      </c>
      <c r="BQ52" s="311" t="n">
        <v>243646.89175</v>
      </c>
      <c r="BR52" s="175" t="n">
        <f aca="false">IVA!BF52+IVA!BG52+IVA!BH52</f>
        <v>651481.82795</v>
      </c>
      <c r="BS52" s="175" t="n">
        <f aca="false">IVA!BI52+IVA!BJ52+IVA!BK52</f>
        <v>684552.51277</v>
      </c>
      <c r="BT52" s="175" t="n">
        <f aca="false">IVA!BL52+IVA!BM52+IVA!BN52</f>
        <v>655419.43898</v>
      </c>
      <c r="BU52" s="176" t="n">
        <f aca="false">IVA!BO52+IVA!BP52+IVA!BQ52</f>
        <v>708407.52857</v>
      </c>
      <c r="BV52" s="137" t="n">
        <f aca="false">IVA!BR52+IVA!BS52+IVA!BT52+IVA!BU52</f>
        <v>2699861.30827</v>
      </c>
      <c r="BW52" s="138" t="n">
        <f aca="false">IVA!BR52/IVA!CJ14</f>
        <v>0.0014262985435586</v>
      </c>
      <c r="BX52" s="139" t="n">
        <f aca="false">IVA!BS52/IVA!CK14</f>
        <v>0.00123920683084223</v>
      </c>
      <c r="BY52" s="138" t="n">
        <f aca="false">IVA!BT52/IVA!CL14</f>
        <v>0.00120431002819051</v>
      </c>
      <c r="BZ52" s="138" t="n">
        <f aca="false">IVA!BU52/IVA!CM14</f>
        <v>0.00123340490141666</v>
      </c>
      <c r="CA52" s="273" t="n">
        <f aca="false">IVA!BV52/IVA!CN14</f>
        <v>0.00507551188718612</v>
      </c>
      <c r="CH52" s="13"/>
      <c r="CI52" s="235"/>
      <c r="CJ52" s="77"/>
      <c r="CK52" s="78"/>
      <c r="CL52" s="78"/>
      <c r="CM52" s="78"/>
      <c r="CN52" s="78"/>
      <c r="CO52" s="63"/>
      <c r="CP52" s="63"/>
      <c r="CQ52" s="13"/>
      <c r="CS52" s="220"/>
      <c r="CT52" s="99" t="s">
        <v>247</v>
      </c>
      <c r="CU52" s="100"/>
      <c r="CV52" s="100"/>
      <c r="CW52" s="100"/>
      <c r="CX52" s="100"/>
      <c r="CY52" s="100"/>
      <c r="CZ52" s="100"/>
      <c r="DA52" s="100"/>
      <c r="DB52" s="100"/>
      <c r="DC52" s="100"/>
      <c r="DD52" s="100"/>
      <c r="DE52" s="100"/>
      <c r="DF52" s="100"/>
      <c r="DG52" s="100"/>
      <c r="DY52" s="215" t="s">
        <v>452</v>
      </c>
      <c r="EA52" s="179"/>
      <c r="EB52" s="230" t="n">
        <v>886585338</v>
      </c>
      <c r="EC52" s="230" t="n">
        <v>1522118479</v>
      </c>
      <c r="ED52" s="230" t="n">
        <v>2408703817</v>
      </c>
      <c r="EE52" s="230" t="n">
        <v>2372148576.33</v>
      </c>
      <c r="EF52" s="230" t="n">
        <v>2371365737.52</v>
      </c>
      <c r="EG52" s="231" t="n">
        <v>2315042629.71</v>
      </c>
      <c r="EH52" s="232" t="n">
        <f aca="false">IVA!EF52-IVA!EG52</f>
        <v>56323107.8099999</v>
      </c>
      <c r="EJ52" s="31" t="n">
        <v>2000</v>
      </c>
      <c r="EK52" s="32" t="n">
        <v>5066.893</v>
      </c>
      <c r="EL52" s="33" t="n">
        <v>4341.39</v>
      </c>
      <c r="ET52" s="181" t="n">
        <v>2011</v>
      </c>
      <c r="EU52" s="122" t="s">
        <v>453</v>
      </c>
      <c r="EV52" s="122" t="s">
        <v>454</v>
      </c>
      <c r="EW52" s="122" t="s">
        <v>455</v>
      </c>
      <c r="EX52" s="122" t="s">
        <v>456</v>
      </c>
    </row>
    <row r="53" customFormat="false" ht="12.75" hidden="false" customHeight="true" outlineLevel="0" collapsed="false">
      <c r="AA53" s="304" t="n">
        <v>2006</v>
      </c>
      <c r="AB53" s="304" t="s">
        <v>412</v>
      </c>
      <c r="AC53" s="313"/>
      <c r="AD53" s="314"/>
      <c r="AE53" s="315" t="n">
        <v>2407274.58871</v>
      </c>
      <c r="AF53" s="315" t="n">
        <v>2301290.60209</v>
      </c>
      <c r="AG53" s="315" t="n">
        <v>1987434.17347</v>
      </c>
      <c r="AH53" s="315" t="n">
        <v>1384797.02801</v>
      </c>
      <c r="AI53" s="315" t="n">
        <v>4221972.91272</v>
      </c>
      <c r="AJ53" s="315" t="n">
        <v>4472995.18096</v>
      </c>
      <c r="AK53" s="315" t="n">
        <v>2624553.72197</v>
      </c>
      <c r="AL53" s="315" t="n">
        <v>2862724.04425</v>
      </c>
      <c r="AM53" s="315" t="n">
        <v>2560648.58559</v>
      </c>
      <c r="AN53" s="315" t="n">
        <v>2761295.66935</v>
      </c>
      <c r="AO53" s="315" t="n">
        <v>3163372.35202</v>
      </c>
      <c r="AP53" s="315" t="n">
        <v>2866733.21745</v>
      </c>
      <c r="AQ53" s="155" t="n">
        <f aca="false">IVA!AE53+IVA!AF53+IVA!AG53</f>
        <v>6695999.36427</v>
      </c>
      <c r="AR53" s="155" t="n">
        <f aca="false">IVA!AH53+IVA!AI53+IVA!AJ53</f>
        <v>10079765.12169</v>
      </c>
      <c r="AS53" s="155" t="n">
        <f aca="false">IVA!AK53+IVA!AL53+IVA!AM53</f>
        <v>8047926.35181</v>
      </c>
      <c r="AT53" s="155" t="n">
        <f aca="false">IVA!AN53+IVA!AO53+IVA!AP53</f>
        <v>8791401.23882</v>
      </c>
      <c r="AU53" s="129" t="n">
        <f aca="false">IVA!AQ53+IVA!AR53+IVA!AS53+IVA!AT53</f>
        <v>33615092.07659</v>
      </c>
      <c r="AV53" s="130" t="n">
        <f aca="false">IVA!AQ53/IVA!CJ15</f>
        <v>0.0117888558052902</v>
      </c>
      <c r="AW53" s="130" t="n">
        <f aca="false">IVA!AR53/IVA!CK15</f>
        <v>0.0148608064224086</v>
      </c>
      <c r="AX53" s="130" t="n">
        <f aca="false">IVA!AS53/IVA!CL15</f>
        <v>0.0120442378395849</v>
      </c>
      <c r="AY53" s="130" t="n">
        <f aca="false">IVA!AT53/IVA!CM15</f>
        <v>0.0125004652849276</v>
      </c>
      <c r="AZ53" s="271" t="n">
        <f aca="false">IVA!AU53/IVA!CN15</f>
        <v>0.051364745735339</v>
      </c>
      <c r="BA53" s="266" t="n">
        <v>2006</v>
      </c>
      <c r="BB53" s="308" t="s">
        <v>413</v>
      </c>
      <c r="BC53" s="309"/>
      <c r="BD53" s="309"/>
      <c r="BE53" s="309"/>
      <c r="BF53" s="310" t="n">
        <v>267325.69238</v>
      </c>
      <c r="BG53" s="310" t="n">
        <v>229202.47132</v>
      </c>
      <c r="BH53" s="310" t="n">
        <v>206226.4579</v>
      </c>
      <c r="BI53" s="310" t="n">
        <v>239476.61999</v>
      </c>
      <c r="BJ53" s="310" t="n">
        <v>193596.09606</v>
      </c>
      <c r="BK53" s="310" t="n">
        <v>214424.02706</v>
      </c>
      <c r="BL53" s="310" t="n">
        <v>214820.41763</v>
      </c>
      <c r="BM53" s="310" t="n">
        <v>211598.06912</v>
      </c>
      <c r="BN53" s="310" t="n">
        <v>220134.40612</v>
      </c>
      <c r="BO53" s="310" t="n">
        <v>231345.17611</v>
      </c>
      <c r="BP53" s="310" t="n">
        <v>246380.00865</v>
      </c>
      <c r="BQ53" s="311" t="n">
        <v>242806.40527</v>
      </c>
      <c r="BR53" s="175" t="n">
        <f aca="false">IVA!BF53+IVA!BG53+IVA!BH53</f>
        <v>702754.6216</v>
      </c>
      <c r="BS53" s="175" t="n">
        <f aca="false">IVA!BI53+IVA!BJ53+IVA!BK53</f>
        <v>647496.74311</v>
      </c>
      <c r="BT53" s="175" t="n">
        <f aca="false">IVA!BL53+IVA!BM53+IVA!BN53</f>
        <v>646552.89287</v>
      </c>
      <c r="BU53" s="176" t="n">
        <f aca="false">IVA!BO53+IVA!BP53+IVA!BQ53</f>
        <v>720531.59003</v>
      </c>
      <c r="BV53" s="137" t="n">
        <f aca="false">IVA!BR53+IVA!BS53+IVA!BT53+IVA!BU53</f>
        <v>2717335.84761</v>
      </c>
      <c r="BW53" s="138" t="n">
        <f aca="false">IVA!BR53/IVA!CJ15</f>
        <v>0.00123725712173016</v>
      </c>
      <c r="BX53" s="139" t="n">
        <f aca="false">IVA!BS53/IVA!CK15</f>
        <v>0.000954617854913314</v>
      </c>
      <c r="BY53" s="138" t="n">
        <f aca="false">IVA!BT53/IVA!CL15</f>
        <v>0.000967607862843648</v>
      </c>
      <c r="BZ53" s="138" t="n">
        <f aca="false">IVA!BU53/IVA!CM15</f>
        <v>0.00102452156182928</v>
      </c>
      <c r="CA53" s="273" t="n">
        <f aca="false">IVA!BV53/IVA!CN15</f>
        <v>0.00415216071911972</v>
      </c>
      <c r="CH53" s="13"/>
      <c r="CI53" s="235"/>
      <c r="CJ53" s="93" t="s">
        <v>58</v>
      </c>
      <c r="CK53" s="94" t="s">
        <v>59</v>
      </c>
      <c r="CL53" s="94" t="s">
        <v>60</v>
      </c>
      <c r="CM53" s="94" t="s">
        <v>61</v>
      </c>
      <c r="CN53" s="94" t="s">
        <v>62</v>
      </c>
      <c r="CO53" s="63"/>
      <c r="CP53" s="63"/>
      <c r="CQ53" s="13"/>
      <c r="CS53" s="220"/>
      <c r="CT53" s="99" t="s">
        <v>457</v>
      </c>
      <c r="CU53" s="100"/>
      <c r="CV53" s="100"/>
      <c r="CW53" s="100"/>
      <c r="CX53" s="100"/>
      <c r="CY53" s="100" t="n">
        <v>673000</v>
      </c>
      <c r="CZ53" s="100"/>
      <c r="DA53" s="100"/>
      <c r="DB53" s="100"/>
      <c r="DC53" s="100"/>
      <c r="DD53" s="100"/>
      <c r="DE53" s="100"/>
      <c r="DF53" s="100"/>
      <c r="DG53" s="100"/>
      <c r="DY53" s="215" t="s">
        <v>458</v>
      </c>
      <c r="EA53" s="195"/>
      <c r="EB53" s="230" t="n">
        <v>10494700</v>
      </c>
      <c r="EC53" s="230" t="n">
        <v>0</v>
      </c>
      <c r="ED53" s="230" t="n">
        <v>10494700</v>
      </c>
      <c r="EE53" s="230" t="n">
        <v>8804868.17</v>
      </c>
      <c r="EF53" s="230" t="n">
        <v>8798348.89</v>
      </c>
      <c r="EG53" s="231" t="n">
        <v>8132348.04</v>
      </c>
      <c r="EH53" s="232" t="n">
        <f aca="false">IVA!EF53-IVA!EG53</f>
        <v>666000.850000001</v>
      </c>
      <c r="EJ53" s="31" t="n">
        <v>2001</v>
      </c>
      <c r="EK53" s="32" t="n">
        <v>5178.008</v>
      </c>
      <c r="EL53" s="33" t="n">
        <v>4446.562</v>
      </c>
    </row>
    <row r="54" customFormat="false" ht="12.75" hidden="false" customHeight="true" outlineLevel="0" collapsed="false">
      <c r="AA54" s="304" t="n">
        <v>2007</v>
      </c>
      <c r="AB54" s="304" t="s">
        <v>412</v>
      </c>
      <c r="AC54" s="313"/>
      <c r="AD54" s="314"/>
      <c r="AE54" s="315" t="n">
        <v>3001091.86049</v>
      </c>
      <c r="AF54" s="315" t="n">
        <v>2684786.27089</v>
      </c>
      <c r="AG54" s="315" t="n">
        <v>2540705.87657</v>
      </c>
      <c r="AH54" s="315" t="n">
        <v>2131881.83567</v>
      </c>
      <c r="AI54" s="315" t="n">
        <v>5322282.92878</v>
      </c>
      <c r="AJ54" s="315" t="n">
        <v>5452741.83606</v>
      </c>
      <c r="AK54" s="315" t="n">
        <v>3395244.96514</v>
      </c>
      <c r="AL54" s="315" t="n">
        <v>3818644.19354</v>
      </c>
      <c r="AM54" s="315" t="n">
        <v>3547092.10837</v>
      </c>
      <c r="AN54" s="315" t="n">
        <v>3337821.91241</v>
      </c>
      <c r="AO54" s="315" t="n">
        <v>3708012.04359</v>
      </c>
      <c r="AP54" s="315" t="n">
        <v>3914599.59533</v>
      </c>
      <c r="AQ54" s="155" t="n">
        <f aca="false">IVA!AE54+IVA!AF54+IVA!AG54</f>
        <v>8226584.00795</v>
      </c>
      <c r="AR54" s="155" t="n">
        <f aca="false">IVA!AH54+IVA!AI54+IVA!AJ54</f>
        <v>12906906.60051</v>
      </c>
      <c r="AS54" s="155" t="n">
        <f aca="false">IVA!AK54+IVA!AL54+IVA!AM54</f>
        <v>10760981.26705</v>
      </c>
      <c r="AT54" s="155" t="n">
        <f aca="false">IVA!AN54+IVA!AO54+IVA!AP54</f>
        <v>10960433.55133</v>
      </c>
      <c r="AU54" s="129" t="n">
        <f aca="false">IVA!AQ54+IVA!AR54+IVA!AS54+IVA!AT54</f>
        <v>42854905.42684</v>
      </c>
      <c r="AV54" s="130" t="n">
        <f aca="false">IVA!AQ54/IVA!CJ16</f>
        <v>0.012078024442022</v>
      </c>
      <c r="AW54" s="130" t="n">
        <f aca="false">IVA!AR54/IVA!CK16</f>
        <v>0.0154550545401205</v>
      </c>
      <c r="AX54" s="130" t="n">
        <f aca="false">IVA!AS54/IVA!CL16</f>
        <v>0.0130047884522329</v>
      </c>
      <c r="AY54" s="130" t="n">
        <f aca="false">IVA!AT54/IVA!CM16</f>
        <v>0.0120960744230567</v>
      </c>
      <c r="AZ54" s="271" t="n">
        <f aca="false">IVA!AU54/IVA!CN16</f>
        <v>0.0527473666086558</v>
      </c>
      <c r="BA54" s="266" t="n">
        <v>2007</v>
      </c>
      <c r="BB54" s="308" t="s">
        <v>413</v>
      </c>
      <c r="BC54" s="309"/>
      <c r="BD54" s="309"/>
      <c r="BE54" s="309"/>
      <c r="BF54" s="310" t="n">
        <v>263997.22268</v>
      </c>
      <c r="BG54" s="310" t="n">
        <v>246979.42981</v>
      </c>
      <c r="BH54" s="310" t="n">
        <v>215818.37902</v>
      </c>
      <c r="BI54" s="310" t="n">
        <v>273289.95483</v>
      </c>
      <c r="BJ54" s="310" t="n">
        <v>224803.84003</v>
      </c>
      <c r="BK54" s="310" t="n">
        <v>240415.91075</v>
      </c>
      <c r="BL54" s="310" t="n">
        <v>220677.54102</v>
      </c>
      <c r="BM54" s="310" t="n">
        <v>256559.49922</v>
      </c>
      <c r="BN54" s="310" t="n">
        <v>261373.18999</v>
      </c>
      <c r="BO54" s="310" t="n">
        <v>245954.85223</v>
      </c>
      <c r="BP54" s="310" t="n">
        <v>281709.60199</v>
      </c>
      <c r="BQ54" s="311" t="n">
        <v>289745.8487</v>
      </c>
      <c r="BR54" s="175" t="n">
        <f aca="false">IVA!BF54+IVA!BG54+IVA!BH54</f>
        <v>726795.03151</v>
      </c>
      <c r="BS54" s="175" t="n">
        <f aca="false">IVA!BI54+IVA!BJ54+IVA!BK54</f>
        <v>738509.70561</v>
      </c>
      <c r="BT54" s="175" t="n">
        <f aca="false">IVA!BL54+IVA!BM54+IVA!BN54</f>
        <v>738610.23023</v>
      </c>
      <c r="BU54" s="176" t="n">
        <f aca="false">IVA!BO54+IVA!BP54+IVA!BQ54</f>
        <v>817410.30292</v>
      </c>
      <c r="BV54" s="137" t="n">
        <f aca="false">IVA!BR54+IVA!BS54+IVA!BT54+IVA!BU54</f>
        <v>3021325.27027</v>
      </c>
      <c r="BW54" s="138" t="n">
        <f aca="false">IVA!BR54/IVA!CJ16</f>
        <v>0.00106705871433815</v>
      </c>
      <c r="BX54" s="139" t="n">
        <f aca="false">IVA!BS54/IVA!CK16</f>
        <v>0.000884310093183744</v>
      </c>
      <c r="BY54" s="138" t="n">
        <f aca="false">IVA!BT54/IVA!CL16</f>
        <v>0.00089262025036769</v>
      </c>
      <c r="BZ54" s="138" t="n">
        <f aca="false">IVA!BU54/IVA!CM16</f>
        <v>0.00090210444796628</v>
      </c>
      <c r="CA54" s="273" t="n">
        <f aca="false">IVA!BV54/IVA!CN16</f>
        <v>0.00371875634977172</v>
      </c>
      <c r="CH54" s="13"/>
      <c r="CI54" s="235"/>
      <c r="CJ54" s="281"/>
      <c r="CK54" s="281"/>
      <c r="CL54" s="281"/>
      <c r="CM54" s="281"/>
      <c r="CN54" s="281"/>
      <c r="CO54" s="63"/>
      <c r="CP54" s="63"/>
      <c r="CQ54" s="13"/>
      <c r="CS54" s="220"/>
      <c r="CT54" s="116" t="s">
        <v>459</v>
      </c>
      <c r="CU54" s="100"/>
      <c r="CV54" s="100"/>
      <c r="CW54" s="100"/>
      <c r="CX54" s="100"/>
      <c r="CY54" s="100"/>
      <c r="CZ54" s="100"/>
      <c r="DA54" s="100" t="n">
        <v>168000</v>
      </c>
      <c r="DB54" s="100"/>
      <c r="DC54" s="100"/>
      <c r="DD54" s="100"/>
      <c r="DE54" s="100"/>
      <c r="DF54" s="100"/>
      <c r="DG54" s="100"/>
      <c r="DY54" s="222" t="s">
        <v>460</v>
      </c>
      <c r="DZ54" s="223"/>
      <c r="EA54" s="206"/>
      <c r="EB54" s="236" t="n">
        <v>20114831021</v>
      </c>
      <c r="EC54" s="236" t="n">
        <v>7668865</v>
      </c>
      <c r="ED54" s="236" t="n">
        <v>20122499886</v>
      </c>
      <c r="EE54" s="236" t="n">
        <v>18305721534.75</v>
      </c>
      <c r="EF54" s="236" t="n">
        <v>18304668706.93</v>
      </c>
      <c r="EG54" s="237" t="n">
        <v>16763828938.82</v>
      </c>
      <c r="EH54" s="238" t="n">
        <f aca="false">IVA!EF54-IVA!EG54</f>
        <v>1540839768.11</v>
      </c>
      <c r="EJ54" s="31" t="n">
        <v>2002</v>
      </c>
      <c r="EK54" s="32" t="n">
        <v>5281.926</v>
      </c>
      <c r="EL54" s="33" t="n">
        <v>4542.33</v>
      </c>
      <c r="ER54" s="320" t="s">
        <v>461</v>
      </c>
    </row>
    <row r="55" customFormat="false" ht="12.75" hidden="false" customHeight="true" outlineLevel="0" collapsed="false">
      <c r="AA55" s="304" t="n">
        <v>2008</v>
      </c>
      <c r="AB55" s="304" t="s">
        <v>412</v>
      </c>
      <c r="AC55" s="313"/>
      <c r="AD55" s="314"/>
      <c r="AE55" s="315" t="n">
        <v>3940376.44504</v>
      </c>
      <c r="AF55" s="315" t="n">
        <v>3803463.71819</v>
      </c>
      <c r="AG55" s="315" t="n">
        <v>3049014.91963</v>
      </c>
      <c r="AH55" s="315" t="n">
        <v>3024255.95357</v>
      </c>
      <c r="AI55" s="315" t="n">
        <v>5275737.07691</v>
      </c>
      <c r="AJ55" s="315" t="n">
        <v>6671565.34687</v>
      </c>
      <c r="AK55" s="315" t="n">
        <v>4828924.92539</v>
      </c>
      <c r="AL55" s="315" t="n">
        <v>4972133.00616</v>
      </c>
      <c r="AM55" s="315" t="n">
        <v>4397692.60055</v>
      </c>
      <c r="AN55" s="315" t="n">
        <v>4682468.75165</v>
      </c>
      <c r="AO55" s="315" t="n">
        <v>4177480.42805</v>
      </c>
      <c r="AP55" s="315" t="n">
        <v>4822887.2492</v>
      </c>
      <c r="AQ55" s="155" t="n">
        <f aca="false">IVA!AE55+IVA!AF55+IVA!AG55</f>
        <v>10792855.08286</v>
      </c>
      <c r="AR55" s="155" t="n">
        <f aca="false">IVA!AH55+IVA!AI55+IVA!AJ55</f>
        <v>14971558.37735</v>
      </c>
      <c r="AS55" s="155" t="n">
        <f aca="false">IVA!AK55+IVA!AL55+IVA!AM55</f>
        <v>14198750.5321</v>
      </c>
      <c r="AT55" s="155" t="n">
        <f aca="false">IVA!AN55+IVA!AO55+IVA!AP55</f>
        <v>13682836.4289</v>
      </c>
      <c r="AU55" s="129" t="n">
        <f aca="false">IVA!AQ55+IVA!AR55+IVA!AS55+IVA!AT55</f>
        <v>53646000.42121</v>
      </c>
      <c r="AV55" s="130" t="n">
        <f aca="false">IVA!AQ55/IVA!CJ17</f>
        <v>0.0121590043326653</v>
      </c>
      <c r="AW55" s="130" t="n">
        <f aca="false">IVA!AR55/IVA!CK17</f>
        <v>0.0135129339096528</v>
      </c>
      <c r="AX55" s="130" t="n">
        <f aca="false">IVA!AS55/IVA!CL17</f>
        <v>0.0134260695745703</v>
      </c>
      <c r="AY55" s="130" t="n">
        <f aca="false">IVA!AT55/IVA!CM17</f>
        <v>0.0126940182435032</v>
      </c>
      <c r="AZ55" s="271" t="n">
        <f aca="false">IVA!AU55/IVA!CN17</f>
        <v>0.0519444055831182</v>
      </c>
      <c r="BA55" s="266" t="n">
        <v>2008</v>
      </c>
      <c r="BB55" s="308" t="s">
        <v>413</v>
      </c>
      <c r="BC55" s="309"/>
      <c r="BD55" s="309"/>
      <c r="BE55" s="309"/>
      <c r="BF55" s="310" t="n">
        <v>312177.10821</v>
      </c>
      <c r="BG55" s="310" t="n">
        <v>291669.74312</v>
      </c>
      <c r="BH55" s="310" t="n">
        <v>283472.22683</v>
      </c>
      <c r="BI55" s="310" t="n">
        <v>283310.54541</v>
      </c>
      <c r="BJ55" s="310" t="n">
        <v>287547.17099</v>
      </c>
      <c r="BK55" s="310" t="n">
        <v>302405.2972</v>
      </c>
      <c r="BL55" s="310" t="n">
        <v>279726.33429</v>
      </c>
      <c r="BM55" s="310" t="n">
        <v>286436.69966</v>
      </c>
      <c r="BN55" s="310" t="n">
        <v>308918.1265</v>
      </c>
      <c r="BO55" s="310" t="n">
        <v>310540.6639</v>
      </c>
      <c r="BP55" s="310" t="n">
        <v>335890.92075</v>
      </c>
      <c r="BQ55" s="311" t="n">
        <v>359172.09719</v>
      </c>
      <c r="BR55" s="175" t="n">
        <f aca="false">IVA!BF55+IVA!BG55+IVA!BH55</f>
        <v>887319.07816</v>
      </c>
      <c r="BS55" s="175" t="n">
        <f aca="false">IVA!BI55+IVA!BJ55+IVA!BK55</f>
        <v>873263.0136</v>
      </c>
      <c r="BT55" s="175" t="n">
        <f aca="false">IVA!BL55+IVA!BM55+IVA!BN55</f>
        <v>875081.16045</v>
      </c>
      <c r="BU55" s="176" t="n">
        <f aca="false">IVA!BO55+IVA!BP55+IVA!BQ55</f>
        <v>1005603.68184</v>
      </c>
      <c r="BV55" s="137" t="n">
        <f aca="false">IVA!BR55+IVA!BS55+IVA!BT55+IVA!BU55</f>
        <v>3641266.93405</v>
      </c>
      <c r="BW55" s="138" t="n">
        <f aca="false">IVA!BR55/IVA!CJ17</f>
        <v>0.000999635076444021</v>
      </c>
      <c r="BX55" s="139" t="n">
        <f aca="false">IVA!BS55/IVA!CK17</f>
        <v>0.000788184175027058</v>
      </c>
      <c r="BY55" s="138" t="n">
        <f aca="false">IVA!BT55/IVA!CL17</f>
        <v>0.00082746017102251</v>
      </c>
      <c r="BZ55" s="138" t="n">
        <f aca="false">IVA!BU55/IVA!CM17</f>
        <v>0.000932931673147037</v>
      </c>
      <c r="CA55" s="273" t="n">
        <f aca="false">IVA!BV55/IVA!CN17</f>
        <v>0.00352576976799018</v>
      </c>
      <c r="CH55" s="13"/>
      <c r="CI55" s="53" t="n">
        <v>1997</v>
      </c>
      <c r="CJ55" s="282" t="n">
        <f aca="false">IVA!BR181/IVA!CJ6</f>
        <v>0.00316659246436327</v>
      </c>
      <c r="CK55" s="282" t="n">
        <f aca="false">IVA!BS181/IVA!CK6</f>
        <v>0.00319424277136495</v>
      </c>
      <c r="CL55" s="282" t="n">
        <f aca="false">IVA!BT181/IVA!CL6</f>
        <v>0.00306999899176895</v>
      </c>
      <c r="CM55" s="283" t="n">
        <f aca="false">IVA!BU181/IVA!CM6</f>
        <v>0.00301824083206807</v>
      </c>
      <c r="CN55" s="284" t="n">
        <f aca="false">IVA!BV181/IVA!CN6</f>
        <v>0.0124432996586703</v>
      </c>
      <c r="CO55" s="63"/>
      <c r="CP55" s="63"/>
      <c r="CQ55" s="13"/>
      <c r="CT55" s="1" t="n">
        <v>112.7</v>
      </c>
      <c r="CW55" s="100"/>
      <c r="DY55" s="319" t="s">
        <v>433</v>
      </c>
      <c r="DZ55" s="45"/>
      <c r="EA55" s="210" t="n">
        <v>2003</v>
      </c>
      <c r="EB55" s="227" t="n">
        <v>25265156633</v>
      </c>
      <c r="EC55" s="227" t="n">
        <v>550673369</v>
      </c>
      <c r="ED55" s="227" t="n">
        <v>25815830002</v>
      </c>
      <c r="EE55" s="227" t="n">
        <v>22885333596.9</v>
      </c>
      <c r="EF55" s="227" t="n">
        <v>22880323619.28</v>
      </c>
      <c r="EG55" s="228" t="n">
        <v>21952476226.39</v>
      </c>
      <c r="EH55" s="229" t="n">
        <f aca="false">IVA!EF55-IVA!EG55</f>
        <v>927847392.889999</v>
      </c>
      <c r="EJ55" s="31" t="n">
        <v>2003</v>
      </c>
      <c r="EK55" s="32" t="n">
        <v>5380.517</v>
      </c>
      <c r="EL55" s="33" t="n">
        <v>4630.443</v>
      </c>
      <c r="EQ55" s="320" t="s">
        <v>462</v>
      </c>
      <c r="EU55" s="1" t="s">
        <v>463</v>
      </c>
    </row>
    <row r="56" customFormat="false" ht="12.75" hidden="false" customHeight="true" outlineLevel="0" collapsed="false">
      <c r="AA56" s="304" t="n">
        <v>2009</v>
      </c>
      <c r="AB56" s="304" t="s">
        <v>412</v>
      </c>
      <c r="AC56" s="313"/>
      <c r="AD56" s="314"/>
      <c r="AE56" s="315" t="n">
        <v>3950091</v>
      </c>
      <c r="AF56" s="315" t="n">
        <v>3754552</v>
      </c>
      <c r="AG56" s="315" t="n">
        <v>3374624</v>
      </c>
      <c r="AH56" s="315" t="n">
        <v>3113286</v>
      </c>
      <c r="AI56" s="315" t="n">
        <v>6518240</v>
      </c>
      <c r="AJ56" s="315" t="n">
        <v>6274887</v>
      </c>
      <c r="AK56" s="315" t="n">
        <v>4424393</v>
      </c>
      <c r="AL56" s="315" t="n">
        <v>4666290</v>
      </c>
      <c r="AM56" s="315" t="n">
        <v>4264858</v>
      </c>
      <c r="AN56" s="315" t="n">
        <v>4902122</v>
      </c>
      <c r="AO56" s="315" t="n">
        <v>4981653</v>
      </c>
      <c r="AP56" s="315" t="n">
        <v>5327260</v>
      </c>
      <c r="AQ56" s="155" t="n">
        <f aca="false">IVA!AE56+IVA!AF56+IVA!AG56</f>
        <v>11079267</v>
      </c>
      <c r="AR56" s="155" t="n">
        <f aca="false">IVA!AH56+IVA!AI56+IVA!AJ56</f>
        <v>15906413</v>
      </c>
      <c r="AS56" s="155" t="n">
        <f aca="false">IVA!AK56+IVA!AL56+IVA!AM56</f>
        <v>13355541</v>
      </c>
      <c r="AT56" s="155" t="n">
        <f aca="false">IVA!AN56+IVA!AO56+IVA!AP56</f>
        <v>15211035</v>
      </c>
      <c r="AU56" s="129" t="n">
        <f aca="false">IVA!AQ56+IVA!AR56+IVA!AS56+IVA!AT56</f>
        <v>55552256</v>
      </c>
      <c r="AV56" s="130" t="n">
        <f aca="false">IVA!AQ56/IVA!CJ18</f>
        <v>0.0111577955651878</v>
      </c>
      <c r="AW56" s="130" t="n">
        <f aca="false">IVA!AR56/IVA!CK18</f>
        <v>0.0133066586475507</v>
      </c>
      <c r="AX56" s="130" t="n">
        <f aca="false">IVA!AS56/IVA!CL18</f>
        <v>0.0114267617994925</v>
      </c>
      <c r="AY56" s="130" t="n">
        <f aca="false">IVA!AT56/IVA!CM18</f>
        <v>0.0124201750771502</v>
      </c>
      <c r="AZ56" s="271" t="n">
        <f aca="false">IVA!AU56/IVA!CN18</f>
        <v>0.048497840764966</v>
      </c>
      <c r="BA56" s="266" t="n">
        <v>2009</v>
      </c>
      <c r="BB56" s="308" t="s">
        <v>413</v>
      </c>
      <c r="BC56" s="309"/>
      <c r="BD56" s="309"/>
      <c r="BE56" s="309"/>
      <c r="BF56" s="310" t="n">
        <v>353135</v>
      </c>
      <c r="BG56" s="310" t="n">
        <v>368079</v>
      </c>
      <c r="BH56" s="310" t="n">
        <v>326819</v>
      </c>
      <c r="BI56" s="310" t="n">
        <v>309821</v>
      </c>
      <c r="BJ56" s="310" t="n">
        <v>396364</v>
      </c>
      <c r="BK56" s="310" t="n">
        <v>322623</v>
      </c>
      <c r="BL56" s="310" t="n">
        <v>332798</v>
      </c>
      <c r="BM56" s="310" t="n">
        <v>367153</v>
      </c>
      <c r="BN56" s="310" t="n">
        <v>369253</v>
      </c>
      <c r="BO56" s="310" t="n">
        <v>356309</v>
      </c>
      <c r="BP56" s="310" t="n">
        <v>418986</v>
      </c>
      <c r="BQ56" s="311" t="n">
        <v>401973</v>
      </c>
      <c r="BR56" s="175" t="n">
        <f aca="false">IVA!BF56+IVA!BG56+IVA!BH56</f>
        <v>1048033</v>
      </c>
      <c r="BS56" s="175" t="n">
        <f aca="false">IVA!BI56+IVA!BJ56+IVA!BK56</f>
        <v>1028808</v>
      </c>
      <c r="BT56" s="175" t="n">
        <f aca="false">IVA!BL56+IVA!BM56+IVA!BN56</f>
        <v>1069204</v>
      </c>
      <c r="BU56" s="176" t="n">
        <f aca="false">IVA!BO56+IVA!BP56+IVA!BQ56</f>
        <v>1177268</v>
      </c>
      <c r="BV56" s="137" t="n">
        <f aca="false">IVA!BR56+IVA!BS56+IVA!BT56+IVA!BU56</f>
        <v>4323313</v>
      </c>
      <c r="BW56" s="138" t="n">
        <f aca="false">IVA!BR56/IVA!CJ18</f>
        <v>0.00105546133688902</v>
      </c>
      <c r="BX56" s="139" t="n">
        <f aca="false">IVA!BS56/IVA!CK18</f>
        <v>0.000860658959997411</v>
      </c>
      <c r="BY56" s="138" t="n">
        <f aca="false">IVA!BT56/IVA!CL18</f>
        <v>0.000914791802373602</v>
      </c>
      <c r="BZ56" s="138" t="n">
        <f aca="false">IVA!BU56/IVA!CM18</f>
        <v>0.000961267571386594</v>
      </c>
      <c r="CA56" s="273" t="n">
        <f aca="false">IVA!BV56/IVA!CN18</f>
        <v>0.00377430838184334</v>
      </c>
      <c r="CH56" s="13"/>
      <c r="CI56" s="53" t="n">
        <v>1998</v>
      </c>
      <c r="CJ56" s="286" t="n">
        <f aca="false">IVA!BR182/IVA!CJ7</f>
        <v>0.0032511991453449</v>
      </c>
      <c r="CK56" s="286" t="n">
        <f aca="false">IVA!BS182/IVA!CK7</f>
        <v>0.00328679979044624</v>
      </c>
      <c r="CL56" s="286" t="n">
        <f aca="false">IVA!BT182/IVA!CL7</f>
        <v>0.00310787550283538</v>
      </c>
      <c r="CM56" s="287" t="n">
        <f aca="false">IVA!BU182/IVA!CM7</f>
        <v>0.00310721707187316</v>
      </c>
      <c r="CN56" s="288" t="n">
        <f aca="false">IVA!BV182/IVA!CN7</f>
        <v>0.0127532264945114</v>
      </c>
      <c r="CO56" s="63"/>
      <c r="CP56" s="63"/>
      <c r="CQ56" s="13"/>
      <c r="CT56" s="1" t="n">
        <v>1713.7</v>
      </c>
      <c r="CW56" s="291" t="n">
        <v>242300</v>
      </c>
      <c r="DY56" s="215" t="s">
        <v>464</v>
      </c>
      <c r="EA56" s="179"/>
      <c r="EB56" s="230" t="n">
        <v>3797734511</v>
      </c>
      <c r="EC56" s="230" t="n">
        <v>236182006</v>
      </c>
      <c r="ED56" s="230" t="n">
        <v>4033916517</v>
      </c>
      <c r="EE56" s="230" t="n">
        <v>3977114987.56</v>
      </c>
      <c r="EF56" s="230" t="n">
        <v>3974125874.9</v>
      </c>
      <c r="EG56" s="231" t="n">
        <v>3966253205.27</v>
      </c>
      <c r="EH56" s="232" t="n">
        <f aca="false">IVA!EF56-IVA!EG56</f>
        <v>7872669.63000011</v>
      </c>
      <c r="EJ56" s="31" t="n">
        <v>2004</v>
      </c>
      <c r="EK56" s="32" t="n">
        <v>5475.879</v>
      </c>
      <c r="EL56" s="33" t="n">
        <v>4712.88</v>
      </c>
      <c r="EO56" s="1" t="s">
        <v>87</v>
      </c>
    </row>
    <row r="57" customFormat="false" ht="12.75" hidden="false" customHeight="true" outlineLevel="0" collapsed="false">
      <c r="AA57" s="304" t="n">
        <v>2010</v>
      </c>
      <c r="AB57" s="304" t="s">
        <v>412</v>
      </c>
      <c r="AC57" s="313"/>
      <c r="AD57" s="314"/>
      <c r="AE57" s="315" t="n">
        <v>4967366</v>
      </c>
      <c r="AF57" s="315" t="n">
        <v>4688476</v>
      </c>
      <c r="AG57" s="315" t="n">
        <v>4308858</v>
      </c>
      <c r="AH57" s="315" t="n">
        <v>4240315</v>
      </c>
      <c r="AI57" s="315" t="n">
        <v>11474845</v>
      </c>
      <c r="AJ57" s="315" t="n">
        <v>9169982</v>
      </c>
      <c r="AK57" s="315" t="n">
        <v>6252243</v>
      </c>
      <c r="AL57" s="315" t="n">
        <v>6025777</v>
      </c>
      <c r="AM57" s="315" t="n">
        <v>5743567</v>
      </c>
      <c r="AN57" s="315" t="n">
        <v>6165047</v>
      </c>
      <c r="AO57" s="315" t="n">
        <v>6393088</v>
      </c>
      <c r="AP57" s="315" t="n">
        <v>7222064</v>
      </c>
      <c r="AQ57" s="155" t="n">
        <f aca="false">IVA!AE57+IVA!AF57+IVA!AG57</f>
        <v>13964700</v>
      </c>
      <c r="AR57" s="155" t="n">
        <f aca="false">IVA!AH57+IVA!AI57+IVA!AJ57</f>
        <v>24885142</v>
      </c>
      <c r="AS57" s="155" t="n">
        <f aca="false">IVA!AK57+IVA!AL57+IVA!AM57</f>
        <v>18021587</v>
      </c>
      <c r="AT57" s="155" t="n">
        <f aca="false">IVA!AN57+IVA!AO57+IVA!AP57</f>
        <v>19780199</v>
      </c>
      <c r="AU57" s="129" t="n">
        <f aca="false">IVA!AQ57+IVA!AR57+IVA!AS57+IVA!AT57</f>
        <v>76651628</v>
      </c>
      <c r="AV57" s="130" t="n">
        <f aca="false">IVA!AQ57/IVA!CJ19</f>
        <v>0.0114711006661021</v>
      </c>
      <c r="AW57" s="130" t="n">
        <f aca="false">IVA!AR57/IVA!CK19</f>
        <v>0.0164989581066998</v>
      </c>
      <c r="AX57" s="130" t="n">
        <f aca="false">IVA!AS57/IVA!CL19</f>
        <v>0.0122942354306557</v>
      </c>
      <c r="AY57" s="130" t="n">
        <f aca="false">IVA!AT57/IVA!CM19</f>
        <v>0.0125262612981051</v>
      </c>
      <c r="AZ57" s="271" t="n">
        <f aca="false">IVA!AU57/IVA!CN19</f>
        <v>0.0531323205369644</v>
      </c>
      <c r="BA57" s="266" t="n">
        <v>2010</v>
      </c>
      <c r="BB57" s="308" t="s">
        <v>413</v>
      </c>
      <c r="BC57" s="309"/>
      <c r="BD57" s="309"/>
      <c r="BE57" s="309"/>
      <c r="BF57" s="310" t="n">
        <v>419988</v>
      </c>
      <c r="BG57" s="310" t="n">
        <v>432662</v>
      </c>
      <c r="BH57" s="310" t="n">
        <v>392694</v>
      </c>
      <c r="BI57" s="310" t="n">
        <v>397363</v>
      </c>
      <c r="BJ57" s="310" t="n">
        <v>406514</v>
      </c>
      <c r="BK57" s="310" t="n">
        <v>408954</v>
      </c>
      <c r="BL57" s="310" t="n">
        <v>387882</v>
      </c>
      <c r="BM57" s="310" t="n">
        <v>434261</v>
      </c>
      <c r="BN57" s="310" t="n">
        <v>413765</v>
      </c>
      <c r="BO57" s="310" t="n">
        <v>437568</v>
      </c>
      <c r="BP57" s="310" t="n">
        <v>503540</v>
      </c>
      <c r="BQ57" s="311" t="n">
        <v>446231</v>
      </c>
      <c r="BR57" s="175" t="n">
        <f aca="false">IVA!BF57+IVA!BG57+IVA!BH57</f>
        <v>1245344</v>
      </c>
      <c r="BS57" s="175" t="n">
        <f aca="false">IVA!BI57+IVA!BJ57+IVA!BK57</f>
        <v>1212831</v>
      </c>
      <c r="BT57" s="175" t="n">
        <f aca="false">IVA!BL57+IVA!BM57+IVA!BN57</f>
        <v>1235908</v>
      </c>
      <c r="BU57" s="176" t="n">
        <f aca="false">IVA!BO57+IVA!BP57+IVA!BQ57</f>
        <v>1387339</v>
      </c>
      <c r="BV57" s="137" t="n">
        <f aca="false">IVA!BR57+IVA!BS57+IVA!BT57+IVA!BU57</f>
        <v>5081422</v>
      </c>
      <c r="BW57" s="138" t="n">
        <f aca="false">IVA!BR57/IVA!CJ19</f>
        <v>0.00102296980156582</v>
      </c>
      <c r="BX57" s="139" t="n">
        <f aca="false">IVA!BS57/IVA!CK19</f>
        <v>0.000804112263434415</v>
      </c>
      <c r="BY57" s="138" t="n">
        <f aca="false">IVA!BT57/IVA!CL19</f>
        <v>0.000843130181744305</v>
      </c>
      <c r="BZ57" s="138" t="n">
        <f aca="false">IVA!BU57/IVA!CM19</f>
        <v>0.000878564003479025</v>
      </c>
      <c r="CA57" s="273" t="n">
        <f aca="false">IVA!BV57/IVA!CN19</f>
        <v>0.00352227016610244</v>
      </c>
      <c r="CH57" s="13"/>
      <c r="CI57" s="53" t="n">
        <v>1999</v>
      </c>
      <c r="CJ57" s="286" t="n">
        <f aca="false">IVA!BR183/IVA!CJ8</f>
        <v>0.00333702330981469</v>
      </c>
      <c r="CK57" s="286" t="n">
        <f aca="false">IVA!BS183/IVA!CK8</f>
        <v>0.00318220363642577</v>
      </c>
      <c r="CL57" s="286" t="n">
        <f aca="false">IVA!BT183/IVA!CL8</f>
        <v>0.00313460577190226</v>
      </c>
      <c r="CM57" s="287" t="n">
        <f aca="false">IVA!BU183/IVA!CM8</f>
        <v>0.00309265926788783</v>
      </c>
      <c r="CN57" s="288" t="n">
        <f aca="false">IVA!BV183/IVA!CN8</f>
        <v>0.0127373828526486</v>
      </c>
      <c r="CO57" s="63"/>
      <c r="CP57" s="63"/>
      <c r="CQ57" s="13"/>
      <c r="CT57" s="1" t="n">
        <f aca="false">1.127*1713.7</f>
        <v>1931.3399</v>
      </c>
      <c r="DY57" s="215" t="s">
        <v>465</v>
      </c>
      <c r="EA57" s="195"/>
      <c r="EB57" s="230" t="n">
        <v>10139090</v>
      </c>
      <c r="EC57" s="230" t="n">
        <v>92889</v>
      </c>
      <c r="ED57" s="230" t="n">
        <v>10231979</v>
      </c>
      <c r="EE57" s="230" t="n">
        <v>9603437.99</v>
      </c>
      <c r="EF57" s="230" t="n">
        <v>9603401.17</v>
      </c>
      <c r="EG57" s="231" t="n">
        <v>8734471.62</v>
      </c>
      <c r="EH57" s="232" t="n">
        <f aca="false">IVA!EF57-IVA!EG57</f>
        <v>868929.550000001</v>
      </c>
      <c r="EJ57" s="31" t="n">
        <v>2005</v>
      </c>
      <c r="EK57" s="32" t="n">
        <v>5569.349</v>
      </c>
      <c r="EL57" s="33" t="n">
        <v>4791.001</v>
      </c>
      <c r="ET57" s="1" t="s">
        <v>106</v>
      </c>
      <c r="EU57" s="1" t="s">
        <v>466</v>
      </c>
      <c r="EV57" s="1" t="s">
        <v>107</v>
      </c>
    </row>
    <row r="58" customFormat="false" ht="12.75" hidden="false" customHeight="true" outlineLevel="0" collapsed="false">
      <c r="AA58" s="304" t="n">
        <v>2011</v>
      </c>
      <c r="AB58" s="304" t="s">
        <v>412</v>
      </c>
      <c r="AC58" s="313"/>
      <c r="AD58" s="314"/>
      <c r="AE58" s="315" t="n">
        <v>7110800</v>
      </c>
      <c r="AF58" s="315" t="n">
        <v>6867708</v>
      </c>
      <c r="AG58" s="315" t="n">
        <v>5970791</v>
      </c>
      <c r="AH58" s="315" t="n">
        <v>6695214</v>
      </c>
      <c r="AI58" s="315" t="n">
        <v>14040348</v>
      </c>
      <c r="AJ58" s="315" t="n">
        <v>13358309</v>
      </c>
      <c r="AK58" s="315" t="n">
        <v>8672731</v>
      </c>
      <c r="AL58" s="315" t="n">
        <v>9098548</v>
      </c>
      <c r="AM58" s="315" t="n">
        <v>8662466</v>
      </c>
      <c r="AN58" s="315" t="n">
        <v>8922731</v>
      </c>
      <c r="AO58" s="315" t="n">
        <v>9194909</v>
      </c>
      <c r="AP58" s="315" t="n">
        <v>10003324</v>
      </c>
      <c r="AQ58" s="155" t="n">
        <f aca="false">IVA!AE58+IVA!AF58+IVA!AG58</f>
        <v>19949299</v>
      </c>
      <c r="AR58" s="155" t="n">
        <f aca="false">IVA!AH58+IVA!AI58+IVA!AJ58</f>
        <v>34093871</v>
      </c>
      <c r="AS58" s="155" t="n">
        <f aca="false">IVA!AK58+IVA!AL58+IVA!AM58</f>
        <v>26433745</v>
      </c>
      <c r="AT58" s="155" t="n">
        <f aca="false">IVA!AN58+IVA!AO58+IVA!AP58</f>
        <v>28120964</v>
      </c>
      <c r="AU58" s="129" t="n">
        <f aca="false">IVA!AQ58+IVA!AR58+IVA!AS58+IVA!AT58</f>
        <v>108597879</v>
      </c>
      <c r="AV58" s="130" t="n">
        <f aca="false">IVA!AQ58/IVA!CJ20</f>
        <v>0.012726176016535</v>
      </c>
      <c r="AW58" s="130" t="n">
        <f aca="false">IVA!AR58/IVA!CK20</f>
        <v>0.0172519984846834</v>
      </c>
      <c r="AX58" s="130" t="n">
        <f aca="false">IVA!AS58/IVA!CL20</f>
        <v>0.0141706196710186</v>
      </c>
      <c r="AY58" s="130" t="n">
        <f aca="false">IVA!AT58/IVA!CM20</f>
        <v>0.0143555596302268</v>
      </c>
      <c r="AZ58" s="271" t="n">
        <f aca="false">IVA!AU58/IVA!CN20</f>
        <v>0.0589557948040035</v>
      </c>
      <c r="BA58" s="266" t="n">
        <v>2011</v>
      </c>
      <c r="BB58" s="308" t="s">
        <v>413</v>
      </c>
      <c r="BC58" s="309"/>
      <c r="BD58" s="309"/>
      <c r="BE58" s="309"/>
      <c r="BF58" s="310" t="n">
        <v>568338</v>
      </c>
      <c r="BG58" s="310" t="n">
        <v>501924</v>
      </c>
      <c r="BH58" s="310" t="n">
        <v>522587</v>
      </c>
      <c r="BI58" s="310" t="n">
        <v>552575</v>
      </c>
      <c r="BJ58" s="310" t="n">
        <v>505393</v>
      </c>
      <c r="BK58" s="310" t="n">
        <v>453486</v>
      </c>
      <c r="BL58" s="310" t="n">
        <v>480966</v>
      </c>
      <c r="BM58" s="310" t="n">
        <v>514520</v>
      </c>
      <c r="BN58" s="310" t="n">
        <v>511033</v>
      </c>
      <c r="BO58" s="310" t="n">
        <v>530310</v>
      </c>
      <c r="BP58" s="310" t="n">
        <v>524915</v>
      </c>
      <c r="BQ58" s="311" t="n">
        <v>616619</v>
      </c>
      <c r="BR58" s="175" t="n">
        <f aca="false">IVA!BF58+IVA!BG58+IVA!BH58</f>
        <v>1592849</v>
      </c>
      <c r="BS58" s="175" t="n">
        <f aca="false">IVA!BI58+IVA!BJ58+IVA!BK58</f>
        <v>1511454</v>
      </c>
      <c r="BT58" s="175" t="n">
        <f aca="false">IVA!BL58+IVA!BM58+IVA!BN58</f>
        <v>1506519</v>
      </c>
      <c r="BU58" s="176" t="n">
        <f aca="false">IVA!BO58+IVA!BP58+IVA!BQ58</f>
        <v>1671844</v>
      </c>
      <c r="BV58" s="137" t="n">
        <f aca="false">IVA!BR58+IVA!BS58+IVA!BT58+IVA!BU58</f>
        <v>6282666</v>
      </c>
      <c r="BW58" s="138" t="n">
        <f aca="false">IVA!BR58/IVA!CJ20</f>
        <v>0.00101611975146404</v>
      </c>
      <c r="BX58" s="139" t="n">
        <f aca="false">IVA!BS58/IVA!CK20</f>
        <v>0.000764817879368076</v>
      </c>
      <c r="BY58" s="138" t="n">
        <f aca="false">IVA!BT58/IVA!CL20</f>
        <v>0.000807615711514326</v>
      </c>
      <c r="BZ58" s="138" t="n">
        <f aca="false">IVA!BU58/IVA!CM20</f>
        <v>0.000853464918003414</v>
      </c>
      <c r="CA58" s="273" t="n">
        <f aca="false">IVA!BV58/IVA!CN20</f>
        <v>0.00341074403044363</v>
      </c>
      <c r="CH58" s="13"/>
      <c r="CI58" s="53" t="n">
        <v>2000</v>
      </c>
      <c r="CJ58" s="286" t="n">
        <f aca="false">IVA!BR184/IVA!CJ9</f>
        <v>0.00331714719509859</v>
      </c>
      <c r="CK58" s="286" t="n">
        <f aca="false">IVA!BS184/IVA!CK9</f>
        <v>0.00352841680260439</v>
      </c>
      <c r="CL58" s="286" t="n">
        <f aca="false">IVA!BT184/IVA!CL9</f>
        <v>0.00334426480752688</v>
      </c>
      <c r="CM58" s="287" t="n">
        <f aca="false">IVA!BU184/IVA!CM9</f>
        <v>0.00326348208409929</v>
      </c>
      <c r="CN58" s="288" t="n">
        <f aca="false">IVA!BV184/IVA!CN9</f>
        <v>0.0134587224749311</v>
      </c>
      <c r="CO58" s="63"/>
      <c r="CP58" s="63"/>
      <c r="CQ58" s="13"/>
      <c r="DY58" s="222" t="s">
        <v>467</v>
      </c>
      <c r="DZ58" s="223"/>
      <c r="EA58" s="206"/>
      <c r="EB58" s="236" t="n">
        <v>21457283032</v>
      </c>
      <c r="EC58" s="236" t="n">
        <v>314398474</v>
      </c>
      <c r="ED58" s="236" t="n">
        <v>21771681506</v>
      </c>
      <c r="EE58" s="236" t="n">
        <v>18898615171.35</v>
      </c>
      <c r="EF58" s="236" t="n">
        <v>18896594343.21</v>
      </c>
      <c r="EG58" s="237" t="n">
        <v>17977488549.5</v>
      </c>
      <c r="EH58" s="238" t="n">
        <f aca="false">IVA!EF58-IVA!EG58</f>
        <v>919105793.709999</v>
      </c>
      <c r="EJ58" s="31" t="n">
        <v>2006</v>
      </c>
      <c r="EK58" s="32" t="n">
        <v>5695.261</v>
      </c>
      <c r="EL58" s="33" t="n">
        <v>4901.128</v>
      </c>
      <c r="EN58" s="321" t="s">
        <v>86</v>
      </c>
      <c r="EP58" s="1" t="s">
        <v>87</v>
      </c>
      <c r="ER58" s="1" t="s">
        <v>468</v>
      </c>
      <c r="ES58" s="1" t="s">
        <v>87</v>
      </c>
      <c r="ET58" s="1" t="s">
        <v>469</v>
      </c>
      <c r="EU58" s="1" t="s">
        <v>470</v>
      </c>
      <c r="EV58" s="1" t="s">
        <v>471</v>
      </c>
    </row>
    <row r="59" customFormat="false" ht="12.75" hidden="false" customHeight="true" outlineLevel="0" collapsed="false">
      <c r="AA59" s="322" t="n">
        <v>2012</v>
      </c>
      <c r="AB59" s="322" t="s">
        <v>412</v>
      </c>
      <c r="AC59" s="323"/>
      <c r="AD59" s="324"/>
      <c r="AE59" s="325" t="n">
        <v>9501788.48348</v>
      </c>
      <c r="AF59" s="325" t="n">
        <v>8847671.25255</v>
      </c>
      <c r="AG59" s="325" t="n">
        <v>7771491.37557</v>
      </c>
      <c r="AH59" s="325" t="n">
        <v>7467709.60899</v>
      </c>
      <c r="AI59" s="325" t="n">
        <v>14883359.13172</v>
      </c>
      <c r="AJ59" s="325" t="n">
        <v>16034548.37811</v>
      </c>
      <c r="AK59" s="325" t="n">
        <v>10986156.17153</v>
      </c>
      <c r="AL59" s="325" t="n">
        <v>12244326.94666</v>
      </c>
      <c r="AM59" s="325" t="n">
        <v>10832253.51105</v>
      </c>
      <c r="AN59" s="325" t="n">
        <v>12489837.46916</v>
      </c>
      <c r="AO59" s="325" t="n">
        <v>13778126.81524</v>
      </c>
      <c r="AP59" s="325" t="n">
        <v>13602331.89941</v>
      </c>
      <c r="AQ59" s="326" t="n">
        <f aca="false">IVA!AE59+IVA!AF59+IVA!AG59</f>
        <v>26120951.1116</v>
      </c>
      <c r="AR59" s="326" t="n">
        <f aca="false">IVA!AH59+IVA!AI59+IVA!AJ59</f>
        <v>38385617.11882</v>
      </c>
      <c r="AS59" s="326" t="n">
        <f aca="false">IVA!AK59+IVA!AL59+IVA!AM59</f>
        <v>34062736.62924</v>
      </c>
      <c r="AT59" s="326" t="n">
        <f aca="false">IVA!AN59+IVA!AO59+IVA!AP59</f>
        <v>39870296.18381</v>
      </c>
      <c r="AU59" s="250" t="n">
        <f aca="false">IVA!AQ59+IVA!AR59+IVA!AS59+IVA!AT59</f>
        <v>138439601.04347</v>
      </c>
      <c r="AV59" s="252" t="n">
        <f aca="false">IVA!AQ59/IVA!CJ21</f>
        <v>0.0139316568902922</v>
      </c>
      <c r="AW59" s="252" t="n">
        <f aca="false">IVA!AR59/IVA!CK21</f>
        <v>0.0168864437752839</v>
      </c>
      <c r="AX59" s="252" t="n">
        <f aca="false">IVA!AS59/IVA!CL21</f>
        <v>0.0156042832915595</v>
      </c>
      <c r="AY59" s="252" t="n">
        <f aca="false">IVA!AT59/IVA!CM21</f>
        <v>0.0171413085591344</v>
      </c>
      <c r="AZ59" s="296" t="n">
        <f aca="false">IVA!AU59/IVA!CN21</f>
        <v>0.063966669676584</v>
      </c>
      <c r="BA59" s="297" t="n">
        <v>2012</v>
      </c>
      <c r="BB59" s="327" t="s">
        <v>413</v>
      </c>
      <c r="BC59" s="328"/>
      <c r="BD59" s="328"/>
      <c r="BE59" s="328"/>
      <c r="BF59" s="329" t="n">
        <v>641889.2836</v>
      </c>
      <c r="BG59" s="329" t="n">
        <v>610910.54758</v>
      </c>
      <c r="BH59" s="329" t="n">
        <v>591032.48293</v>
      </c>
      <c r="BI59" s="329" t="n">
        <v>632126.09936</v>
      </c>
      <c r="BJ59" s="329" t="n">
        <v>568730.06131</v>
      </c>
      <c r="BK59" s="329" t="n">
        <v>586723.59941</v>
      </c>
      <c r="BL59" s="329" t="n">
        <v>623666.41741</v>
      </c>
      <c r="BM59" s="329" t="n">
        <v>603912.42305</v>
      </c>
      <c r="BN59" s="329" t="n">
        <v>671507.24419</v>
      </c>
      <c r="BO59" s="329" t="n">
        <v>650555.64673</v>
      </c>
      <c r="BP59" s="329" t="n">
        <v>655033.08274</v>
      </c>
      <c r="BQ59" s="330" t="n">
        <v>676454.19259</v>
      </c>
      <c r="BR59" s="259" t="n">
        <f aca="false">IVA!BF59+IVA!BG59+IVA!BH59</f>
        <v>1843832.31411</v>
      </c>
      <c r="BS59" s="259" t="n">
        <f aca="false">IVA!BI59+IVA!BJ59+IVA!BK59</f>
        <v>1787579.76008</v>
      </c>
      <c r="BT59" s="259" t="n">
        <f aca="false">IVA!BL59+IVA!BM59+IVA!BN59</f>
        <v>1899086.08465</v>
      </c>
      <c r="BU59" s="260" t="n">
        <f aca="false">IVA!BO59+IVA!BP59+IVA!BQ59</f>
        <v>1982042.92206</v>
      </c>
      <c r="BV59" s="261" t="n">
        <f aca="false">IVA!BR59+IVA!BS59+IVA!BT59+IVA!BU59</f>
        <v>7512541.0809</v>
      </c>
      <c r="BW59" s="264" t="n">
        <f aca="false">IVA!BR59/IVA!CJ21</f>
        <v>0.000983411325784627</v>
      </c>
      <c r="BX59" s="263" t="n">
        <f aca="false">IVA!BS59/IVA!CK21</f>
        <v>0.000786384781023272</v>
      </c>
      <c r="BY59" s="264" t="n">
        <f aca="false">IVA!BT59/IVA!CL21</f>
        <v>0.000869979343776474</v>
      </c>
      <c r="BZ59" s="264" t="n">
        <f aca="false">IVA!BU59/IVA!CM21</f>
        <v>0.000852133356317401</v>
      </c>
      <c r="CA59" s="303" t="n">
        <f aca="false">IVA!BV59/IVA!CN21</f>
        <v>0.00347120498854085</v>
      </c>
      <c r="CH59" s="13"/>
      <c r="CI59" s="53" t="n">
        <v>2001</v>
      </c>
      <c r="CJ59" s="286" t="n">
        <f aca="false">IVA!BR185/IVA!CJ10</f>
        <v>0.00338891764335847</v>
      </c>
      <c r="CK59" s="286" t="n">
        <f aca="false">IVA!BS185/IVA!CK10</f>
        <v>0.00354146485836037</v>
      </c>
      <c r="CL59" s="286" t="n">
        <f aca="false">IVA!BT185/IVA!CL10</f>
        <v>0.00302405093778235</v>
      </c>
      <c r="CM59" s="287" t="n">
        <f aca="false">IVA!BU185/IVA!CM10</f>
        <v>0.00279083922518331</v>
      </c>
      <c r="CN59" s="288" t="n">
        <f aca="false">IVA!BV185/IVA!CN10</f>
        <v>0.0127896496402562</v>
      </c>
      <c r="CO59" s="63"/>
      <c r="CP59" s="63"/>
      <c r="CQ59" s="13"/>
      <c r="DY59" s="319" t="s">
        <v>433</v>
      </c>
      <c r="DZ59" s="45"/>
      <c r="EA59" s="210" t="n">
        <v>2004</v>
      </c>
      <c r="EB59" s="227" t="n">
        <v>25296631498</v>
      </c>
      <c r="EC59" s="227" t="n">
        <v>2328009440</v>
      </c>
      <c r="ED59" s="227" t="n">
        <v>27624640938</v>
      </c>
      <c r="EE59" s="227" t="n">
        <v>25740214119.62</v>
      </c>
      <c r="EF59" s="227" t="n">
        <v>25661388898.45</v>
      </c>
      <c r="EG59" s="228" t="n">
        <v>25556802656.34</v>
      </c>
      <c r="EH59" s="229" t="n">
        <f aca="false">IVA!EF59-IVA!EG59</f>
        <v>104586242.110001</v>
      </c>
      <c r="EJ59" s="31" t="n">
        <v>2007</v>
      </c>
      <c r="EK59" s="32" t="n">
        <v>5817.651</v>
      </c>
      <c r="EL59" s="33" t="n">
        <v>5005.492</v>
      </c>
      <c r="EN59" s="99" t="s">
        <v>173</v>
      </c>
      <c r="EO59" s="1" t="s">
        <v>472</v>
      </c>
      <c r="EP59" s="1" t="s">
        <v>473</v>
      </c>
      <c r="EQ59" s="1" t="s">
        <v>474</v>
      </c>
      <c r="ER59" s="1" t="s">
        <v>475</v>
      </c>
      <c r="ES59" s="1" t="n">
        <v>46.937</v>
      </c>
      <c r="ET59" s="1" t="n">
        <v>18.578</v>
      </c>
      <c r="EU59" s="1" t="n">
        <v>9.048</v>
      </c>
      <c r="EV59" s="1" t="n">
        <v>19.311</v>
      </c>
      <c r="EZ59" s="54" t="n">
        <f aca="false">IVA!EO59*12*IVA!EY17/1000</f>
        <v>14423611.31556</v>
      </c>
    </row>
    <row r="60" customFormat="false" ht="12.75" hidden="false" customHeight="true" outlineLevel="0" collapsed="false">
      <c r="AA60" s="322" t="n">
        <v>1996</v>
      </c>
      <c r="AB60" s="304" t="s">
        <v>476</v>
      </c>
      <c r="AC60" s="323"/>
      <c r="AD60" s="324"/>
      <c r="AE60" s="315" t="n">
        <f aca="false">IVA!AE43-580000/12</f>
        <v>478913.666666667</v>
      </c>
      <c r="AF60" s="315" t="n">
        <f aca="false">IVA!AF43-580000/12</f>
        <v>529863.666666667</v>
      </c>
      <c r="AG60" s="315" t="n">
        <f aca="false">IVA!AG43-580000/12</f>
        <v>437424.666666667</v>
      </c>
      <c r="AH60" s="315" t="n">
        <f aca="false">IVA!AH43-580000/12</f>
        <v>428649.666666667</v>
      </c>
      <c r="AI60" s="315" t="n">
        <f aca="false">IVA!AI43-580000/12</f>
        <v>641413.666666667</v>
      </c>
      <c r="AJ60" s="315" t="n">
        <f aca="false">IVA!AJ43-580000/12</f>
        <v>688362.666666667</v>
      </c>
      <c r="AK60" s="315" t="n">
        <f aca="false">IVA!AK43-580000/12</f>
        <v>509523.666666667</v>
      </c>
      <c r="AL60" s="315" t="n">
        <f aca="false">IVA!AL43-580000/12</f>
        <v>465071.666666667</v>
      </c>
      <c r="AM60" s="315" t="n">
        <f aca="false">IVA!AM43-580000/12</f>
        <v>435895.666666667</v>
      </c>
      <c r="AN60" s="315" t="n">
        <f aca="false">IVA!AN43-580000/12</f>
        <v>474043.666666667</v>
      </c>
      <c r="AO60" s="315" t="n">
        <f aca="false">IVA!AO43-580000/12</f>
        <v>625895.666666667</v>
      </c>
      <c r="AP60" s="315" t="n">
        <f aca="false">IVA!AP43-580000/12</f>
        <v>506567.666666667</v>
      </c>
      <c r="AQ60" s="155" t="n">
        <f aca="false">IVA!AE60+IVA!AF60+IVA!AG60</f>
        <v>1446202</v>
      </c>
      <c r="AR60" s="155" t="n">
        <f aca="false">IVA!AF60+IVA!AG60+IVA!AH60</f>
        <v>1395938</v>
      </c>
      <c r="AS60" s="155" t="n">
        <f aca="false">IVA!AG60+IVA!AH60+IVA!AI60</f>
        <v>1507488</v>
      </c>
      <c r="AT60" s="155" t="n">
        <f aca="false">IVA!AH60+IVA!AI60+IVA!AJ60</f>
        <v>1758426</v>
      </c>
      <c r="AU60" s="129" t="n">
        <f aca="false">IVA!AQ60+IVA!AR60+IVA!AS60+IVA!AT60</f>
        <v>6108054</v>
      </c>
      <c r="AV60" s="252"/>
      <c r="AW60" s="252"/>
      <c r="AX60" s="252"/>
      <c r="AY60" s="252"/>
      <c r="AZ60" s="296"/>
      <c r="BA60" s="266" t="n">
        <v>1996</v>
      </c>
      <c r="BB60" s="331" t="s">
        <v>477</v>
      </c>
      <c r="BC60" s="332"/>
      <c r="BD60" s="332"/>
      <c r="BE60" s="332"/>
      <c r="BF60" s="333" t="n">
        <v>20240</v>
      </c>
      <c r="BG60" s="333" t="n">
        <v>21859</v>
      </c>
      <c r="BH60" s="333" t="n">
        <v>22029</v>
      </c>
      <c r="BI60" s="333" t="n">
        <v>21950</v>
      </c>
      <c r="BJ60" s="333" t="n">
        <v>20943</v>
      </c>
      <c r="BK60" s="333" t="n">
        <v>22155</v>
      </c>
      <c r="BL60" s="333" t="n">
        <v>20727</v>
      </c>
      <c r="BM60" s="333" t="n">
        <v>20449</v>
      </c>
      <c r="BN60" s="333" t="n">
        <v>18809</v>
      </c>
      <c r="BO60" s="333" t="n">
        <v>20802</v>
      </c>
      <c r="BP60" s="333" t="n">
        <v>20382</v>
      </c>
      <c r="BQ60" s="334" t="n">
        <v>19164</v>
      </c>
      <c r="BR60" s="175" t="n">
        <f aca="false">IVA!BF60+IVA!BG60+IVA!BH60</f>
        <v>64128</v>
      </c>
      <c r="BS60" s="175" t="n">
        <f aca="false">IVA!BI60+IVA!BJ60+IVA!BK60</f>
        <v>65048</v>
      </c>
      <c r="BT60" s="175" t="n">
        <f aca="false">IVA!BL60+IVA!BM60+IVA!BN60</f>
        <v>59985</v>
      </c>
      <c r="BU60" s="176" t="n">
        <f aca="false">IVA!BO60+IVA!BP60+IVA!BQ60</f>
        <v>60348</v>
      </c>
      <c r="BV60" s="137" t="n">
        <f aca="false">IVA!BR60+IVA!BS60+IVA!BT60+IVA!BU60</f>
        <v>249509</v>
      </c>
      <c r="BW60" s="138"/>
      <c r="BX60" s="139"/>
      <c r="BY60" s="138"/>
      <c r="BZ60" s="138"/>
      <c r="CA60" s="273"/>
      <c r="CH60" s="13"/>
      <c r="CI60" s="53" t="n">
        <v>2002</v>
      </c>
      <c r="CJ60" s="286" t="n">
        <f aca="false">IVA!BR186/IVA!CJ11</f>
        <v>0.00282630512435911</v>
      </c>
      <c r="CK60" s="286" t="n">
        <f aca="false">IVA!BS186/IVA!CK11</f>
        <v>0.00247833622044181</v>
      </c>
      <c r="CL60" s="286" t="n">
        <f aca="false">IVA!BT186/IVA!CL11</f>
        <v>0.00272519307774152</v>
      </c>
      <c r="CM60" s="287" t="n">
        <f aca="false">IVA!BU186/IVA!CM11</f>
        <v>0.00290351494964898</v>
      </c>
      <c r="CN60" s="288" t="n">
        <f aca="false">IVA!BV186/IVA!CN11</f>
        <v>0.0109038355143533</v>
      </c>
      <c r="CO60" s="63"/>
      <c r="CP60" s="63"/>
      <c r="CQ60" s="13"/>
      <c r="DY60" s="215" t="s">
        <v>478</v>
      </c>
      <c r="EA60" s="179"/>
      <c r="EB60" s="230" t="n">
        <v>3799941652</v>
      </c>
      <c r="EC60" s="230" t="n">
        <v>298237912</v>
      </c>
      <c r="ED60" s="230" t="n">
        <v>4098179564</v>
      </c>
      <c r="EE60" s="230" t="n">
        <v>3965020940.58</v>
      </c>
      <c r="EF60" s="230" t="n">
        <v>3901394235.74</v>
      </c>
      <c r="EG60" s="231" t="n">
        <v>3865862635.29</v>
      </c>
      <c r="EH60" s="232" t="n">
        <f aca="false">IVA!EF60-IVA!EG60</f>
        <v>35531600.4499998</v>
      </c>
      <c r="EJ60" s="31" t="n">
        <v>2008</v>
      </c>
      <c r="EK60" s="32" t="n">
        <v>5936.618</v>
      </c>
      <c r="EL60" s="33" t="n">
        <v>5104.63</v>
      </c>
      <c r="EN60" s="99" t="s">
        <v>182</v>
      </c>
      <c r="EO60" s="1" t="s">
        <v>479</v>
      </c>
      <c r="EP60" s="1" t="s">
        <v>480</v>
      </c>
      <c r="EQ60" s="1" t="s">
        <v>481</v>
      </c>
      <c r="ER60" s="1" t="s">
        <v>482</v>
      </c>
      <c r="ES60" s="1" t="n">
        <v>69.098</v>
      </c>
      <c r="ET60" s="1" t="n">
        <v>28.848</v>
      </c>
      <c r="EU60" s="1" t="n">
        <v>11.355</v>
      </c>
      <c r="EV60" s="1" t="n">
        <v>28.895</v>
      </c>
      <c r="EZ60" s="54" t="n">
        <f aca="false">IVA!EO60*12*IVA!EY18/1000</f>
        <v>14780325.312</v>
      </c>
    </row>
    <row r="61" customFormat="false" ht="12.75" hidden="false" customHeight="true" outlineLevel="0" collapsed="false">
      <c r="AA61" s="304" t="n">
        <v>1997</v>
      </c>
      <c r="AB61" s="304" t="s">
        <v>476</v>
      </c>
      <c r="AC61" s="313"/>
      <c r="AD61" s="314"/>
      <c r="AE61" s="315" t="n">
        <f aca="false">IVA!AE44-580000/12</f>
        <v>583409.666666667</v>
      </c>
      <c r="AF61" s="315" t="n">
        <f aca="false">IVA!AF44-580000/12</f>
        <v>484381.666666667</v>
      </c>
      <c r="AG61" s="315" t="n">
        <f aca="false">IVA!AG44-580000/12</f>
        <v>479482.666666667</v>
      </c>
      <c r="AH61" s="315" t="n">
        <f aca="false">IVA!AH44-580000/12</f>
        <v>699294.666666667</v>
      </c>
      <c r="AI61" s="315" t="n">
        <f aca="false">IVA!AI44-580000/12</f>
        <v>1240457.66666667</v>
      </c>
      <c r="AJ61" s="315" t="n">
        <f aca="false">IVA!AJ44-580000/12</f>
        <v>614387.666666667</v>
      </c>
      <c r="AK61" s="315" t="n">
        <f aca="false">IVA!AK44-580000/12</f>
        <v>544640.666666667</v>
      </c>
      <c r="AL61" s="315" t="n">
        <f aca="false">IVA!AL44-580000/12</f>
        <v>620649.666666667</v>
      </c>
      <c r="AM61" s="315" t="n">
        <f aca="false">IVA!AM44-580000/12</f>
        <v>526567.666666667</v>
      </c>
      <c r="AN61" s="315" t="n">
        <f aca="false">IVA!AN44-580000/12</f>
        <v>647742.666666667</v>
      </c>
      <c r="AO61" s="315" t="n">
        <f aca="false">IVA!AO44-580000/12</f>
        <v>718091.666666667</v>
      </c>
      <c r="AP61" s="315" t="n">
        <f aca="false">IVA!AP44-580000/12</f>
        <v>594673.666666667</v>
      </c>
      <c r="AQ61" s="155" t="n">
        <f aca="false">IVA!AE61+IVA!AF61+IVA!AG61</f>
        <v>1547274</v>
      </c>
      <c r="AR61" s="155" t="n">
        <f aca="false">IVA!AF61+IVA!AG61+IVA!AH61</f>
        <v>1663159</v>
      </c>
      <c r="AS61" s="155" t="n">
        <f aca="false">IVA!AG61+IVA!AH61+IVA!AI61</f>
        <v>2419235</v>
      </c>
      <c r="AT61" s="155" t="n">
        <f aca="false">IVA!AH61+IVA!AI61+IVA!AJ61</f>
        <v>2554140</v>
      </c>
      <c r="AU61" s="129" t="n">
        <f aca="false">IVA!AQ61+IVA!AR61+IVA!AS61+IVA!AT61</f>
        <v>8183808</v>
      </c>
      <c r="AV61" s="130" t="n">
        <f aca="false">IVA!AQ61/IVA!CJ6</f>
        <v>0.00570402565804026</v>
      </c>
      <c r="AW61" s="130" t="n">
        <f aca="false">IVA!AR61/IVA!CK6</f>
        <v>0.00554621975995222</v>
      </c>
      <c r="AX61" s="130" t="n">
        <f aca="false">IVA!AS61/IVA!CL6</f>
        <v>0.00811102566132005</v>
      </c>
      <c r="AY61" s="130" t="n">
        <f aca="false">IVA!AT61/IVA!CM6</f>
        <v>0.00845636653658628</v>
      </c>
      <c r="AZ61" s="271" t="n">
        <f aca="false">IVA!AU61/IVA!CN6</f>
        <v>0.027944544739858</v>
      </c>
      <c r="BA61" s="266" t="n">
        <v>1997</v>
      </c>
      <c r="BB61" s="331" t="s">
        <v>477</v>
      </c>
      <c r="BC61" s="332"/>
      <c r="BD61" s="332"/>
      <c r="BE61" s="332"/>
      <c r="BF61" s="333" t="n">
        <v>20067</v>
      </c>
      <c r="BG61" s="333" t="n">
        <v>20516</v>
      </c>
      <c r="BH61" s="333" t="n">
        <v>20022</v>
      </c>
      <c r="BI61" s="333" t="n">
        <v>21691</v>
      </c>
      <c r="BJ61" s="333" t="n">
        <v>22525</v>
      </c>
      <c r="BK61" s="333" t="n">
        <v>22532</v>
      </c>
      <c r="BL61" s="333" t="n">
        <v>22322</v>
      </c>
      <c r="BM61" s="333" t="n">
        <v>21171</v>
      </c>
      <c r="BN61" s="333" t="n">
        <v>24045</v>
      </c>
      <c r="BO61" s="333" t="n">
        <v>22397</v>
      </c>
      <c r="BP61" s="333" t="n">
        <v>21207</v>
      </c>
      <c r="BQ61" s="334" t="n">
        <v>20243</v>
      </c>
      <c r="BR61" s="175" t="n">
        <f aca="false">IVA!BF61+IVA!BG61+IVA!BH61</f>
        <v>60605</v>
      </c>
      <c r="BS61" s="175" t="n">
        <f aca="false">IVA!BI61+IVA!BJ61+IVA!BK61</f>
        <v>66748</v>
      </c>
      <c r="BT61" s="175" t="n">
        <f aca="false">IVA!BL61+IVA!BM61+IVA!BN61</f>
        <v>67538</v>
      </c>
      <c r="BU61" s="176" t="n">
        <f aca="false">IVA!BO61+IVA!BP61+IVA!BQ61</f>
        <v>63847</v>
      </c>
      <c r="BV61" s="137" t="n">
        <f aca="false">IVA!BR61+IVA!BS61+IVA!BT61+IVA!BU61</f>
        <v>258738</v>
      </c>
      <c r="BW61" s="138"/>
      <c r="BX61" s="139"/>
      <c r="BY61" s="138"/>
      <c r="BZ61" s="138"/>
      <c r="CA61" s="273"/>
      <c r="CH61" s="13"/>
      <c r="CI61" s="53" t="n">
        <v>2003</v>
      </c>
      <c r="CJ61" s="286" t="n">
        <f aca="false">IVA!BR187/IVA!CJ12</f>
        <v>0.00308933252886987</v>
      </c>
      <c r="CK61" s="286" t="n">
        <f aca="false">IVA!BS187/IVA!CK12</f>
        <v>0.00321322205544447</v>
      </c>
      <c r="CL61" s="286" t="n">
        <f aca="false">IVA!BT187/IVA!CL12</f>
        <v>0.00343613939668936</v>
      </c>
      <c r="CM61" s="287" t="n">
        <f aca="false">IVA!BU187/IVA!CM12</f>
        <v>0.00346771598236385</v>
      </c>
      <c r="CN61" s="288" t="n">
        <f aca="false">IVA!BV187/IVA!CN12</f>
        <v>0.0132393998328875</v>
      </c>
      <c r="CO61" s="63"/>
      <c r="CP61" s="63"/>
      <c r="CQ61" s="13"/>
      <c r="DY61" s="215" t="s">
        <v>483</v>
      </c>
      <c r="EA61" s="195"/>
      <c r="EB61" s="230" t="n">
        <v>12962000</v>
      </c>
      <c r="EC61" s="230" t="n">
        <v>0</v>
      </c>
      <c r="ED61" s="230" t="n">
        <v>12962000</v>
      </c>
      <c r="EE61" s="230" t="n">
        <v>9470660.57</v>
      </c>
      <c r="EF61" s="230" t="n">
        <v>9467669.07</v>
      </c>
      <c r="EG61" s="231" t="n">
        <v>8710254.01</v>
      </c>
      <c r="EH61" s="232" t="n">
        <f aca="false">IVA!EF61-IVA!EG61</f>
        <v>757415.060000001</v>
      </c>
      <c r="EJ61" s="31" t="n">
        <v>2009</v>
      </c>
      <c r="EK61" s="32" t="n">
        <v>6052.912</v>
      </c>
      <c r="EL61" s="33" t="n">
        <v>5199.867</v>
      </c>
      <c r="EN61" s="99" t="s">
        <v>192</v>
      </c>
      <c r="EO61" s="1" t="s">
        <v>484</v>
      </c>
      <c r="EP61" s="1" t="s">
        <v>485</v>
      </c>
      <c r="EQ61" s="1" t="s">
        <v>486</v>
      </c>
      <c r="ER61" s="1" t="s">
        <v>487</v>
      </c>
      <c r="ES61" s="1" t="n">
        <v>106.876</v>
      </c>
      <c r="ET61" s="1" t="n">
        <v>51.938</v>
      </c>
      <c r="EU61" s="1" t="n">
        <v>15.751</v>
      </c>
      <c r="EV61" s="1" t="n">
        <v>39.187</v>
      </c>
      <c r="EZ61" s="54" t="n">
        <f aca="false">IVA!EO61*12*IVA!EY19/1000</f>
        <v>15501733.53924</v>
      </c>
    </row>
    <row r="62" customFormat="false" ht="12.75" hidden="false" customHeight="true" outlineLevel="0" collapsed="false">
      <c r="AA62" s="304" t="n">
        <v>1998</v>
      </c>
      <c r="AB62" s="304" t="s">
        <v>476</v>
      </c>
      <c r="AC62" s="313"/>
      <c r="AD62" s="314"/>
      <c r="AE62" s="315" t="n">
        <f aca="false">IVA!AE45-580000/12</f>
        <v>604249.666666667</v>
      </c>
      <c r="AF62" s="315" t="n">
        <f aca="false">IVA!AF45-580000/12</f>
        <v>640892.666666667</v>
      </c>
      <c r="AG62" s="315" t="n">
        <f aca="false">IVA!AG45-580000/12</f>
        <v>535844.666666667</v>
      </c>
      <c r="AH62" s="315" t="n">
        <f aca="false">IVA!AH45-580000/12</f>
        <v>709732.666666667</v>
      </c>
      <c r="AI62" s="315" t="n">
        <f aca="false">IVA!AI45-580000/12</f>
        <v>1340081.66666667</v>
      </c>
      <c r="AJ62" s="315" t="n">
        <f aca="false">IVA!AJ45-580000/12</f>
        <v>963953.666666667</v>
      </c>
      <c r="AK62" s="315" t="n">
        <f aca="false">IVA!AK45-580000/12</f>
        <v>657156.666666667</v>
      </c>
      <c r="AL62" s="315" t="n">
        <f aca="false">IVA!AL45-580000/12</f>
        <v>738083.666666667</v>
      </c>
      <c r="AM62" s="315" t="n">
        <f aca="false">IVA!AM45-580000/12</f>
        <v>529109.666666667</v>
      </c>
      <c r="AN62" s="315" t="n">
        <f aca="false">IVA!AN45-580000/12</f>
        <v>627021.666666667</v>
      </c>
      <c r="AO62" s="315" t="n">
        <f aca="false">IVA!AO45-580000/12</f>
        <v>651647.666666667</v>
      </c>
      <c r="AP62" s="315" t="n">
        <f aca="false">IVA!AP45-580000/12</f>
        <v>902111.666666667</v>
      </c>
      <c r="AQ62" s="155" t="n">
        <f aca="false">IVA!AE62+IVA!AF62+IVA!AG62</f>
        <v>1780987</v>
      </c>
      <c r="AR62" s="155" t="n">
        <f aca="false">IVA!AF62+IVA!AG62+IVA!AH62</f>
        <v>1886470</v>
      </c>
      <c r="AS62" s="155" t="n">
        <f aca="false">IVA!AG62+IVA!AH62+IVA!AI62</f>
        <v>2585659</v>
      </c>
      <c r="AT62" s="155" t="n">
        <f aca="false">IVA!AH62+IVA!AI62+IVA!AJ62</f>
        <v>3013768</v>
      </c>
      <c r="AU62" s="129" t="n">
        <f aca="false">IVA!AQ62+IVA!AR62+IVA!AS62+IVA!AT62</f>
        <v>9266884</v>
      </c>
      <c r="AV62" s="130" t="n">
        <f aca="false">IVA!AQ62/IVA!CJ7</f>
        <v>0.00629849273599185</v>
      </c>
      <c r="AW62" s="130" t="n">
        <f aca="false">IVA!AR62/IVA!CK7</f>
        <v>0.00604387714352064</v>
      </c>
      <c r="AX62" s="130" t="n">
        <f aca="false">IVA!AS62/IVA!CL7</f>
        <v>0.00846439466751552</v>
      </c>
      <c r="AY62" s="130" t="n">
        <f aca="false">IVA!AT62/IVA!CM7</f>
        <v>0.0102014545462684</v>
      </c>
      <c r="AZ62" s="271" t="n">
        <f aca="false">IVA!AU62/IVA!CN7</f>
        <v>0.0309982769091527</v>
      </c>
      <c r="BA62" s="266" t="n">
        <v>1998</v>
      </c>
      <c r="BB62" s="331" t="s">
        <v>477</v>
      </c>
      <c r="BC62" s="332"/>
      <c r="BD62" s="332"/>
      <c r="BE62" s="332"/>
      <c r="BF62" s="333" t="n">
        <v>21557</v>
      </c>
      <c r="BG62" s="333" t="n">
        <v>23290</v>
      </c>
      <c r="BH62" s="333" t="n">
        <v>23083</v>
      </c>
      <c r="BI62" s="333" t="n">
        <v>24991</v>
      </c>
      <c r="BJ62" s="333" t="n">
        <v>22524</v>
      </c>
      <c r="BK62" s="333" t="n">
        <v>22859</v>
      </c>
      <c r="BL62" s="333" t="n">
        <v>23803</v>
      </c>
      <c r="BM62" s="333" t="n">
        <v>22833</v>
      </c>
      <c r="BN62" s="333" t="n">
        <v>21637</v>
      </c>
      <c r="BO62" s="333" t="n">
        <v>23634</v>
      </c>
      <c r="BP62" s="333" t="n">
        <v>21032</v>
      </c>
      <c r="BQ62" s="334" t="n">
        <v>21247</v>
      </c>
      <c r="BR62" s="175" t="n">
        <f aca="false">IVA!BF62+IVA!BG62+IVA!BH62</f>
        <v>67930</v>
      </c>
      <c r="BS62" s="175" t="n">
        <f aca="false">IVA!BI62+IVA!BJ62+IVA!BK62</f>
        <v>70374</v>
      </c>
      <c r="BT62" s="175" t="n">
        <f aca="false">IVA!BL62+IVA!BM62+IVA!BN62</f>
        <v>68273</v>
      </c>
      <c r="BU62" s="176" t="n">
        <f aca="false">IVA!BO62+IVA!BP62+IVA!BQ62</f>
        <v>65913</v>
      </c>
      <c r="BV62" s="137" t="n">
        <f aca="false">IVA!BR62+IVA!BS62+IVA!BT62+IVA!BU62</f>
        <v>272490</v>
      </c>
      <c r="BW62" s="138"/>
      <c r="BX62" s="139"/>
      <c r="BY62" s="138"/>
      <c r="BZ62" s="138"/>
      <c r="CA62" s="273"/>
      <c r="CH62" s="13"/>
      <c r="CI62" s="53" t="n">
        <v>2004</v>
      </c>
      <c r="CJ62" s="286" t="n">
        <f aca="false">IVA!BR188/IVA!CJ13</f>
        <v>0.00377190060607297</v>
      </c>
      <c r="CK62" s="286" t="n">
        <f aca="false">IVA!BS188/IVA!CK13</f>
        <v>0.00456213383541025</v>
      </c>
      <c r="CL62" s="286" t="n">
        <f aca="false">IVA!BT188/IVA!CL13</f>
        <v>0.00404503985118813</v>
      </c>
      <c r="CM62" s="287" t="n">
        <f aca="false">IVA!BU188/IVA!CM13</f>
        <v>0.00370652732567358</v>
      </c>
      <c r="CN62" s="288" t="n">
        <f aca="false">IVA!BV188/IVA!CN13</f>
        <v>0.0161317301063468</v>
      </c>
      <c r="CO62" s="63"/>
      <c r="CP62" s="63"/>
      <c r="CQ62" s="13"/>
      <c r="DY62" s="222" t="s">
        <v>488</v>
      </c>
      <c r="DZ62" s="223"/>
      <c r="EA62" s="206"/>
      <c r="EB62" s="236" t="n">
        <v>21483727846</v>
      </c>
      <c r="EC62" s="236" t="n">
        <v>2029771528</v>
      </c>
      <c r="ED62" s="236" t="n">
        <v>23513499374</v>
      </c>
      <c r="EE62" s="236" t="n">
        <v>21765722518.47</v>
      </c>
      <c r="EF62" s="236" t="n">
        <v>21750526993.64</v>
      </c>
      <c r="EG62" s="237" t="n">
        <v>21682229767.04</v>
      </c>
      <c r="EH62" s="238" t="n">
        <f aca="false">IVA!EF62-IVA!EG62</f>
        <v>68297226.5999985</v>
      </c>
      <c r="EJ62" s="31" t="n">
        <v>2010</v>
      </c>
      <c r="EK62" s="32" t="n">
        <v>6167.382</v>
      </c>
      <c r="EL62" s="33" t="n">
        <v>5292.579</v>
      </c>
      <c r="EN62" s="99" t="s">
        <v>208</v>
      </c>
      <c r="EO62" s="1" t="s">
        <v>489</v>
      </c>
      <c r="EP62" s="1" t="s">
        <v>490</v>
      </c>
      <c r="EQ62" s="1" t="s">
        <v>491</v>
      </c>
      <c r="ER62" s="1" t="s">
        <v>492</v>
      </c>
      <c r="ES62" s="1" t="n">
        <v>140.982</v>
      </c>
      <c r="ET62" s="1" t="n">
        <v>70.987</v>
      </c>
      <c r="EU62" s="1" t="n">
        <v>20.275</v>
      </c>
      <c r="EV62" s="1" t="n">
        <v>49.72</v>
      </c>
      <c r="EZ62" s="54" t="n">
        <f aca="false">IVA!EO62*12*IVA!EY20/1000</f>
        <v>18455673.66624</v>
      </c>
    </row>
    <row r="63" customFormat="false" ht="12.75" hidden="false" customHeight="true" outlineLevel="0" collapsed="false">
      <c r="AA63" s="304" t="n">
        <v>1999</v>
      </c>
      <c r="AB63" s="304" t="s">
        <v>476</v>
      </c>
      <c r="AC63" s="313"/>
      <c r="AD63" s="314"/>
      <c r="AE63" s="315" t="n">
        <f aca="false">IVA!AE46-580000/12</f>
        <v>672763.666666667</v>
      </c>
      <c r="AF63" s="315" t="n">
        <f aca="false">IVA!AF46-580000/12</f>
        <v>602115.666666667</v>
      </c>
      <c r="AG63" s="315" t="n">
        <f aca="false">IVA!AG46-580000/12</f>
        <v>602415.666666667</v>
      </c>
      <c r="AH63" s="315" t="n">
        <f aca="false">IVA!AH46-580000/12</f>
        <v>633556.666666667</v>
      </c>
      <c r="AI63" s="315" t="n">
        <f aca="false">IVA!AI46-580000/12</f>
        <v>1090117.66666667</v>
      </c>
      <c r="AJ63" s="315" t="n">
        <f aca="false">IVA!AJ46-580000/12</f>
        <v>753021.666666667</v>
      </c>
      <c r="AK63" s="315" t="n">
        <f aca="false">IVA!AK46-580000/12</f>
        <v>705522.666666667</v>
      </c>
      <c r="AL63" s="315" t="n">
        <f aca="false">IVA!AL46-580000/12</f>
        <v>746867.666666667</v>
      </c>
      <c r="AM63" s="315" t="n">
        <f aca="false">IVA!AM46-580000/12</f>
        <v>652784.666666667</v>
      </c>
      <c r="AN63" s="315" t="n">
        <f aca="false">IVA!AN46-580000/12</f>
        <v>716439.666666667</v>
      </c>
      <c r="AO63" s="315" t="n">
        <f aca="false">IVA!AO46-580000/12</f>
        <v>797602.666666667</v>
      </c>
      <c r="AP63" s="315" t="n">
        <f aca="false">IVA!AP46-580000/12</f>
        <v>686758.666666667</v>
      </c>
      <c r="AQ63" s="155" t="n">
        <f aca="false">IVA!AE63+IVA!AF63+IVA!AG63</f>
        <v>1877295</v>
      </c>
      <c r="AR63" s="155" t="n">
        <f aca="false">IVA!AF63+IVA!AG63+IVA!AH63</f>
        <v>1838088</v>
      </c>
      <c r="AS63" s="155" t="n">
        <f aca="false">IVA!AG63+IVA!AH63+IVA!AI63</f>
        <v>2326090</v>
      </c>
      <c r="AT63" s="155" t="n">
        <f aca="false">IVA!AH63+IVA!AI63+IVA!AJ63</f>
        <v>2476696</v>
      </c>
      <c r="AU63" s="129" t="n">
        <f aca="false">IVA!AQ63+IVA!AR63+IVA!AS63+IVA!AT63</f>
        <v>8518169</v>
      </c>
      <c r="AV63" s="130" t="n">
        <f aca="false">IVA!AQ63/IVA!CJ8</f>
        <v>0.00693378664874089</v>
      </c>
      <c r="AW63" s="130" t="n">
        <f aca="false">IVA!AR63/IVA!CK8</f>
        <v>0.00636391274040018</v>
      </c>
      <c r="AX63" s="130" t="n">
        <f aca="false">IVA!AS63/IVA!CL8</f>
        <v>0.00815922797415759</v>
      </c>
      <c r="AY63" s="130" t="n">
        <f aca="false">IVA!AT63/IVA!CM8</f>
        <v>0.00855718488291041</v>
      </c>
      <c r="AZ63" s="271" t="n">
        <f aca="false">IVA!AU63/IVA!CN8</f>
        <v>0.030044011524724</v>
      </c>
      <c r="BA63" s="266" t="n">
        <v>1999</v>
      </c>
      <c r="BB63" s="331" t="s">
        <v>477</v>
      </c>
      <c r="BC63" s="332"/>
      <c r="BD63" s="332"/>
      <c r="BE63" s="332"/>
      <c r="BF63" s="333" t="n">
        <v>22564</v>
      </c>
      <c r="BG63" s="333" t="n">
        <v>21371</v>
      </c>
      <c r="BH63" s="333" t="n">
        <v>23654</v>
      </c>
      <c r="BI63" s="333" t="n">
        <v>25959</v>
      </c>
      <c r="BJ63" s="333" t="n">
        <v>24124</v>
      </c>
      <c r="BK63" s="333" t="n">
        <v>23113</v>
      </c>
      <c r="BL63" s="333" t="n">
        <v>23390</v>
      </c>
      <c r="BM63" s="333" t="n">
        <v>17592</v>
      </c>
      <c r="BN63" s="333" t="n">
        <v>18045</v>
      </c>
      <c r="BO63" s="333" t="n">
        <v>17909</v>
      </c>
      <c r="BP63" s="333" t="n">
        <v>19597</v>
      </c>
      <c r="BQ63" s="334" t="n">
        <v>18001</v>
      </c>
      <c r="BR63" s="175" t="n">
        <f aca="false">IVA!BF63+IVA!BG63+IVA!BH63</f>
        <v>67589</v>
      </c>
      <c r="BS63" s="175" t="n">
        <f aca="false">IVA!BI63+IVA!BJ63+IVA!BK63</f>
        <v>73196</v>
      </c>
      <c r="BT63" s="175" t="n">
        <f aca="false">IVA!BL63+IVA!BM63+IVA!BN63</f>
        <v>59027</v>
      </c>
      <c r="BU63" s="176" t="n">
        <f aca="false">IVA!BO63+IVA!BP63+IVA!BQ63</f>
        <v>55507</v>
      </c>
      <c r="BV63" s="137" t="n">
        <f aca="false">IVA!BR63+IVA!BS63+IVA!BT63+IVA!BU63</f>
        <v>255319</v>
      </c>
      <c r="BW63" s="138"/>
      <c r="BX63" s="139"/>
      <c r="BY63" s="138"/>
      <c r="BZ63" s="138"/>
      <c r="CA63" s="273"/>
      <c r="CH63" s="13"/>
      <c r="CI63" s="53" t="n">
        <v>2005</v>
      </c>
      <c r="CJ63" s="286" t="n">
        <f aca="false">IVA!BR189/IVA!CJ14</f>
        <v>0.00408987636009824</v>
      </c>
      <c r="CK63" s="286" t="n">
        <f aca="false">IVA!BS189/IVA!CK14</f>
        <v>0.00432190553325086</v>
      </c>
      <c r="CL63" s="286" t="n">
        <f aca="false">IVA!BT189/IVA!CL14</f>
        <v>0.00401016753604296</v>
      </c>
      <c r="CM63" s="287" t="n">
        <f aca="false">IVA!BU189/IVA!CM14</f>
        <v>0.00396668137695992</v>
      </c>
      <c r="CN63" s="288" t="n">
        <f aca="false">IVA!BV189/IVA!CN14</f>
        <v>0.0163858990093527</v>
      </c>
      <c r="CO63" s="63"/>
      <c r="CP63" s="63"/>
      <c r="CQ63" s="13"/>
      <c r="DY63" s="319" t="s">
        <v>433</v>
      </c>
      <c r="DZ63" s="45"/>
      <c r="EA63" s="210" t="n">
        <v>2005</v>
      </c>
      <c r="EB63" s="227" t="n">
        <v>29050197000</v>
      </c>
      <c r="EC63" s="227" t="n">
        <v>2181579371</v>
      </c>
      <c r="ED63" s="227" t="n">
        <v>31231776371</v>
      </c>
      <c r="EE63" s="227" t="n">
        <v>29150811322.4</v>
      </c>
      <c r="EF63" s="227" t="n">
        <v>29135431516.67</v>
      </c>
      <c r="EG63" s="228" t="n">
        <v>28782464265.55</v>
      </c>
      <c r="EH63" s="229" t="n">
        <f aca="false">IVA!EF63-IVA!EG63</f>
        <v>352967251.119999</v>
      </c>
      <c r="EJ63" s="31" t="n">
        <v>2011</v>
      </c>
      <c r="EK63" s="32" t="n">
        <v>6303.927</v>
      </c>
      <c r="EL63" s="33" t="n">
        <v>5409.962</v>
      </c>
      <c r="EN63" s="99" t="s">
        <v>224</v>
      </c>
      <c r="EO63" s="1" t="s">
        <v>493</v>
      </c>
      <c r="EP63" s="1" t="s">
        <v>494</v>
      </c>
      <c r="EQ63" s="1" t="s">
        <v>495</v>
      </c>
      <c r="ER63" s="1" t="s">
        <v>496</v>
      </c>
      <c r="ES63" s="1" t="n">
        <v>177.146</v>
      </c>
      <c r="ET63" s="1" t="n">
        <v>93.678</v>
      </c>
      <c r="EU63" s="1" t="n">
        <v>24.259</v>
      </c>
      <c r="EV63" s="1" t="n">
        <v>59.209</v>
      </c>
      <c r="EZ63" s="54" t="n">
        <f aca="false">IVA!EO63*12*IVA!EY21/1000</f>
        <v>21039531.50448</v>
      </c>
    </row>
    <row r="64" customFormat="false" ht="12.75" hidden="false" customHeight="true" outlineLevel="0" collapsed="false">
      <c r="AA64" s="304" t="n">
        <v>2000</v>
      </c>
      <c r="AB64" s="304" t="s">
        <v>476</v>
      </c>
      <c r="AC64" s="313"/>
      <c r="AD64" s="314"/>
      <c r="AE64" s="315" t="n">
        <f aca="false">IVA!AE47-580000/12</f>
        <v>691249.936966667</v>
      </c>
      <c r="AF64" s="315" t="n">
        <f aca="false">IVA!AF47-580000/12</f>
        <v>658416.126066667</v>
      </c>
      <c r="AG64" s="315" t="n">
        <f aca="false">IVA!AG47-580000/12</f>
        <v>647235.326446667</v>
      </c>
      <c r="AH64" s="315" t="n">
        <f aca="false">IVA!AH47-580000/12</f>
        <v>725675.878246667</v>
      </c>
      <c r="AI64" s="315" t="n">
        <f aca="false">IVA!AI47-580000/12</f>
        <v>1140872.48036667</v>
      </c>
      <c r="AJ64" s="315" t="n">
        <f aca="false">IVA!AJ47-580000/12</f>
        <v>1313228.88918667</v>
      </c>
      <c r="AK64" s="315" t="n">
        <f aca="false">IVA!AK47-580000/12</f>
        <v>753961.467066667</v>
      </c>
      <c r="AL64" s="315" t="n">
        <f aca="false">IVA!AL47-580000/12</f>
        <v>852023.346066667</v>
      </c>
      <c r="AM64" s="315" t="n">
        <f aca="false">IVA!AM47-580000/12</f>
        <v>683638.284666667</v>
      </c>
      <c r="AN64" s="315" t="n">
        <f aca="false">IVA!AN47-580000/12</f>
        <v>812171.562766667</v>
      </c>
      <c r="AO64" s="315" t="n">
        <f aca="false">IVA!AO47-580000/12</f>
        <v>769252.908726667</v>
      </c>
      <c r="AP64" s="315" t="n">
        <f aca="false">IVA!AP47-580000/12</f>
        <v>827418.497926667</v>
      </c>
      <c r="AQ64" s="155" t="n">
        <f aca="false">IVA!AE64+IVA!AF64+IVA!AG64</f>
        <v>1996901.38948</v>
      </c>
      <c r="AR64" s="155" t="n">
        <f aca="false">IVA!AF64+IVA!AG64+IVA!AH64</f>
        <v>2031327.33076</v>
      </c>
      <c r="AS64" s="155" t="n">
        <f aca="false">IVA!AG64+IVA!AH64+IVA!AI64</f>
        <v>2513783.68506</v>
      </c>
      <c r="AT64" s="155" t="n">
        <f aca="false">IVA!AH64+IVA!AI64+IVA!AJ64</f>
        <v>3179777.2478</v>
      </c>
      <c r="AU64" s="129" t="n">
        <f aca="false">IVA!AQ64+IVA!AR64+IVA!AS64+IVA!AT64</f>
        <v>9721789.6531</v>
      </c>
      <c r="AV64" s="130" t="n">
        <f aca="false">IVA!AQ64/IVA!CJ9</f>
        <v>0.00738378884160861</v>
      </c>
      <c r="AW64" s="130" t="n">
        <f aca="false">IVA!AR64/IVA!CK9</f>
        <v>0.00696146383022319</v>
      </c>
      <c r="AX64" s="130" t="n">
        <f aca="false">IVA!AS64/IVA!CL9</f>
        <v>0.00874372795402951</v>
      </c>
      <c r="AY64" s="130" t="n">
        <f aca="false">IVA!AT64/IVA!CM9</f>
        <v>0.0110763138750753</v>
      </c>
      <c r="AZ64" s="271" t="n">
        <f aca="false">IVA!AU64/IVA!CN9</f>
        <v>0.0342071137999268</v>
      </c>
      <c r="BA64" s="266" t="n">
        <v>2000</v>
      </c>
      <c r="BB64" s="331" t="s">
        <v>477</v>
      </c>
      <c r="BC64" s="332"/>
      <c r="BD64" s="332"/>
      <c r="BE64" s="332"/>
      <c r="BF64" s="333" t="n">
        <v>20217</v>
      </c>
      <c r="BG64" s="333" t="n">
        <v>16082</v>
      </c>
      <c r="BH64" s="333" t="n">
        <v>19348</v>
      </c>
      <c r="BI64" s="333" t="n">
        <v>18857</v>
      </c>
      <c r="BJ64" s="333" t="n">
        <v>17747</v>
      </c>
      <c r="BK64" s="333" t="n">
        <v>19203</v>
      </c>
      <c r="BL64" s="333" t="n">
        <v>19988</v>
      </c>
      <c r="BM64" s="333" t="n">
        <v>13435</v>
      </c>
      <c r="BN64" s="333" t="n">
        <v>13542</v>
      </c>
      <c r="BO64" s="333" t="n">
        <v>12054</v>
      </c>
      <c r="BP64" s="333" t="n">
        <v>12216</v>
      </c>
      <c r="BQ64" s="334" t="n">
        <v>11417</v>
      </c>
      <c r="BR64" s="175" t="n">
        <f aca="false">IVA!BF64+IVA!BG64+IVA!BH64</f>
        <v>55647</v>
      </c>
      <c r="BS64" s="175" t="n">
        <f aca="false">IVA!BI64+IVA!BJ64+IVA!BK64</f>
        <v>55807</v>
      </c>
      <c r="BT64" s="175" t="n">
        <f aca="false">IVA!BL64+IVA!BM64+IVA!BN64</f>
        <v>46965</v>
      </c>
      <c r="BU64" s="176" t="n">
        <f aca="false">IVA!BO64+IVA!BP64+IVA!BQ64</f>
        <v>35687</v>
      </c>
      <c r="BV64" s="137" t="n">
        <f aca="false">IVA!BR64+IVA!BS64+IVA!BT64+IVA!BU64</f>
        <v>194106</v>
      </c>
      <c r="BW64" s="138"/>
      <c r="BX64" s="139"/>
      <c r="BY64" s="138"/>
      <c r="BZ64" s="138"/>
      <c r="CA64" s="273"/>
      <c r="CH64" s="13"/>
      <c r="CI64" s="53" t="n">
        <v>2006</v>
      </c>
      <c r="CJ64" s="286" t="n">
        <f aca="false">IVA!BR190/IVA!CJ15</f>
        <v>0.0041236936320933</v>
      </c>
      <c r="CK64" s="286" t="n">
        <f aca="false">IVA!BS190/IVA!CK15</f>
        <v>0.00408122039060329</v>
      </c>
      <c r="CL64" s="286" t="n">
        <f aca="false">IVA!BT190/IVA!CL15</f>
        <v>0.0040535281449971</v>
      </c>
      <c r="CM64" s="287" t="n">
        <f aca="false">IVA!BU190/IVA!CM15</f>
        <v>0.00422675290846859</v>
      </c>
      <c r="CN64" s="288" t="n">
        <f aca="false">IVA!BV190/IVA!CN15</f>
        <v>0.0164898630952166</v>
      </c>
      <c r="CO64" s="63"/>
      <c r="CP64" s="63"/>
      <c r="CQ64" s="13"/>
      <c r="DY64" s="215" t="s">
        <v>497</v>
      </c>
      <c r="EA64" s="179"/>
      <c r="EB64" s="230" t="n">
        <v>3769146000</v>
      </c>
      <c r="EC64" s="230" t="n">
        <v>46448681</v>
      </c>
      <c r="ED64" s="230" t="n">
        <v>3815594681</v>
      </c>
      <c r="EE64" s="230" t="n">
        <v>3577708151.69</v>
      </c>
      <c r="EF64" s="230" t="n">
        <v>3571935569.12</v>
      </c>
      <c r="EG64" s="231" t="n">
        <v>3518727708.58</v>
      </c>
      <c r="EH64" s="232" t="n">
        <f aca="false">IVA!EF64-IVA!EG64</f>
        <v>53207860.54</v>
      </c>
      <c r="EJ64" s="31" t="n">
        <v>2012</v>
      </c>
      <c r="EK64" s="32" t="n">
        <v>6440.945</v>
      </c>
      <c r="EL64" s="33" t="n">
        <v>5526.654</v>
      </c>
      <c r="EN64" s="99" t="s">
        <v>240</v>
      </c>
      <c r="EO64" s="1" t="s">
        <v>498</v>
      </c>
      <c r="EP64" s="1" t="s">
        <v>499</v>
      </c>
      <c r="EQ64" s="1" t="s">
        <v>500</v>
      </c>
      <c r="ER64" s="1" t="s">
        <v>501</v>
      </c>
      <c r="ES64" s="1" t="n">
        <v>227.083</v>
      </c>
      <c r="ET64" s="1" t="n">
        <v>127.691</v>
      </c>
      <c r="EU64" s="1" t="n">
        <v>29.116</v>
      </c>
      <c r="EV64" s="1" t="n">
        <v>70.276</v>
      </c>
      <c r="EZ64" s="54" t="n">
        <f aca="false">IVA!EO64*12*IVA!EY22/1000</f>
        <v>28690072.485</v>
      </c>
    </row>
    <row r="65" customFormat="false" ht="12.75" hidden="false" customHeight="true" outlineLevel="0" collapsed="false">
      <c r="AA65" s="304" t="n">
        <v>2001</v>
      </c>
      <c r="AB65" s="304" t="s">
        <v>476</v>
      </c>
      <c r="AC65" s="313"/>
      <c r="AD65" s="314"/>
      <c r="AE65" s="315" t="n">
        <f aca="false">IVA!AE48-580000/12</f>
        <v>758114.618696667</v>
      </c>
      <c r="AF65" s="315" t="n">
        <f aca="false">IVA!AF48-580000/12</f>
        <v>710833.064936667</v>
      </c>
      <c r="AG65" s="315" t="n">
        <f aca="false">IVA!AG48-580000/12</f>
        <v>686657.305686667</v>
      </c>
      <c r="AH65" s="315" t="n">
        <f aca="false">IVA!AH48-580000/12</f>
        <v>569497.446496667</v>
      </c>
      <c r="AI65" s="315" t="n">
        <f aca="false">IVA!AI48-580000/12</f>
        <v>1500512.01051667</v>
      </c>
      <c r="AJ65" s="315" t="n">
        <f aca="false">IVA!AJ48-580000/12</f>
        <v>1266181.56108667</v>
      </c>
      <c r="AK65" s="315" t="n">
        <f aca="false">IVA!AK48-580000/12</f>
        <v>699019.023306667</v>
      </c>
      <c r="AL65" s="315" t="n">
        <f aca="false">IVA!AL48-580000/12</f>
        <v>736664.190606667</v>
      </c>
      <c r="AM65" s="315" t="n">
        <f aca="false">IVA!AM48-580000/12</f>
        <v>641748.918336667</v>
      </c>
      <c r="AN65" s="315" t="n">
        <f aca="false">IVA!AN48-580000/12</f>
        <v>679286.107476667</v>
      </c>
      <c r="AO65" s="315" t="n">
        <f aca="false">IVA!AO48-580000/12</f>
        <v>670243.399926667</v>
      </c>
      <c r="AP65" s="315" t="n">
        <f aca="false">IVA!AP48-580000/12</f>
        <v>592522.069236667</v>
      </c>
      <c r="AQ65" s="155" t="n">
        <f aca="false">IVA!AE65+IVA!AF65+IVA!AG65</f>
        <v>2155604.98932</v>
      </c>
      <c r="AR65" s="155" t="n">
        <f aca="false">IVA!AF65+IVA!AG65+IVA!AH65</f>
        <v>1966987.81712</v>
      </c>
      <c r="AS65" s="155" t="n">
        <f aca="false">IVA!AG65+IVA!AH65+IVA!AI65</f>
        <v>2756666.7627</v>
      </c>
      <c r="AT65" s="155" t="n">
        <f aca="false">IVA!AH65+IVA!AI65+IVA!AJ65</f>
        <v>3336191.0181</v>
      </c>
      <c r="AU65" s="129" t="n">
        <f aca="false">IVA!AQ65+IVA!AR65+IVA!AS65+IVA!AT65</f>
        <v>10215450.58724</v>
      </c>
      <c r="AV65" s="130" t="n">
        <f aca="false">IVA!AQ65/IVA!CJ10</f>
        <v>0.00818591426501247</v>
      </c>
      <c r="AW65" s="130" t="n">
        <f aca="false">IVA!AR65/IVA!CK10</f>
        <v>0.00682920050051235</v>
      </c>
      <c r="AX65" s="130" t="n">
        <f aca="false">IVA!AS65/IVA!CL10</f>
        <v>0.0101584365664603</v>
      </c>
      <c r="AY65" s="130" t="n">
        <f aca="false">IVA!AT65/IVA!CM10</f>
        <v>0.013235547283952</v>
      </c>
      <c r="AZ65" s="271" t="n">
        <f aca="false">IVA!AU65/IVA!CN10</f>
        <v>0.03801851772416</v>
      </c>
      <c r="BA65" s="266" t="n">
        <v>2001</v>
      </c>
      <c r="BB65" s="331" t="s">
        <v>477</v>
      </c>
      <c r="BC65" s="332"/>
      <c r="BD65" s="332"/>
      <c r="BE65" s="332"/>
      <c r="BF65" s="333" t="n">
        <v>12989</v>
      </c>
      <c r="BG65" s="333" t="n">
        <v>11912</v>
      </c>
      <c r="BH65" s="333" t="n">
        <v>10778</v>
      </c>
      <c r="BI65" s="333" t="n">
        <v>13256</v>
      </c>
      <c r="BJ65" s="333" t="n">
        <v>11847</v>
      </c>
      <c r="BK65" s="333" t="n">
        <v>13096</v>
      </c>
      <c r="BL65" s="333" t="n">
        <v>10611</v>
      </c>
      <c r="BM65" s="333" t="n">
        <v>6997</v>
      </c>
      <c r="BN65" s="333" t="n">
        <v>6934</v>
      </c>
      <c r="BO65" s="333" t="n">
        <v>6154</v>
      </c>
      <c r="BP65" s="333" t="n">
        <v>5577</v>
      </c>
      <c r="BQ65" s="334" t="n">
        <v>5612</v>
      </c>
      <c r="BR65" s="175" t="n">
        <f aca="false">IVA!BF65+IVA!BG65+IVA!BH65</f>
        <v>35679</v>
      </c>
      <c r="BS65" s="175" t="n">
        <f aca="false">IVA!BI65+IVA!BJ65+IVA!BK65</f>
        <v>38199</v>
      </c>
      <c r="BT65" s="175" t="n">
        <f aca="false">IVA!BL65+IVA!BM65+IVA!BN65</f>
        <v>24542</v>
      </c>
      <c r="BU65" s="176" t="n">
        <f aca="false">IVA!BO65+IVA!BP65+IVA!BQ65</f>
        <v>17343</v>
      </c>
      <c r="BV65" s="137" t="n">
        <f aca="false">IVA!BR65+IVA!BS65+IVA!BT65+IVA!BU65</f>
        <v>115763</v>
      </c>
      <c r="BW65" s="138"/>
      <c r="BX65" s="139"/>
      <c r="BY65" s="138"/>
      <c r="BZ65" s="138"/>
      <c r="CA65" s="273"/>
      <c r="CH65" s="13"/>
      <c r="CI65" s="53" t="n">
        <v>2007</v>
      </c>
      <c r="CJ65" s="286" t="n">
        <f aca="false">IVA!BR191/IVA!CJ16</f>
        <v>0.00430625316788273</v>
      </c>
      <c r="CK65" s="286" t="n">
        <f aca="false">IVA!BS191/IVA!CK16</f>
        <v>0.00425665092216716</v>
      </c>
      <c r="CL65" s="286" t="n">
        <f aca="false">IVA!BT191/IVA!CL16</f>
        <v>0.00443595135036191</v>
      </c>
      <c r="CM65" s="287" t="n">
        <f aca="false">IVA!BU191/IVA!CM16</f>
        <v>0.00431378932146571</v>
      </c>
      <c r="CN65" s="288" t="n">
        <f aca="false">IVA!BV191/IVA!CN16</f>
        <v>0.0173145245733334</v>
      </c>
      <c r="CO65" s="63"/>
      <c r="CP65" s="63"/>
      <c r="CQ65" s="13"/>
      <c r="CV65" s="335" t="n">
        <v>7918742.05608</v>
      </c>
      <c r="DY65" s="215" t="s">
        <v>502</v>
      </c>
      <c r="EA65" s="195"/>
      <c r="EB65" s="230" t="n">
        <v>13243000</v>
      </c>
      <c r="EC65" s="230" t="n">
        <v>0</v>
      </c>
      <c r="ED65" s="230" t="n">
        <v>13243000</v>
      </c>
      <c r="EE65" s="230" t="n">
        <v>11209237.72</v>
      </c>
      <c r="EF65" s="230" t="n">
        <v>11185261.53</v>
      </c>
      <c r="EG65" s="231" t="n">
        <v>9710324.78</v>
      </c>
      <c r="EH65" s="232" t="n">
        <f aca="false">IVA!EF65-IVA!EG65</f>
        <v>1474936.75</v>
      </c>
      <c r="EJ65" s="31" t="n">
        <v>2013</v>
      </c>
      <c r="EK65" s="32" t="n">
        <v>6576.574</v>
      </c>
      <c r="EL65" s="33" t="n">
        <v>5641.783</v>
      </c>
      <c r="EN65" s="99" t="s">
        <v>255</v>
      </c>
      <c r="EO65" s="1" t="s">
        <v>503</v>
      </c>
      <c r="EP65" s="1" t="s">
        <v>504</v>
      </c>
      <c r="EQ65" s="1" t="s">
        <v>505</v>
      </c>
      <c r="ER65" s="1" t="s">
        <v>506</v>
      </c>
      <c r="ES65" s="1" t="n">
        <v>343.402</v>
      </c>
      <c r="ET65" s="1" t="n">
        <v>229.3</v>
      </c>
      <c r="EU65" s="1" t="n">
        <v>33.656</v>
      </c>
      <c r="EV65" s="1" t="n">
        <v>80.446</v>
      </c>
      <c r="EZ65" s="54" t="n">
        <f aca="false">IVA!EO65*12*IVA!EY23/1000</f>
        <v>45144507.15648</v>
      </c>
    </row>
    <row r="66" customFormat="false" ht="12.75" hidden="false" customHeight="true" outlineLevel="0" collapsed="false">
      <c r="AA66" s="304" t="n">
        <v>2002</v>
      </c>
      <c r="AB66" s="304" t="s">
        <v>476</v>
      </c>
      <c r="AC66" s="313"/>
      <c r="AD66" s="314"/>
      <c r="AE66" s="315" t="n">
        <f aca="false">IVA!AE49-580000/12</f>
        <v>574335.404146667</v>
      </c>
      <c r="AF66" s="315" t="n">
        <f aca="false">IVA!AF49-580000/12</f>
        <v>420395.837066667</v>
      </c>
      <c r="AG66" s="315" t="n">
        <f aca="false">IVA!AG49-580000/12</f>
        <v>431986.966426667</v>
      </c>
      <c r="AH66" s="315" t="n">
        <f aca="false">IVA!AH49-580000/12</f>
        <v>384686.375286667</v>
      </c>
      <c r="AI66" s="315" t="n">
        <f aca="false">IVA!AI49-580000/12</f>
        <v>844760.397406667</v>
      </c>
      <c r="AJ66" s="315" t="n">
        <f aca="false">IVA!AJ49-580000/12</f>
        <v>784443.988316667</v>
      </c>
      <c r="AK66" s="315" t="n">
        <f aca="false">IVA!AK49-580000/12</f>
        <v>715472.978126667</v>
      </c>
      <c r="AL66" s="315" t="n">
        <f aca="false">IVA!AL49-580000/12</f>
        <v>795807.680986667</v>
      </c>
      <c r="AM66" s="315" t="n">
        <f aca="false">IVA!AM49-580000/12</f>
        <v>634817.748646667</v>
      </c>
      <c r="AN66" s="315" t="n">
        <f aca="false">IVA!AN49-580000/12</f>
        <v>800484.262446667</v>
      </c>
      <c r="AO66" s="315" t="n">
        <f aca="false">IVA!AO49-580000/12</f>
        <v>1062249.06064667</v>
      </c>
      <c r="AP66" s="315" t="n">
        <f aca="false">IVA!AP49-580000/12</f>
        <v>889898.141636667</v>
      </c>
      <c r="AQ66" s="155" t="n">
        <f aca="false">IVA!AE66+IVA!AF66+IVA!AG66</f>
        <v>1426718.20764</v>
      </c>
      <c r="AR66" s="155" t="n">
        <f aca="false">IVA!AF66+IVA!AG66+IVA!AH66</f>
        <v>1237069.17878</v>
      </c>
      <c r="AS66" s="155" t="n">
        <f aca="false">IVA!AG66+IVA!AH66+IVA!AI66</f>
        <v>1661433.73912</v>
      </c>
      <c r="AT66" s="155" t="n">
        <f aca="false">IVA!AH66+IVA!AI66+IVA!AJ66</f>
        <v>2013890.76101</v>
      </c>
      <c r="AU66" s="129" t="n">
        <f aca="false">IVA!AQ66+IVA!AR66+IVA!AS66+IVA!AT66</f>
        <v>6339111.88655</v>
      </c>
      <c r="AV66" s="130" t="n">
        <f aca="false">IVA!AQ66/IVA!CJ11</f>
        <v>0.00601846057125502</v>
      </c>
      <c r="AW66" s="130" t="n">
        <f aca="false">IVA!AR66/IVA!CK11</f>
        <v>0.00364908333382833</v>
      </c>
      <c r="AX66" s="130" t="n">
        <f aca="false">IVA!AS66/IVA!CL11</f>
        <v>0.00497425971634364</v>
      </c>
      <c r="AY66" s="130" t="n">
        <f aca="false">IVA!AT66/IVA!CM11</f>
        <v>0.00591886605746883</v>
      </c>
      <c r="AZ66" s="271" t="n">
        <f aca="false">IVA!AU66/IVA!CN11</f>
        <v>0.0202799570320172</v>
      </c>
      <c r="BA66" s="266" t="n">
        <v>2002</v>
      </c>
      <c r="BB66" s="331" t="s">
        <v>477</v>
      </c>
      <c r="BC66" s="332"/>
      <c r="BD66" s="332"/>
      <c r="BE66" s="332"/>
      <c r="BF66" s="333" t="n">
        <v>4879</v>
      </c>
      <c r="BG66" s="333" t="n">
        <v>6633</v>
      </c>
      <c r="BH66" s="333" t="n">
        <v>5370</v>
      </c>
      <c r="BI66" s="333" t="n">
        <v>5158</v>
      </c>
      <c r="BJ66" s="333" t="n">
        <v>8341</v>
      </c>
      <c r="BK66" s="333" t="n">
        <v>7671</v>
      </c>
      <c r="BL66" s="333" t="n">
        <v>7787</v>
      </c>
      <c r="BM66" s="333" t="n">
        <v>1402</v>
      </c>
      <c r="BN66" s="333" t="n">
        <v>1106</v>
      </c>
      <c r="BO66" s="333" t="n">
        <v>878</v>
      </c>
      <c r="BP66" s="333" t="n">
        <v>751</v>
      </c>
      <c r="BQ66" s="334" t="n">
        <v>1140</v>
      </c>
      <c r="BR66" s="175" t="n">
        <f aca="false">IVA!BF66+IVA!BG66+IVA!BH66</f>
        <v>16882</v>
      </c>
      <c r="BS66" s="175" t="n">
        <f aca="false">IVA!BI66+IVA!BJ66+IVA!BK66</f>
        <v>21170</v>
      </c>
      <c r="BT66" s="175" t="n">
        <f aca="false">IVA!BL66+IVA!BM66+IVA!BN66</f>
        <v>10295</v>
      </c>
      <c r="BU66" s="176" t="n">
        <f aca="false">IVA!BO66+IVA!BP66+IVA!BQ66</f>
        <v>2769</v>
      </c>
      <c r="BV66" s="137" t="n">
        <f aca="false">IVA!BR66+IVA!BS66+IVA!BT66+IVA!BU66</f>
        <v>51116</v>
      </c>
      <c r="BW66" s="138"/>
      <c r="BX66" s="139"/>
      <c r="BY66" s="138"/>
      <c r="BZ66" s="138"/>
      <c r="CA66" s="273"/>
      <c r="CH66" s="13"/>
      <c r="CI66" s="53" t="n">
        <v>2008</v>
      </c>
      <c r="CJ66" s="286" t="n">
        <f aca="false">IVA!BR192/IVA!CJ17</f>
        <v>0.00443758352427909</v>
      </c>
      <c r="CK66" s="286" t="n">
        <f aca="false">IVA!BS192/IVA!CK17</f>
        <v>0.00412916810332513</v>
      </c>
      <c r="CL66" s="286" t="n">
        <f aca="false">IVA!BT192/IVA!CL17</f>
        <v>0.0044124319768751</v>
      </c>
      <c r="CM66" s="287" t="n">
        <f aca="false">IVA!BU192/IVA!CM17</f>
        <v>0.00423535871609624</v>
      </c>
      <c r="CN66" s="288" t="n">
        <f aca="false">IVA!BV192/IVA!CN17</f>
        <v>0.0171826516902239</v>
      </c>
      <c r="CO66" s="63"/>
      <c r="CP66" s="63"/>
      <c r="CQ66" s="13"/>
      <c r="DY66" s="222" t="s">
        <v>507</v>
      </c>
      <c r="DZ66" s="223"/>
      <c r="EA66" s="206"/>
      <c r="EB66" s="236" t="n">
        <v>25267808000</v>
      </c>
      <c r="EC66" s="236" t="n">
        <v>2135130690</v>
      </c>
      <c r="ED66" s="236" t="n">
        <v>27402938690</v>
      </c>
      <c r="EE66" s="236" t="n">
        <v>25561893932.99</v>
      </c>
      <c r="EF66" s="236" t="n">
        <v>25552310686.02</v>
      </c>
      <c r="EG66" s="237" t="n">
        <v>25254026232.19</v>
      </c>
      <c r="EH66" s="238" t="n">
        <f aca="false">IVA!EF66-IVA!EG66</f>
        <v>298284453.830002</v>
      </c>
      <c r="EJ66" s="31" t="n">
        <v>2014</v>
      </c>
      <c r="EK66" s="32" t="n">
        <v>6707.955</v>
      </c>
      <c r="EL66" s="33" t="n">
        <v>5753.821</v>
      </c>
      <c r="EN66" s="99" t="s">
        <v>508</v>
      </c>
      <c r="EO66" s="1" t="s">
        <v>509</v>
      </c>
      <c r="EP66" s="1" t="s">
        <v>510</v>
      </c>
      <c r="EQ66" s="1" t="s">
        <v>511</v>
      </c>
      <c r="ER66" s="1" t="s">
        <v>512</v>
      </c>
      <c r="ES66" s="1" t="n">
        <v>327.187</v>
      </c>
      <c r="ET66" s="1" t="n">
        <v>234.013</v>
      </c>
      <c r="EU66" s="1" t="n">
        <v>29.835</v>
      </c>
      <c r="EV66" s="1" t="n">
        <v>63.339</v>
      </c>
      <c r="EZ66" s="54" t="n">
        <f aca="false">IVA!EO66*12*IVA!EY24/1000</f>
        <v>54737000.95248</v>
      </c>
    </row>
    <row r="67" customFormat="false" ht="12.75" hidden="false" customHeight="true" outlineLevel="0" collapsed="false">
      <c r="AA67" s="304" t="n">
        <v>2003</v>
      </c>
      <c r="AB67" s="304" t="s">
        <v>476</v>
      </c>
      <c r="AC67" s="313"/>
      <c r="AD67" s="314"/>
      <c r="AE67" s="315" t="n">
        <f aca="false">IVA!AE50-580000/12</f>
        <v>1046828.40315667</v>
      </c>
      <c r="AF67" s="315" t="n">
        <f aca="false">IVA!AF50-580000/12</f>
        <v>755027.615096667</v>
      </c>
      <c r="AG67" s="315" t="n">
        <f aca="false">IVA!AG50-580000/12</f>
        <v>734948.290036667</v>
      </c>
      <c r="AH67" s="315" t="n">
        <f aca="false">IVA!AH50-580000/12</f>
        <v>913165.277096667</v>
      </c>
      <c r="AI67" s="315" t="n">
        <f aca="false">IVA!AI50-580000/12</f>
        <v>2115644.94885667</v>
      </c>
      <c r="AJ67" s="315" t="n">
        <f aca="false">IVA!AJ50-580000/12</f>
        <v>1599058.67573667</v>
      </c>
      <c r="AK67" s="315" t="n">
        <f aca="false">IVA!AK50-580000/12</f>
        <v>1135582.30823667</v>
      </c>
      <c r="AL67" s="315" t="n">
        <f aca="false">IVA!AL50-580000/12</f>
        <v>1261960.01456667</v>
      </c>
      <c r="AM67" s="315" t="n">
        <f aca="false">IVA!AM50-580000/12</f>
        <v>970314.171516667</v>
      </c>
      <c r="AN67" s="315" t="n">
        <f aca="false">IVA!AN50-580000/12</f>
        <v>1045861.55860667</v>
      </c>
      <c r="AO67" s="315" t="n">
        <f aca="false">IVA!AO50-580000/12</f>
        <v>1329245.05070667</v>
      </c>
      <c r="AP67" s="315" t="n">
        <f aca="false">IVA!AP50-580000/12</f>
        <v>1263100.30703667</v>
      </c>
      <c r="AQ67" s="155" t="n">
        <f aca="false">IVA!AE67+IVA!AF67+IVA!AG67</f>
        <v>2536804.30829</v>
      </c>
      <c r="AR67" s="155" t="n">
        <f aca="false">IVA!AF67+IVA!AG67+IVA!AH67</f>
        <v>2403141.18223</v>
      </c>
      <c r="AS67" s="155" t="n">
        <f aca="false">IVA!AG67+IVA!AH67+IVA!AI67</f>
        <v>3763758.51599</v>
      </c>
      <c r="AT67" s="155" t="n">
        <f aca="false">IVA!AH67+IVA!AI67+IVA!AJ67</f>
        <v>4627868.90169</v>
      </c>
      <c r="AU67" s="129" t="n">
        <f aca="false">IVA!AQ67+IVA!AR67+IVA!AS67+IVA!AT67</f>
        <v>13331572.9082</v>
      </c>
      <c r="AV67" s="130" t="n">
        <f aca="false">IVA!AQ67/IVA!CJ12</f>
        <v>0.0077492326790831</v>
      </c>
      <c r="AW67" s="130" t="n">
        <f aca="false">IVA!AR67/IVA!CK12</f>
        <v>0.00602111692400206</v>
      </c>
      <c r="AX67" s="130" t="n">
        <f aca="false">IVA!AS67/IVA!CL12</f>
        <v>0.00996000417433731</v>
      </c>
      <c r="AY67" s="130" t="n">
        <f aca="false">IVA!AT67/IVA!CM12</f>
        <v>0.0115908371513224</v>
      </c>
      <c r="AZ67" s="271" t="n">
        <f aca="false">IVA!AU67/IVA!CN12</f>
        <v>0.0354648600893259</v>
      </c>
      <c r="BA67" s="266" t="n">
        <v>2003</v>
      </c>
      <c r="BB67" s="331" t="s">
        <v>477</v>
      </c>
      <c r="BC67" s="332"/>
      <c r="BD67" s="332"/>
      <c r="BE67" s="332"/>
      <c r="BF67" s="333" t="n">
        <v>633</v>
      </c>
      <c r="BG67" s="333" t="n">
        <v>494</v>
      </c>
      <c r="BH67" s="333" t="n">
        <v>449</v>
      </c>
      <c r="BI67" s="333" t="n">
        <v>1624</v>
      </c>
      <c r="BJ67" s="333" t="n">
        <v>1057</v>
      </c>
      <c r="BK67" s="333" t="n">
        <v>694</v>
      </c>
      <c r="BL67" s="333" t="n">
        <v>737</v>
      </c>
      <c r="BM67" s="333" t="n">
        <v>798</v>
      </c>
      <c r="BN67" s="333" t="n">
        <v>704</v>
      </c>
      <c r="BO67" s="333" t="n">
        <v>698</v>
      </c>
      <c r="BP67" s="333" t="n">
        <v>622</v>
      </c>
      <c r="BQ67" s="334" t="n">
        <v>526</v>
      </c>
      <c r="BR67" s="175" t="n">
        <f aca="false">IVA!BF67+IVA!BG67+IVA!BH67</f>
        <v>1576</v>
      </c>
      <c r="BS67" s="175" t="n">
        <f aca="false">IVA!BI67+IVA!BJ67+IVA!BK67</f>
        <v>3375</v>
      </c>
      <c r="BT67" s="175" t="n">
        <f aca="false">IVA!BL67+IVA!BM67+IVA!BN67</f>
        <v>2239</v>
      </c>
      <c r="BU67" s="176" t="n">
        <f aca="false">IVA!BO67+IVA!BP67+IVA!BQ67</f>
        <v>1846</v>
      </c>
      <c r="BV67" s="137" t="n">
        <f aca="false">IVA!BR67+IVA!BS67+IVA!BT67+IVA!BU67</f>
        <v>9036</v>
      </c>
      <c r="BW67" s="138"/>
      <c r="BX67" s="139"/>
      <c r="BY67" s="138"/>
      <c r="BZ67" s="138"/>
      <c r="CA67" s="273"/>
      <c r="CH67" s="13"/>
      <c r="CI67" s="53" t="n">
        <v>2009</v>
      </c>
      <c r="CJ67" s="286" t="n">
        <f aca="false">IVA!BR193/IVA!CJ18</f>
        <v>0.00429336021038569</v>
      </c>
      <c r="CK67" s="286" t="n">
        <f aca="false">IVA!BS193/IVA!CK18</f>
        <v>0.0040435156535644</v>
      </c>
      <c r="CL67" s="286" t="n">
        <f aca="false">IVA!BT193/IVA!CL18</f>
        <v>0.00419637086082169</v>
      </c>
      <c r="CM67" s="287" t="n">
        <f aca="false">IVA!BU193/IVA!CM18</f>
        <v>0.00418320319218171</v>
      </c>
      <c r="CN67" s="288" t="n">
        <f aca="false">IVA!BV193/IVA!CN18</f>
        <v>0.0166959649540586</v>
      </c>
      <c r="CO67" s="63"/>
      <c r="CP67" s="63"/>
      <c r="CQ67" s="13"/>
      <c r="DY67" s="177" t="s">
        <v>513</v>
      </c>
      <c r="DZ67" s="45"/>
      <c r="EA67" s="210" t="n">
        <v>2006</v>
      </c>
      <c r="EB67" s="227" t="n">
        <v>35058485345</v>
      </c>
      <c r="EC67" s="227" t="n">
        <v>2193365734</v>
      </c>
      <c r="ED67" s="227" t="n">
        <v>37251851079</v>
      </c>
      <c r="EE67" s="227" t="n">
        <v>35792108827.9</v>
      </c>
      <c r="EF67" s="227" t="n">
        <v>35772672615.02</v>
      </c>
      <c r="EG67" s="228" t="n">
        <v>35168437216.37</v>
      </c>
      <c r="EH67" s="229" t="n">
        <f aca="false">IVA!EF67-IVA!EG67</f>
        <v>604235398.649994</v>
      </c>
      <c r="EJ67" s="31" t="n">
        <v>2015</v>
      </c>
      <c r="EK67" s="32" t="n">
        <v>6833.753</v>
      </c>
      <c r="EL67" s="33" t="n">
        <v>5862.223</v>
      </c>
      <c r="EN67" s="99" t="s">
        <v>287</v>
      </c>
      <c r="EO67" s="1" t="s">
        <v>514</v>
      </c>
      <c r="EP67" s="1" t="s">
        <v>515</v>
      </c>
      <c r="EQ67" s="1" t="s">
        <v>516</v>
      </c>
      <c r="ER67" s="1" t="s">
        <v>517</v>
      </c>
      <c r="ES67" s="1" t="n">
        <v>356.191</v>
      </c>
      <c r="ET67" s="1" t="n">
        <v>245.694</v>
      </c>
      <c r="EU67" s="1" t="n">
        <v>30.332</v>
      </c>
      <c r="EV67" s="1" t="n">
        <v>80.165</v>
      </c>
      <c r="EZ67" s="54" t="n">
        <f aca="false">IVA!EO67*12*IVA!EY25/1000</f>
        <v>71370089.27352</v>
      </c>
    </row>
    <row r="68" customFormat="false" ht="12.75" hidden="false" customHeight="true" outlineLevel="0" collapsed="false">
      <c r="AA68" s="304" t="n">
        <v>2004</v>
      </c>
      <c r="AB68" s="304" t="s">
        <v>476</v>
      </c>
      <c r="AC68" s="313"/>
      <c r="AD68" s="314"/>
      <c r="AE68" s="315" t="n">
        <f aca="false">IVA!AE51-580000/12</f>
        <v>1232895.90964667</v>
      </c>
      <c r="AF68" s="315" t="n">
        <f aca="false">IVA!AF51-580000/12</f>
        <v>1010419.21924667</v>
      </c>
      <c r="AG68" s="315" t="n">
        <f aca="false">IVA!AG51-580000/12</f>
        <v>990909.652056667</v>
      </c>
      <c r="AH68" s="315" t="n">
        <f aca="false">IVA!AH51-580000/12</f>
        <v>1127231.84812667</v>
      </c>
      <c r="AI68" s="315" t="n">
        <f aca="false">IVA!AI51-580000/12</f>
        <v>5384144.40142667</v>
      </c>
      <c r="AJ68" s="315" t="n">
        <f aca="false">IVA!AJ51-580000/12</f>
        <v>2864597.16241667</v>
      </c>
      <c r="AK68" s="315" t="n">
        <f aca="false">IVA!AK51-580000/12</f>
        <v>1590427.81757667</v>
      </c>
      <c r="AL68" s="315" t="n">
        <f aca="false">IVA!AL51-580000/12</f>
        <v>1689453.39165667</v>
      </c>
      <c r="AM68" s="315" t="n">
        <f aca="false">IVA!AM51-580000/12</f>
        <v>1451379.26257667</v>
      </c>
      <c r="AN68" s="315" t="n">
        <f aca="false">IVA!AN51-580000/12</f>
        <v>1644037.88957667</v>
      </c>
      <c r="AO68" s="315" t="n">
        <f aca="false">IVA!AO51-580000/12</f>
        <v>1687791.67416667</v>
      </c>
      <c r="AP68" s="315" t="n">
        <f aca="false">IVA!AP51-580000/12</f>
        <v>1035805.87302667</v>
      </c>
      <c r="AQ68" s="155" t="n">
        <f aca="false">IVA!AE68+IVA!AF68+IVA!AG68</f>
        <v>3234224.78095</v>
      </c>
      <c r="AR68" s="155" t="n">
        <f aca="false">IVA!AF68+IVA!AG68+IVA!AH68</f>
        <v>3128560.71943</v>
      </c>
      <c r="AS68" s="155" t="n">
        <f aca="false">IVA!AG68+IVA!AH68+IVA!AI68</f>
        <v>7502285.90161</v>
      </c>
      <c r="AT68" s="155" t="n">
        <f aca="false">IVA!AH68+IVA!AI68+IVA!AJ68</f>
        <v>9375973.41197</v>
      </c>
      <c r="AU68" s="129" t="n">
        <f aca="false">IVA!AQ68+IVA!AR68+IVA!AS68+IVA!AT68</f>
        <v>23241044.81396</v>
      </c>
      <c r="AV68" s="130" t="n">
        <f aca="false">IVA!AQ68/IVA!CJ13</f>
        <v>0.00823341347484961</v>
      </c>
      <c r="AW68" s="130" t="n">
        <f aca="false">IVA!AR68/IVA!CK13</f>
        <v>0.00659737331372899</v>
      </c>
      <c r="AX68" s="130" t="n">
        <f aca="false">IVA!AS68/IVA!CL13</f>
        <v>0.0165950528229271</v>
      </c>
      <c r="AY68" s="130" t="n">
        <f aca="false">IVA!AT68/IVA!CM13</f>
        <v>0.0198869537978693</v>
      </c>
      <c r="AZ68" s="271" t="n">
        <f aca="false">IVA!AU68/IVA!CN13</f>
        <v>0.0519186555250677</v>
      </c>
      <c r="BA68" s="336" t="n">
        <v>2004</v>
      </c>
      <c r="BB68" s="337" t="s">
        <v>477</v>
      </c>
      <c r="BC68" s="338"/>
      <c r="BD68" s="338"/>
      <c r="BE68" s="338"/>
      <c r="BF68" s="333" t="n">
        <v>647</v>
      </c>
      <c r="BG68" s="333" t="n">
        <v>617</v>
      </c>
      <c r="BH68" s="333" t="n">
        <v>604</v>
      </c>
      <c r="BI68" s="333" t="n">
        <v>560</v>
      </c>
      <c r="BJ68" s="333" t="n">
        <v>4027</v>
      </c>
      <c r="BK68" s="333" t="n">
        <v>547</v>
      </c>
      <c r="BL68" s="333" t="n">
        <v>1464</v>
      </c>
      <c r="BM68" s="333" t="n">
        <v>699</v>
      </c>
      <c r="BN68" s="333" t="n">
        <v>655</v>
      </c>
      <c r="BO68" s="333" t="n">
        <v>1276</v>
      </c>
      <c r="BP68" s="333" t="n">
        <v>538</v>
      </c>
      <c r="BQ68" s="334" t="n">
        <v>566</v>
      </c>
      <c r="BR68" s="259" t="n">
        <f aca="false">IVA!BF68+IVA!BG68+IVA!BH68</f>
        <v>1868</v>
      </c>
      <c r="BS68" s="259" t="n">
        <f aca="false">IVA!BI68+IVA!BJ68+IVA!BK68</f>
        <v>5134</v>
      </c>
      <c r="BT68" s="259" t="n">
        <f aca="false">IVA!BL68+IVA!BM68+IVA!BN68</f>
        <v>2818</v>
      </c>
      <c r="BU68" s="260" t="n">
        <f aca="false">IVA!BO68+IVA!BP68+IVA!BQ68</f>
        <v>2380</v>
      </c>
      <c r="BV68" s="261" t="n">
        <f aca="false">IVA!BR68+IVA!BS68+IVA!BT68+IVA!BU68</f>
        <v>12200</v>
      </c>
      <c r="BW68" s="339"/>
      <c r="BX68" s="340"/>
      <c r="BY68" s="339"/>
      <c r="BZ68" s="339"/>
      <c r="CA68" s="341"/>
      <c r="CH68" s="13"/>
      <c r="CI68" s="53" t="n">
        <v>2010</v>
      </c>
      <c r="CJ68" s="286" t="n">
        <f aca="false">IVA!BR194/IVA!CJ19</f>
        <v>0.0044065534286267</v>
      </c>
      <c r="CK68" s="286" t="n">
        <f aca="false">IVA!BS194/IVA!CK19</f>
        <v>0.00451076403383927</v>
      </c>
      <c r="CL68" s="286" t="n">
        <f aca="false">IVA!BT194/IVA!CL19</f>
        <v>0.00451779596023314</v>
      </c>
      <c r="CM68" s="287" t="n">
        <f aca="false">IVA!BU194/IVA!CM19</f>
        <v>0.00444349232830884</v>
      </c>
      <c r="CN68" s="288" t="n">
        <f aca="false">IVA!BV194/IVA!CN19</f>
        <v>0.0178886298391858</v>
      </c>
      <c r="CO68" s="63"/>
      <c r="CP68" s="63"/>
      <c r="CQ68" s="13"/>
      <c r="DY68" s="215" t="s">
        <v>518</v>
      </c>
      <c r="EA68" s="179"/>
      <c r="EB68" s="230" t="n">
        <v>3360223229</v>
      </c>
      <c r="EC68" s="230" t="n">
        <v>-156318433</v>
      </c>
      <c r="ED68" s="230" t="n">
        <v>3203904796</v>
      </c>
      <c r="EE68" s="230" t="n">
        <v>3132438897.24</v>
      </c>
      <c r="EF68" s="230" t="n">
        <v>3128549200.42</v>
      </c>
      <c r="EG68" s="231" t="n">
        <v>3097376752.97</v>
      </c>
      <c r="EH68" s="232" t="n">
        <f aca="false">IVA!EF68-IVA!EG68</f>
        <v>31172447.4500003</v>
      </c>
      <c r="EJ68" s="31" t="n">
        <v>2016</v>
      </c>
      <c r="EK68" s="32" t="n">
        <v>6985.894</v>
      </c>
      <c r="EL68" s="33" t="n">
        <v>6000.933</v>
      </c>
      <c r="EN68" s="99" t="s">
        <v>304</v>
      </c>
      <c r="EO68" s="1" t="s">
        <v>519</v>
      </c>
      <c r="EP68" s="1" t="s">
        <v>520</v>
      </c>
      <c r="EQ68" s="1" t="s">
        <v>521</v>
      </c>
      <c r="ER68" s="1" t="s">
        <v>522</v>
      </c>
      <c r="ES68" s="1" t="n">
        <v>345.839</v>
      </c>
      <c r="ET68" s="1" t="n">
        <v>238.295</v>
      </c>
      <c r="EU68" s="1" t="n">
        <v>28.025</v>
      </c>
      <c r="EV68" s="1" t="n">
        <v>79.519</v>
      </c>
      <c r="EZ68" s="54" t="n">
        <f aca="false">IVA!EO68*12*IVA!EY26/1000</f>
        <v>93500660.07216</v>
      </c>
    </row>
    <row r="69" customFormat="false" ht="12.75" hidden="false" customHeight="true" outlineLevel="0" collapsed="false">
      <c r="AA69" s="304" t="n">
        <v>2005</v>
      </c>
      <c r="AB69" s="304" t="s">
        <v>476</v>
      </c>
      <c r="AC69" s="313"/>
      <c r="AD69" s="314"/>
      <c r="AE69" s="315" t="n">
        <f aca="false">IVA!AE52-580000/12</f>
        <v>1680128.88600667</v>
      </c>
      <c r="AF69" s="315" t="n">
        <f aca="false">IVA!AF52-580000/12</f>
        <v>1807349.90715667</v>
      </c>
      <c r="AG69" s="315" t="n">
        <f aca="false">IVA!AG52-580000/12</f>
        <v>1684438.40839667</v>
      </c>
      <c r="AH69" s="315" t="n">
        <f aca="false">IVA!AH52-580000/12</f>
        <v>1907888.11450667</v>
      </c>
      <c r="AI69" s="315" t="n">
        <f aca="false">IVA!AI52-580000/12</f>
        <v>3660743.62965667</v>
      </c>
      <c r="AJ69" s="315" t="n">
        <f aca="false">IVA!AJ52-580000/12</f>
        <v>3556777.12080667</v>
      </c>
      <c r="AK69" s="315" t="n">
        <f aca="false">IVA!AK52-580000/12</f>
        <v>2032894.04690667</v>
      </c>
      <c r="AL69" s="315" t="n">
        <f aca="false">IVA!AL52-580000/12</f>
        <v>2145423.16273667</v>
      </c>
      <c r="AM69" s="315" t="n">
        <f aca="false">IVA!AM52-580000/12</f>
        <v>2026780.41746667</v>
      </c>
      <c r="AN69" s="315" t="n">
        <f aca="false">IVA!AN52-580000/12</f>
        <v>2181831.95348667</v>
      </c>
      <c r="AO69" s="315" t="n">
        <f aca="false">IVA!AO52-580000/12</f>
        <v>2211683.97501667</v>
      </c>
      <c r="AP69" s="315" t="n">
        <f aca="false">IVA!AP52-580000/12</f>
        <v>2569459.43039667</v>
      </c>
      <c r="AQ69" s="155" t="n">
        <f aca="false">IVA!AE69+IVA!AF69+IVA!AG69</f>
        <v>5171917.20156</v>
      </c>
      <c r="AR69" s="155" t="n">
        <f aca="false">IVA!AF69+IVA!AG69+IVA!AH69</f>
        <v>5399676.43006</v>
      </c>
      <c r="AS69" s="155" t="n">
        <f aca="false">IVA!AG69+IVA!AH69+IVA!AI69</f>
        <v>7253070.15256</v>
      </c>
      <c r="AT69" s="155" t="n">
        <f aca="false">IVA!AH69+IVA!AI69+IVA!AJ69</f>
        <v>9125408.86497</v>
      </c>
      <c r="AU69" s="129" t="n">
        <f aca="false">IVA!AQ69+IVA!AR69+IVA!AS69+IVA!AT69</f>
        <v>26950072.64915</v>
      </c>
      <c r="AV69" s="130" t="n">
        <f aca="false">IVA!AQ69/IVA!CJ14</f>
        <v>0.0113229527755252</v>
      </c>
      <c r="AW69" s="130" t="n">
        <f aca="false">IVA!AR69/IVA!CK14</f>
        <v>0.00977472990259303</v>
      </c>
      <c r="AX69" s="130" t="n">
        <f aca="false">IVA!AS69/IVA!CL14</f>
        <v>0.0133272597674111</v>
      </c>
      <c r="AY69" s="130" t="n">
        <f aca="false">IVA!AT69/IVA!CM14</f>
        <v>0.0158882049774445</v>
      </c>
      <c r="AZ69" s="271" t="n">
        <f aca="false">IVA!AU69/IVA!CN14</f>
        <v>0.0506638669446835</v>
      </c>
      <c r="BA69" s="266" t="n">
        <v>1996</v>
      </c>
      <c r="BB69" s="342" t="s">
        <v>523</v>
      </c>
      <c r="BC69" s="343"/>
      <c r="BD69" s="343"/>
      <c r="BE69" s="343"/>
      <c r="BF69" s="344" t="n">
        <v>0</v>
      </c>
      <c r="BG69" s="344" t="n">
        <v>0</v>
      </c>
      <c r="BH69" s="344" t="n">
        <v>0</v>
      </c>
      <c r="BI69" s="344" t="n">
        <v>0</v>
      </c>
      <c r="BJ69" s="344" t="n">
        <v>0</v>
      </c>
      <c r="BK69" s="344" t="n">
        <v>0</v>
      </c>
      <c r="BL69" s="344" t="n">
        <v>0</v>
      </c>
      <c r="BM69" s="344" t="n">
        <v>0</v>
      </c>
      <c r="BN69" s="344" t="n">
        <v>0</v>
      </c>
      <c r="BO69" s="344" t="n">
        <v>0</v>
      </c>
      <c r="BP69" s="344" t="n">
        <v>0</v>
      </c>
      <c r="BQ69" s="345" t="n">
        <v>0</v>
      </c>
      <c r="BR69" s="175" t="n">
        <f aca="false">IVA!BF69+IVA!BG69+IVA!BH69</f>
        <v>0</v>
      </c>
      <c r="BS69" s="175" t="n">
        <f aca="false">IVA!BI69+IVA!BJ69+IVA!BK69</f>
        <v>0</v>
      </c>
      <c r="BT69" s="175" t="n">
        <f aca="false">IVA!BL69+IVA!BM69+IVA!BN69</f>
        <v>0</v>
      </c>
      <c r="BU69" s="176" t="n">
        <f aca="false">IVA!BO69+IVA!BP69+IVA!BQ69</f>
        <v>0</v>
      </c>
      <c r="BV69" s="137" t="n">
        <f aca="false">IVA!BR69+IVA!BS69+IVA!BT69+IVA!BU69</f>
        <v>0</v>
      </c>
      <c r="BW69" s="138"/>
      <c r="BX69" s="139"/>
      <c r="BY69" s="138"/>
      <c r="BZ69" s="138"/>
      <c r="CA69" s="273"/>
      <c r="CH69" s="13"/>
      <c r="CI69" s="53" t="n">
        <v>2011</v>
      </c>
      <c r="CJ69" s="286" t="n">
        <f aca="false">IVA!BR195/IVA!CJ20</f>
        <v>0.004666737881089</v>
      </c>
      <c r="CK69" s="286" t="n">
        <f aca="false">IVA!BS195/IVA!CK20</f>
        <v>0.00457374165590412</v>
      </c>
      <c r="CL69" s="286" t="n">
        <f aca="false">IVA!BT195/IVA!CL20</f>
        <v>0.00478915894907775</v>
      </c>
      <c r="CM69" s="287" t="n">
        <f aca="false">IVA!BU195/IVA!CM20</f>
        <v>0.00473281595426796</v>
      </c>
      <c r="CN69" s="288" t="n">
        <f aca="false">IVA!BV195/IVA!CN20</f>
        <v>0.0187614239632184</v>
      </c>
      <c r="CO69" s="63"/>
      <c r="CP69" s="63"/>
      <c r="CQ69" s="13"/>
      <c r="DY69" s="215" t="s">
        <v>524</v>
      </c>
      <c r="EA69" s="195"/>
      <c r="EB69" s="230" t="n">
        <v>13881000</v>
      </c>
      <c r="EC69" s="230" t="n">
        <v>9204199</v>
      </c>
      <c r="ED69" s="230" t="n">
        <v>23085199</v>
      </c>
      <c r="EE69" s="230" t="n">
        <v>22122400.11</v>
      </c>
      <c r="EF69" s="230" t="n">
        <v>19669143.91</v>
      </c>
      <c r="EG69" s="231" t="n">
        <v>16221339.44</v>
      </c>
      <c r="EH69" s="232" t="n">
        <f aca="false">IVA!EF69-IVA!EG69</f>
        <v>3447804.47</v>
      </c>
      <c r="EJ69" s="31" t="n">
        <v>2017</v>
      </c>
      <c r="EK69" s="32" t="n">
        <v>7133.638</v>
      </c>
      <c r="EL69" s="33" t="n">
        <v>6136.919</v>
      </c>
      <c r="EN69" s="99" t="s">
        <v>321</v>
      </c>
      <c r="EO69" s="1" t="s">
        <v>525</v>
      </c>
      <c r="EP69" s="1" t="s">
        <v>526</v>
      </c>
      <c r="EQ69" s="1" t="s">
        <v>527</v>
      </c>
      <c r="ER69" s="1" t="s">
        <v>528</v>
      </c>
      <c r="ES69" s="1" t="n">
        <v>338.535</v>
      </c>
      <c r="ET69" s="1" t="n">
        <v>230.442</v>
      </c>
      <c r="EU69" s="1" t="n">
        <v>26.7</v>
      </c>
      <c r="EV69" s="1" t="n">
        <v>81.393</v>
      </c>
      <c r="EZ69" s="54" t="n">
        <f aca="false">IVA!EO69*12*IVA!EY27/1000</f>
        <v>130429955.2896</v>
      </c>
    </row>
    <row r="70" customFormat="false" ht="12.75" hidden="false" customHeight="true" outlineLevel="0" collapsed="false">
      <c r="AA70" s="304" t="n">
        <v>2006</v>
      </c>
      <c r="AB70" s="304" t="s">
        <v>476</v>
      </c>
      <c r="AC70" s="313"/>
      <c r="AD70" s="314"/>
      <c r="AE70" s="315" t="n">
        <f aca="false">IVA!AE53-580000/12</f>
        <v>2358941.25537667</v>
      </c>
      <c r="AF70" s="315" t="n">
        <f aca="false">IVA!AF53-580000/12</f>
        <v>2252957.26875667</v>
      </c>
      <c r="AG70" s="315" t="n">
        <f aca="false">IVA!AG53-580000/12</f>
        <v>1939100.84013667</v>
      </c>
      <c r="AH70" s="315" t="n">
        <f aca="false">IVA!AH53-580000/12</f>
        <v>1336463.69467667</v>
      </c>
      <c r="AI70" s="315" t="n">
        <f aca="false">IVA!AI53-580000/12</f>
        <v>4173639.57938667</v>
      </c>
      <c r="AJ70" s="315" t="n">
        <f aca="false">IVA!AJ53-580000/12</f>
        <v>4424661.84762667</v>
      </c>
      <c r="AK70" s="315" t="n">
        <f aca="false">IVA!AK53-580000/12</f>
        <v>2576220.38863667</v>
      </c>
      <c r="AL70" s="315" t="n">
        <f aca="false">IVA!AL53-580000/12</f>
        <v>2814390.71091667</v>
      </c>
      <c r="AM70" s="315" t="n">
        <f aca="false">IVA!AM53-580000/12</f>
        <v>2512315.25225667</v>
      </c>
      <c r="AN70" s="315" t="n">
        <f aca="false">IVA!AN53-580000/12</f>
        <v>2712962.33601667</v>
      </c>
      <c r="AO70" s="315" t="n">
        <f aca="false">IVA!AO53-580000/12</f>
        <v>3115039.01868667</v>
      </c>
      <c r="AP70" s="315" t="n">
        <f aca="false">IVA!AP53-580000/12</f>
        <v>2818399.88411667</v>
      </c>
      <c r="AQ70" s="155" t="n">
        <f aca="false">IVA!AE70+IVA!AF70+IVA!AG70</f>
        <v>6550999.36427</v>
      </c>
      <c r="AR70" s="155" t="n">
        <f aca="false">IVA!AF70+IVA!AG70+IVA!AH70</f>
        <v>5528521.80357</v>
      </c>
      <c r="AS70" s="155" t="n">
        <f aca="false">IVA!AG70+IVA!AH70+IVA!AI70</f>
        <v>7449204.1142</v>
      </c>
      <c r="AT70" s="155" t="n">
        <f aca="false">IVA!AH70+IVA!AI70+IVA!AJ70</f>
        <v>9934765.12169</v>
      </c>
      <c r="AU70" s="129" t="n">
        <f aca="false">IVA!AQ70+IVA!AR70+IVA!AS70+IVA!AT70</f>
        <v>29463490.40373</v>
      </c>
      <c r="AV70" s="130" t="n">
        <f aca="false">IVA!AQ70/IVA!CJ15</f>
        <v>0.0115335714184833</v>
      </c>
      <c r="AW70" s="130" t="n">
        <f aca="false">IVA!AR70/IVA!CK15</f>
        <v>0.00815081416412451</v>
      </c>
      <c r="AX70" s="130" t="n">
        <f aca="false">IVA!AS70/IVA!CL15</f>
        <v>0.0111482116193647</v>
      </c>
      <c r="AY70" s="130" t="n">
        <f aca="false">IVA!AT70/IVA!CM15</f>
        <v>0.0141262107306872</v>
      </c>
      <c r="AZ70" s="271" t="n">
        <f aca="false">IVA!AU70/IVA!CN15</f>
        <v>0.0450209890728555</v>
      </c>
      <c r="BA70" s="266" t="n">
        <v>1997</v>
      </c>
      <c r="BB70" s="342" t="s">
        <v>523</v>
      </c>
      <c r="BC70" s="343"/>
      <c r="BD70" s="343"/>
      <c r="BE70" s="343"/>
      <c r="BF70" s="344" t="n">
        <v>0</v>
      </c>
      <c r="BG70" s="344" t="n">
        <v>367</v>
      </c>
      <c r="BH70" s="344" t="n">
        <v>0</v>
      </c>
      <c r="BI70" s="344" t="n">
        <v>890</v>
      </c>
      <c r="BJ70" s="344" t="n">
        <v>275</v>
      </c>
      <c r="BK70" s="344" t="n">
        <v>181</v>
      </c>
      <c r="BL70" s="344" t="n">
        <v>12</v>
      </c>
      <c r="BM70" s="344" t="n">
        <v>7341</v>
      </c>
      <c r="BN70" s="344" t="n">
        <v>10508</v>
      </c>
      <c r="BO70" s="344" t="n">
        <v>2666</v>
      </c>
      <c r="BP70" s="344" t="n">
        <v>27361</v>
      </c>
      <c r="BQ70" s="345" t="n">
        <v>55420</v>
      </c>
      <c r="BR70" s="175" t="n">
        <f aca="false">IVA!BF70+IVA!BG70+IVA!BH70</f>
        <v>367</v>
      </c>
      <c r="BS70" s="175" t="n">
        <f aca="false">IVA!BI70+IVA!BJ70+IVA!BK70</f>
        <v>1346</v>
      </c>
      <c r="BT70" s="175" t="n">
        <f aca="false">IVA!BL70+IVA!BM70+IVA!BN70</f>
        <v>17861</v>
      </c>
      <c r="BU70" s="176" t="n">
        <f aca="false">IVA!BO70+IVA!BP70+IVA!BQ70</f>
        <v>85447</v>
      </c>
      <c r="BV70" s="137" t="n">
        <f aca="false">IVA!BR70+IVA!BS70+IVA!BT70+IVA!BU70</f>
        <v>105021</v>
      </c>
      <c r="BW70" s="138"/>
      <c r="BX70" s="139"/>
      <c r="BY70" s="138"/>
      <c r="BZ70" s="138"/>
      <c r="CA70" s="273"/>
      <c r="CH70" s="13"/>
      <c r="CI70" s="233" t="n">
        <v>2012</v>
      </c>
      <c r="CJ70" s="316" t="n">
        <f aca="false">IVA!BR196/IVA!CJ21</f>
        <v>0.00489035269052342</v>
      </c>
      <c r="CK70" s="316" t="n">
        <f aca="false">IVA!BS196/IVA!CK21</f>
        <v>0.00470842275439614</v>
      </c>
      <c r="CL70" s="316" t="n">
        <f aca="false">IVA!BT196/IVA!CL21</f>
        <v>0.00500087433700571</v>
      </c>
      <c r="CM70" s="317" t="n">
        <f aca="false">IVA!BU196/IVA!CM21</f>
        <v>0.00522179405590748</v>
      </c>
      <c r="CN70" s="318" t="n">
        <f aca="false">IVA!BV196/IVA!CN21</f>
        <v>0.0198380094624861</v>
      </c>
      <c r="CO70" s="63"/>
      <c r="CP70" s="63"/>
      <c r="CQ70" s="13"/>
      <c r="DY70" s="222" t="s">
        <v>529</v>
      </c>
      <c r="DZ70" s="223"/>
      <c r="EA70" s="206"/>
      <c r="EB70" s="236" t="n">
        <v>31684381116</v>
      </c>
      <c r="EC70" s="236" t="n">
        <v>2340479968</v>
      </c>
      <c r="ED70" s="236" t="n">
        <v>34024861084</v>
      </c>
      <c r="EE70" s="236" t="n">
        <v>32637547530.55</v>
      </c>
      <c r="EF70" s="236" t="n">
        <v>32624454270.69</v>
      </c>
      <c r="EG70" s="237" t="n">
        <v>32054839123.96</v>
      </c>
      <c r="EH70" s="238" t="n">
        <f aca="false">IVA!EF70-IVA!EG70</f>
        <v>569615146.73</v>
      </c>
      <c r="EJ70" s="31" t="n">
        <v>2018</v>
      </c>
      <c r="EK70" s="32" t="n">
        <v>7276.925</v>
      </c>
      <c r="EL70" s="33" t="n">
        <v>6269.75</v>
      </c>
      <c r="EN70" s="116" t="s">
        <v>336</v>
      </c>
      <c r="EO70" s="1" t="s">
        <v>530</v>
      </c>
      <c r="EP70" s="1" t="s">
        <v>531</v>
      </c>
      <c r="EQ70" s="1" t="s">
        <v>532</v>
      </c>
      <c r="ER70" s="1" t="s">
        <v>533</v>
      </c>
      <c r="ES70" s="1" t="n">
        <v>336.216</v>
      </c>
      <c r="ET70" s="1" t="n">
        <v>227.32</v>
      </c>
      <c r="EU70" s="1" t="n">
        <v>26.127</v>
      </c>
      <c r="EV70" s="1" t="n">
        <v>82.769</v>
      </c>
      <c r="EZ70" s="54" t="n">
        <f aca="false">IVA!EO70*12*IVA!EY28/1000</f>
        <v>154802543.2668</v>
      </c>
    </row>
    <row r="71" customFormat="false" ht="12.75" hidden="false" customHeight="true" outlineLevel="0" collapsed="false">
      <c r="AA71" s="304" t="n">
        <v>2007</v>
      </c>
      <c r="AB71" s="304" t="s">
        <v>476</v>
      </c>
      <c r="AC71" s="313"/>
      <c r="AD71" s="314"/>
      <c r="AE71" s="315" t="n">
        <f aca="false">IVA!AE54-580000/12</f>
        <v>2952758.52715667</v>
      </c>
      <c r="AF71" s="315" t="n">
        <f aca="false">IVA!AF54-580000/12</f>
        <v>2636452.93755667</v>
      </c>
      <c r="AG71" s="315" t="n">
        <f aca="false">IVA!AG54-580000/12</f>
        <v>2492372.54323667</v>
      </c>
      <c r="AH71" s="315" t="n">
        <f aca="false">IVA!AH54-580000/12</f>
        <v>2083548.50233667</v>
      </c>
      <c r="AI71" s="315" t="n">
        <f aca="false">IVA!AI54-580000/12</f>
        <v>5273949.59544667</v>
      </c>
      <c r="AJ71" s="315" t="n">
        <f aca="false">IVA!AJ54-580000/12</f>
        <v>5404408.50272667</v>
      </c>
      <c r="AK71" s="315" t="n">
        <f aca="false">IVA!AK54-580000/12</f>
        <v>3346911.63180667</v>
      </c>
      <c r="AL71" s="315" t="n">
        <f aca="false">IVA!AL54-580000/12</f>
        <v>3770310.86020667</v>
      </c>
      <c r="AM71" s="315" t="n">
        <f aca="false">IVA!AM54-580000/12</f>
        <v>3498758.77503667</v>
      </c>
      <c r="AN71" s="315" t="n">
        <f aca="false">IVA!AN54-580000/12</f>
        <v>3289488.57907667</v>
      </c>
      <c r="AO71" s="315" t="n">
        <f aca="false">IVA!AO54-580000/12</f>
        <v>3659678.71025667</v>
      </c>
      <c r="AP71" s="315" t="n">
        <f aca="false">IVA!AP54-580000/12</f>
        <v>3866266.26199667</v>
      </c>
      <c r="AQ71" s="155" t="n">
        <f aca="false">IVA!AE71+IVA!AF71+IVA!AG71</f>
        <v>8081584.00795</v>
      </c>
      <c r="AR71" s="155" t="n">
        <f aca="false">IVA!AF71+IVA!AG71+IVA!AH71</f>
        <v>7212373.98313</v>
      </c>
      <c r="AS71" s="155" t="n">
        <f aca="false">IVA!AG71+IVA!AH71+IVA!AI71</f>
        <v>9849870.64102</v>
      </c>
      <c r="AT71" s="155" t="n">
        <f aca="false">IVA!AH71+IVA!AI71+IVA!AJ71</f>
        <v>12761906.60051</v>
      </c>
      <c r="AU71" s="129" t="n">
        <f aca="false">IVA!AQ71+IVA!AR71+IVA!AS71+IVA!AT71</f>
        <v>37905735.23261</v>
      </c>
      <c r="AV71" s="130" t="n">
        <f aca="false">IVA!AQ71/IVA!CJ16</f>
        <v>0.0118651397814629</v>
      </c>
      <c r="AW71" s="130" t="n">
        <f aca="false">IVA!AR71/IVA!CK16</f>
        <v>0.00863627798070652</v>
      </c>
      <c r="AX71" s="130" t="n">
        <f aca="false">IVA!AS71/IVA!CL16</f>
        <v>0.0119036991877824</v>
      </c>
      <c r="AY71" s="130" t="n">
        <f aca="false">IVA!AT71/IVA!CM16</f>
        <v>0.0140842030834753</v>
      </c>
      <c r="AZ71" s="271" t="n">
        <f aca="false">IVA!AU71/IVA!CN16</f>
        <v>0.0466557490436762</v>
      </c>
      <c r="BA71" s="266" t="n">
        <v>1998</v>
      </c>
      <c r="BB71" s="342" t="s">
        <v>523</v>
      </c>
      <c r="BC71" s="343"/>
      <c r="BD71" s="343"/>
      <c r="BE71" s="343"/>
      <c r="BF71" s="344" t="n">
        <v>34102</v>
      </c>
      <c r="BG71" s="344" t="n">
        <v>5532</v>
      </c>
      <c r="BH71" s="344" t="n">
        <v>10516</v>
      </c>
      <c r="BI71" s="344" t="n">
        <v>17736</v>
      </c>
      <c r="BJ71" s="344" t="n">
        <v>11122</v>
      </c>
      <c r="BK71" s="344" t="n">
        <v>21058</v>
      </c>
      <c r="BL71" s="344" t="n">
        <v>15107</v>
      </c>
      <c r="BM71" s="344" t="n">
        <v>26181</v>
      </c>
      <c r="BN71" s="344" t="n">
        <v>11836</v>
      </c>
      <c r="BO71" s="344" t="n">
        <v>13671</v>
      </c>
      <c r="BP71" s="344" t="n">
        <v>9453</v>
      </c>
      <c r="BQ71" s="345" t="n">
        <v>11008</v>
      </c>
      <c r="BR71" s="175" t="n">
        <f aca="false">IVA!BF71+IVA!BG71+IVA!BH71</f>
        <v>50150</v>
      </c>
      <c r="BS71" s="175" t="n">
        <f aca="false">IVA!BI71+IVA!BJ71+IVA!BK71</f>
        <v>49916</v>
      </c>
      <c r="BT71" s="175" t="n">
        <f aca="false">IVA!BL71+IVA!BM71+IVA!BN71</f>
        <v>53124</v>
      </c>
      <c r="BU71" s="176" t="n">
        <f aca="false">IVA!BO71+IVA!BP71+IVA!BQ71</f>
        <v>34132</v>
      </c>
      <c r="BV71" s="137" t="n">
        <f aca="false">IVA!BR71+IVA!BS71+IVA!BT71+IVA!BU71</f>
        <v>187322</v>
      </c>
      <c r="BW71" s="138"/>
      <c r="BX71" s="139"/>
      <c r="BY71" s="138"/>
      <c r="BZ71" s="138"/>
      <c r="CA71" s="273"/>
      <c r="CH71" s="13"/>
      <c r="CI71" s="239"/>
      <c r="CJ71" s="26"/>
      <c r="CK71" s="26"/>
      <c r="CL71" s="26"/>
      <c r="CM71" s="26"/>
      <c r="CN71" s="26"/>
      <c r="CO71" s="26"/>
      <c r="CP71" s="26"/>
      <c r="CQ71" s="27"/>
      <c r="DY71" s="177" t="s">
        <v>163</v>
      </c>
      <c r="DZ71" s="45"/>
      <c r="EA71" s="210" t="n">
        <v>2007</v>
      </c>
      <c r="EB71" s="227" t="n">
        <v>44912827678</v>
      </c>
      <c r="EC71" s="227" t="n">
        <v>11688744912</v>
      </c>
      <c r="ED71" s="227" t="n">
        <v>56601572590</v>
      </c>
      <c r="EE71" s="227" t="n">
        <v>54107285330</v>
      </c>
      <c r="EF71" s="227" t="n">
        <v>54087684233.59</v>
      </c>
      <c r="EG71" s="228" t="n">
        <v>53137548753.09</v>
      </c>
      <c r="EH71" s="229" t="n">
        <f aca="false">IVA!EF71-IVA!EG71</f>
        <v>950135480.5</v>
      </c>
      <c r="EJ71" s="31" t="n">
        <v>2019</v>
      </c>
      <c r="EK71" s="32" t="n">
        <v>7415.448</v>
      </c>
      <c r="EL71" s="33" t="n">
        <v>6398.376</v>
      </c>
    </row>
    <row r="72" customFormat="false" ht="12.75" hidden="false" customHeight="true" outlineLevel="0" collapsed="false">
      <c r="AA72" s="304" t="n">
        <v>2008</v>
      </c>
      <c r="AB72" s="304" t="s">
        <v>476</v>
      </c>
      <c r="AC72" s="313"/>
      <c r="AD72" s="314"/>
      <c r="AE72" s="315" t="n">
        <f aca="false">IVA!AE55-580000/12</f>
        <v>3892043.11170667</v>
      </c>
      <c r="AF72" s="315" t="n">
        <f aca="false">IVA!AF55-580000/12</f>
        <v>3755130.38485667</v>
      </c>
      <c r="AG72" s="315" t="n">
        <f aca="false">IVA!AG55-580000/12</f>
        <v>3000681.58629667</v>
      </c>
      <c r="AH72" s="315" t="n">
        <f aca="false">IVA!AH55-580000/12</f>
        <v>2975922.62023667</v>
      </c>
      <c r="AI72" s="315" t="n">
        <f aca="false">IVA!AI55-580000/12</f>
        <v>5227403.74357667</v>
      </c>
      <c r="AJ72" s="315" t="n">
        <f aca="false">IVA!AJ55-580000/12</f>
        <v>6623232.01353667</v>
      </c>
      <c r="AK72" s="315" t="n">
        <f aca="false">IVA!AK55-580000/12</f>
        <v>4780591.59205667</v>
      </c>
      <c r="AL72" s="315" t="n">
        <f aca="false">IVA!AL55-580000/12</f>
        <v>4923799.67282667</v>
      </c>
      <c r="AM72" s="315" t="n">
        <f aca="false">IVA!AM55-580000/12</f>
        <v>4349359.26721667</v>
      </c>
      <c r="AN72" s="315" t="n">
        <f aca="false">IVA!AN55-580000/12</f>
        <v>4634135.41831667</v>
      </c>
      <c r="AO72" s="315" t="n">
        <f aca="false">IVA!AO55-580000/12</f>
        <v>4129147.09471667</v>
      </c>
      <c r="AP72" s="315" t="n">
        <f aca="false">IVA!AP55-580000/12</f>
        <v>4774553.91586667</v>
      </c>
      <c r="AQ72" s="155" t="n">
        <f aca="false">IVA!AE72+IVA!AF72+IVA!AG72</f>
        <v>10647855.08286</v>
      </c>
      <c r="AR72" s="155" t="n">
        <f aca="false">IVA!AF72+IVA!AG72+IVA!AH72</f>
        <v>9731734.59139</v>
      </c>
      <c r="AS72" s="155" t="n">
        <f aca="false">IVA!AG72+IVA!AH72+IVA!AI72</f>
        <v>11204007.95011</v>
      </c>
      <c r="AT72" s="155" t="n">
        <f aca="false">IVA!AH72+IVA!AI72+IVA!AJ72</f>
        <v>14826558.37735</v>
      </c>
      <c r="AU72" s="129" t="n">
        <f aca="false">IVA!AQ72+IVA!AR72+IVA!AS72+IVA!AT72</f>
        <v>46410156.00171</v>
      </c>
      <c r="AV72" s="130" t="n">
        <f aca="false">IVA!AQ72/IVA!CJ17</f>
        <v>0.0119956503716697</v>
      </c>
      <c r="AW72" s="130" t="n">
        <f aca="false">IVA!AR72/IVA!CK17</f>
        <v>0.00878360709321241</v>
      </c>
      <c r="AX72" s="130" t="n">
        <f aca="false">IVA!AS72/IVA!CL17</f>
        <v>0.0105942977103611</v>
      </c>
      <c r="AY72" s="130" t="n">
        <f aca="false">IVA!AT72/IVA!CM17</f>
        <v>0.0137550867839744</v>
      </c>
      <c r="AZ72" s="271" t="n">
        <f aca="false">IVA!AU72/IVA!CN17</f>
        <v>0.0449380745554234</v>
      </c>
      <c r="BA72" s="266" t="n">
        <v>1999</v>
      </c>
      <c r="BB72" s="342" t="s">
        <v>523</v>
      </c>
      <c r="BC72" s="343"/>
      <c r="BD72" s="343"/>
      <c r="BE72" s="343"/>
      <c r="BF72" s="344" t="n">
        <v>12527</v>
      </c>
      <c r="BG72" s="344" t="n">
        <v>8457</v>
      </c>
      <c r="BH72" s="344" t="n">
        <v>8698</v>
      </c>
      <c r="BI72" s="344" t="n">
        <v>10980</v>
      </c>
      <c r="BJ72" s="344" t="n">
        <v>8360</v>
      </c>
      <c r="BK72" s="344" t="n">
        <v>6572</v>
      </c>
      <c r="BL72" s="344" t="n">
        <v>12412</v>
      </c>
      <c r="BM72" s="344" t="n">
        <v>13665</v>
      </c>
      <c r="BN72" s="344" t="n">
        <v>4782</v>
      </c>
      <c r="BO72" s="344" t="n">
        <v>5790</v>
      </c>
      <c r="BP72" s="344" t="n">
        <v>5922</v>
      </c>
      <c r="BQ72" s="345" t="n">
        <v>1588</v>
      </c>
      <c r="BR72" s="175" t="n">
        <f aca="false">IVA!BF72+IVA!BG72+IVA!BH72</f>
        <v>29682</v>
      </c>
      <c r="BS72" s="175" t="n">
        <f aca="false">IVA!BI72+IVA!BJ72+IVA!BK72</f>
        <v>25912</v>
      </c>
      <c r="BT72" s="175" t="n">
        <f aca="false">IVA!BL72+IVA!BM72+IVA!BN72</f>
        <v>30859</v>
      </c>
      <c r="BU72" s="176" t="n">
        <f aca="false">IVA!BO72+IVA!BP72+IVA!BQ72</f>
        <v>13300</v>
      </c>
      <c r="BV72" s="137" t="n">
        <f aca="false">IVA!BR72+IVA!BS72+IVA!BT72+IVA!BU72</f>
        <v>99753</v>
      </c>
      <c r="BW72" s="138"/>
      <c r="BX72" s="139"/>
      <c r="BY72" s="138"/>
      <c r="BZ72" s="138"/>
      <c r="CA72" s="273"/>
      <c r="CH72" s="13"/>
      <c r="CI72" s="239"/>
      <c r="CJ72" s="26"/>
      <c r="CK72" s="26"/>
      <c r="CL72" s="26"/>
      <c r="CM72" s="26"/>
      <c r="CN72" s="26"/>
      <c r="CO72" s="26"/>
      <c r="CP72" s="26"/>
      <c r="CQ72" s="27"/>
      <c r="DY72" s="215" t="s">
        <v>534</v>
      </c>
      <c r="EA72" s="179"/>
      <c r="EB72" s="230" t="n">
        <v>2976011822</v>
      </c>
      <c r="EC72" s="230" t="n">
        <v>-89784654</v>
      </c>
      <c r="ED72" s="230" t="n">
        <v>2886227168</v>
      </c>
      <c r="EE72" s="230" t="n">
        <v>2613499142.84</v>
      </c>
      <c r="EF72" s="230" t="n">
        <v>2612100664.46</v>
      </c>
      <c r="EG72" s="231" t="n">
        <v>2543093926.38</v>
      </c>
      <c r="EH72" s="232" t="n">
        <f aca="false">IVA!EF72-IVA!EG72</f>
        <v>69006738.0799999</v>
      </c>
      <c r="EJ72" s="31" t="n">
        <v>2020</v>
      </c>
      <c r="EK72" s="32" t="n">
        <v>7548.93</v>
      </c>
      <c r="EL72" s="33" t="n">
        <v>6522.08</v>
      </c>
    </row>
    <row r="73" customFormat="false" ht="12.75" hidden="false" customHeight="true" outlineLevel="0" collapsed="false">
      <c r="AA73" s="304" t="n">
        <v>2009</v>
      </c>
      <c r="AB73" s="304" t="s">
        <v>476</v>
      </c>
      <c r="AC73" s="313"/>
      <c r="AD73" s="314"/>
      <c r="AE73" s="315" t="n">
        <f aca="false">IVA!AE56-580000/12</f>
        <v>3901757.66666667</v>
      </c>
      <c r="AF73" s="315" t="n">
        <f aca="false">IVA!AF56-580000/12</f>
        <v>3706218.66666667</v>
      </c>
      <c r="AG73" s="315" t="n">
        <f aca="false">IVA!AG56-580000/12</f>
        <v>3326290.66666667</v>
      </c>
      <c r="AH73" s="315" t="n">
        <f aca="false">IVA!AH56-580000/12</f>
        <v>3064952.66666667</v>
      </c>
      <c r="AI73" s="315" t="n">
        <f aca="false">IVA!AI56-580000/12</f>
        <v>6469906.66666667</v>
      </c>
      <c r="AJ73" s="315" t="n">
        <f aca="false">IVA!AJ56-580000/12</f>
        <v>6226553.66666667</v>
      </c>
      <c r="AK73" s="315" t="n">
        <f aca="false">IVA!AK56-580000/12</f>
        <v>4376059.66666667</v>
      </c>
      <c r="AL73" s="315" t="n">
        <f aca="false">IVA!AL56-580000/12</f>
        <v>4617956.66666667</v>
      </c>
      <c r="AM73" s="315" t="n">
        <f aca="false">IVA!AM56-580000/12</f>
        <v>4216524.66666667</v>
      </c>
      <c r="AN73" s="315" t="n">
        <f aca="false">IVA!AN56-580000/12</f>
        <v>4853788.66666667</v>
      </c>
      <c r="AO73" s="315" t="n">
        <f aca="false">IVA!AO56-580000/12</f>
        <v>4933319.66666667</v>
      </c>
      <c r="AP73" s="315" t="n">
        <f aca="false">IVA!AP56-580000/12</f>
        <v>5278926.66666667</v>
      </c>
      <c r="AQ73" s="155" t="n">
        <f aca="false">IVA!AE73+IVA!AF73+IVA!AG73</f>
        <v>10934267</v>
      </c>
      <c r="AR73" s="155" t="n">
        <f aca="false">IVA!AF73+IVA!AG73+IVA!AH73</f>
        <v>10097462</v>
      </c>
      <c r="AS73" s="155" t="n">
        <f aca="false">IVA!AG73+IVA!AH73+IVA!AI73</f>
        <v>12861150</v>
      </c>
      <c r="AT73" s="155" t="n">
        <f aca="false">IVA!AH73+IVA!AI73+IVA!AJ73</f>
        <v>15761413</v>
      </c>
      <c r="AU73" s="129" t="n">
        <f aca="false">IVA!AQ73+IVA!AR73+IVA!AS73+IVA!AT73</f>
        <v>49654292</v>
      </c>
      <c r="AV73" s="130" t="n">
        <f aca="false">IVA!AQ73/IVA!CJ18</f>
        <v>0.0110117678219308</v>
      </c>
      <c r="AW73" s="130" t="n">
        <f aca="false">IVA!AR73/IVA!CK18</f>
        <v>0.00844712632826861</v>
      </c>
      <c r="AX73" s="130" t="n">
        <f aca="false">IVA!AS73/IVA!CL18</f>
        <v>0.0110037697100808</v>
      </c>
      <c r="AY73" s="130" t="n">
        <f aca="false">IVA!AT73/IVA!CM18</f>
        <v>0.0128695719208635</v>
      </c>
      <c r="AZ73" s="271" t="n">
        <f aca="false">IVA!AU73/IVA!CN18</f>
        <v>0.0433488416152374</v>
      </c>
      <c r="BA73" s="266" t="n">
        <v>2000</v>
      </c>
      <c r="BB73" s="342" t="s">
        <v>523</v>
      </c>
      <c r="BC73" s="343"/>
      <c r="BD73" s="343"/>
      <c r="BE73" s="343"/>
      <c r="BF73" s="344" t="n">
        <v>486</v>
      </c>
      <c r="BG73" s="344" t="n">
        <v>1521</v>
      </c>
      <c r="BH73" s="344" t="n">
        <v>1775</v>
      </c>
      <c r="BI73" s="344" t="n">
        <v>1437</v>
      </c>
      <c r="BJ73" s="344" t="n">
        <v>1587</v>
      </c>
      <c r="BK73" s="344" t="n">
        <v>1646</v>
      </c>
      <c r="BL73" s="344" t="n">
        <v>1767</v>
      </c>
      <c r="BM73" s="344" t="n">
        <v>1277</v>
      </c>
      <c r="BN73" s="344" t="n">
        <v>1050</v>
      </c>
      <c r="BO73" s="344" t="n">
        <v>1056</v>
      </c>
      <c r="BP73" s="344" t="n">
        <v>992</v>
      </c>
      <c r="BQ73" s="345" t="n">
        <v>1010</v>
      </c>
      <c r="BR73" s="175" t="n">
        <f aca="false">IVA!BF73+IVA!BG73+IVA!BH73</f>
        <v>3782</v>
      </c>
      <c r="BS73" s="175" t="n">
        <f aca="false">IVA!BI73+IVA!BJ73+IVA!BK73</f>
        <v>4670</v>
      </c>
      <c r="BT73" s="175" t="n">
        <f aca="false">IVA!BL73+IVA!BM73+IVA!BN73</f>
        <v>4094</v>
      </c>
      <c r="BU73" s="176" t="n">
        <f aca="false">IVA!BO73+IVA!BP73+IVA!BQ73</f>
        <v>3058</v>
      </c>
      <c r="BV73" s="137" t="n">
        <f aca="false">IVA!BR73+IVA!BS73+IVA!BT73+IVA!BU73</f>
        <v>15604</v>
      </c>
      <c r="BW73" s="138"/>
      <c r="BX73" s="139"/>
      <c r="BY73" s="138"/>
      <c r="BZ73" s="138"/>
      <c r="CA73" s="273"/>
      <c r="CH73" s="13"/>
      <c r="CI73" s="25" t="s">
        <v>535</v>
      </c>
      <c r="CJ73" s="26"/>
      <c r="CK73" s="26"/>
      <c r="CL73" s="26"/>
      <c r="CM73" s="26"/>
      <c r="CN73" s="26"/>
      <c r="CO73" s="26"/>
      <c r="CP73" s="26"/>
      <c r="CQ73" s="27"/>
      <c r="DY73" s="215" t="s">
        <v>536</v>
      </c>
      <c r="EA73" s="195"/>
      <c r="EB73" s="230" t="n">
        <v>28280156</v>
      </c>
      <c r="EC73" s="230" t="n">
        <v>86408</v>
      </c>
      <c r="ED73" s="230" t="n">
        <v>28366564</v>
      </c>
      <c r="EE73" s="230" t="n">
        <v>24769994.43</v>
      </c>
      <c r="EF73" s="230" t="n">
        <v>23886728.57</v>
      </c>
      <c r="EG73" s="231" t="n">
        <v>20901479.23</v>
      </c>
      <c r="EH73" s="232" t="n">
        <f aca="false">IVA!EF73-IVA!EG73</f>
        <v>2985249.34</v>
      </c>
      <c r="EJ73" s="31" t="n">
        <v>2021</v>
      </c>
      <c r="EK73" s="32" t="n">
        <v>7703.182</v>
      </c>
      <c r="EL73" s="33" t="n">
        <v>6668.872</v>
      </c>
      <c r="EN73" s="122" t="s">
        <v>103</v>
      </c>
      <c r="EO73" s="182" t="n">
        <f aca="false">IVA!DK42*1000/IVA!EY11/12</f>
        <v>4503342.55456366</v>
      </c>
    </row>
    <row r="74" customFormat="false" ht="12.75" hidden="false" customHeight="true" outlineLevel="0" collapsed="false">
      <c r="AA74" s="304" t="n">
        <v>2010</v>
      </c>
      <c r="AB74" s="304" t="s">
        <v>476</v>
      </c>
      <c r="AC74" s="313"/>
      <c r="AD74" s="314"/>
      <c r="AE74" s="315" t="n">
        <f aca="false">IVA!AE57-580000/12</f>
        <v>4919032.66666667</v>
      </c>
      <c r="AF74" s="315" t="n">
        <f aca="false">IVA!AF57-580000/12</f>
        <v>4640142.66666667</v>
      </c>
      <c r="AG74" s="315" t="n">
        <f aca="false">IVA!AG57-580000/12</f>
        <v>4260524.66666667</v>
      </c>
      <c r="AH74" s="315" t="n">
        <f aca="false">IVA!AH57-580000/12</f>
        <v>4191981.66666667</v>
      </c>
      <c r="AI74" s="315" t="n">
        <f aca="false">IVA!AI57-580000/12</f>
        <v>11426511.6666667</v>
      </c>
      <c r="AJ74" s="315" t="n">
        <f aca="false">IVA!AJ57-580000/12</f>
        <v>9121648.66666667</v>
      </c>
      <c r="AK74" s="315" t="n">
        <f aca="false">IVA!AK57-580000/12</f>
        <v>6203909.66666667</v>
      </c>
      <c r="AL74" s="315" t="n">
        <f aca="false">IVA!AL57-580000/12</f>
        <v>5977443.66666667</v>
      </c>
      <c r="AM74" s="315" t="n">
        <f aca="false">IVA!AM57-580000/12</f>
        <v>5695233.66666667</v>
      </c>
      <c r="AN74" s="315" t="n">
        <f aca="false">IVA!AN57-580000/12</f>
        <v>6116713.66666667</v>
      </c>
      <c r="AO74" s="315" t="n">
        <f aca="false">IVA!AO57-580000/12</f>
        <v>6344754.66666667</v>
      </c>
      <c r="AP74" s="315" t="n">
        <f aca="false">IVA!AP57-580000/12</f>
        <v>7173730.66666667</v>
      </c>
      <c r="AQ74" s="155" t="n">
        <f aca="false">IVA!AE74+IVA!AF74+IVA!AG74</f>
        <v>13819700</v>
      </c>
      <c r="AR74" s="155" t="n">
        <f aca="false">IVA!AF74+IVA!AG74+IVA!AH74</f>
        <v>13092649</v>
      </c>
      <c r="AS74" s="155" t="n">
        <f aca="false">IVA!AG74+IVA!AH74+IVA!AI74</f>
        <v>19879018</v>
      </c>
      <c r="AT74" s="155" t="n">
        <f aca="false">IVA!AH74+IVA!AI74+IVA!AJ74</f>
        <v>24740142</v>
      </c>
      <c r="AU74" s="129" t="n">
        <f aca="false">IVA!AQ74+IVA!AR74+IVA!AS74+IVA!AT74</f>
        <v>71531509</v>
      </c>
      <c r="AV74" s="130" t="n">
        <f aca="false">IVA!AQ74/IVA!CJ19</f>
        <v>0.0113519925150795</v>
      </c>
      <c r="AW74" s="130" t="n">
        <f aca="false">IVA!AR74/IVA!CK19</f>
        <v>0.0086804836137453</v>
      </c>
      <c r="AX74" s="130" t="n">
        <f aca="false">IVA!AS74/IVA!CL19</f>
        <v>0.0135613654570068</v>
      </c>
      <c r="AY74" s="130" t="n">
        <f aca="false">IVA!AT74/IVA!CM19</f>
        <v>0.0156672581122275</v>
      </c>
      <c r="AZ74" s="271" t="n">
        <f aca="false">IVA!AU74/IVA!CN19</f>
        <v>0.0495832269169906</v>
      </c>
      <c r="BA74" s="266" t="n">
        <v>2001</v>
      </c>
      <c r="BB74" s="342" t="s">
        <v>523</v>
      </c>
      <c r="BC74" s="343"/>
      <c r="BD74" s="343"/>
      <c r="BE74" s="343"/>
      <c r="BF74" s="344" t="n">
        <v>1731</v>
      </c>
      <c r="BG74" s="344" t="n">
        <v>485</v>
      </c>
      <c r="BH74" s="344" t="n">
        <v>1312</v>
      </c>
      <c r="BI74" s="344" t="n">
        <v>3561</v>
      </c>
      <c r="BJ74" s="344" t="n">
        <v>1767</v>
      </c>
      <c r="BK74" s="344" t="n">
        <v>754</v>
      </c>
      <c r="BL74" s="344" t="n">
        <v>70</v>
      </c>
      <c r="BM74" s="344" t="n">
        <v>0</v>
      </c>
      <c r="BN74" s="344" t="n">
        <v>0</v>
      </c>
      <c r="BO74" s="344" t="n">
        <v>0</v>
      </c>
      <c r="BP74" s="344" t="n">
        <v>0</v>
      </c>
      <c r="BQ74" s="345" t="n">
        <v>1</v>
      </c>
      <c r="BR74" s="175" t="n">
        <f aca="false">IVA!BF74+IVA!BG74+IVA!BH74</f>
        <v>3528</v>
      </c>
      <c r="BS74" s="175" t="n">
        <f aca="false">IVA!BI74+IVA!BJ74+IVA!BK74</f>
        <v>6082</v>
      </c>
      <c r="BT74" s="175" t="n">
        <f aca="false">IVA!BL74+IVA!BM74+IVA!BN74</f>
        <v>70</v>
      </c>
      <c r="BU74" s="176" t="n">
        <f aca="false">IVA!BO74+IVA!BP74+IVA!BQ74</f>
        <v>1</v>
      </c>
      <c r="BV74" s="137" t="n">
        <f aca="false">IVA!BR74+IVA!BS74+IVA!BT74+IVA!BU74</f>
        <v>9681</v>
      </c>
      <c r="BW74" s="138"/>
      <c r="BX74" s="139"/>
      <c r="BY74" s="138"/>
      <c r="BZ74" s="138"/>
      <c r="CA74" s="273"/>
      <c r="CH74" s="13"/>
      <c r="CI74" s="239"/>
      <c r="CJ74" s="26"/>
      <c r="CK74" s="26"/>
      <c r="CL74" s="26"/>
      <c r="CM74" s="26"/>
      <c r="CN74" s="26"/>
      <c r="CO74" s="26"/>
      <c r="CP74" s="26"/>
      <c r="CQ74" s="27"/>
      <c r="DY74" s="222" t="s">
        <v>537</v>
      </c>
      <c r="DZ74" s="223"/>
      <c r="EA74" s="206"/>
      <c r="EB74" s="236" t="n">
        <v>41908535700</v>
      </c>
      <c r="EC74" s="236" t="n">
        <v>11778443158</v>
      </c>
      <c r="ED74" s="236" t="n">
        <v>53686978858</v>
      </c>
      <c r="EE74" s="236" t="n">
        <v>51469016192.73</v>
      </c>
      <c r="EF74" s="236" t="n">
        <v>51451696840.56</v>
      </c>
      <c r="EG74" s="237" t="n">
        <v>50573553347.48</v>
      </c>
      <c r="EH74" s="238" t="n">
        <f aca="false">IVA!EF74-IVA!EG74</f>
        <v>878143493.079994</v>
      </c>
      <c r="EJ74" s="31" t="n">
        <v>2022</v>
      </c>
      <c r="EK74" s="32" t="n">
        <v>7853.62</v>
      </c>
      <c r="EL74" s="33" t="n">
        <v>6811.428</v>
      </c>
      <c r="EN74" s="122" t="s">
        <v>123</v>
      </c>
    </row>
    <row r="75" customFormat="false" ht="12.75" hidden="false" customHeight="true" outlineLevel="0" collapsed="false">
      <c r="AA75" s="304" t="n">
        <v>2011</v>
      </c>
      <c r="AB75" s="304" t="s">
        <v>476</v>
      </c>
      <c r="AC75" s="313"/>
      <c r="AD75" s="314"/>
      <c r="AE75" s="315" t="n">
        <f aca="false">IVA!AE58-580000/12</f>
        <v>7062466.66666667</v>
      </c>
      <c r="AF75" s="315" t="n">
        <f aca="false">IVA!AF58-580000/12</f>
        <v>6819374.66666667</v>
      </c>
      <c r="AG75" s="315" t="n">
        <f aca="false">IVA!AG58-580000/12</f>
        <v>5922457.66666667</v>
      </c>
      <c r="AH75" s="315" t="n">
        <f aca="false">IVA!AH58-580000/12</f>
        <v>6646880.66666667</v>
      </c>
      <c r="AI75" s="315" t="n">
        <f aca="false">IVA!AI58-580000/12</f>
        <v>13992014.6666667</v>
      </c>
      <c r="AJ75" s="315" t="n">
        <f aca="false">IVA!AJ58-580000/12</f>
        <v>13309975.6666667</v>
      </c>
      <c r="AK75" s="315" t="n">
        <f aca="false">IVA!AK58-580000/12</f>
        <v>8624397.66666667</v>
      </c>
      <c r="AL75" s="315" t="n">
        <f aca="false">IVA!AL58-580000/12</f>
        <v>9050214.66666667</v>
      </c>
      <c r="AM75" s="315" t="n">
        <f aca="false">IVA!AM58-580000/12</f>
        <v>8614132.66666667</v>
      </c>
      <c r="AN75" s="315" t="n">
        <f aca="false">IVA!AN58-580000/12</f>
        <v>8874397.66666667</v>
      </c>
      <c r="AO75" s="315" t="n">
        <f aca="false">IVA!AO58-580000/12</f>
        <v>9146575.66666667</v>
      </c>
      <c r="AP75" s="315" t="n">
        <f aca="false">IVA!AP58-580000/12</f>
        <v>9954990.66666667</v>
      </c>
      <c r="AQ75" s="155" t="n">
        <f aca="false">IVA!AE75+IVA!AF75+IVA!AG75</f>
        <v>19804299</v>
      </c>
      <c r="AR75" s="155" t="n">
        <f aca="false">IVA!AF75+IVA!AG75+IVA!AH75</f>
        <v>19388713</v>
      </c>
      <c r="AS75" s="155" t="n">
        <f aca="false">IVA!AG75+IVA!AH75+IVA!AI75</f>
        <v>26561353</v>
      </c>
      <c r="AT75" s="155" t="n">
        <f aca="false">IVA!AH75+IVA!AI75+IVA!AJ75</f>
        <v>33948871</v>
      </c>
      <c r="AU75" s="129" t="n">
        <f aca="false">IVA!AQ75+IVA!AR75+IVA!AS75+IVA!AT75</f>
        <v>99703236</v>
      </c>
      <c r="AV75" s="130" t="n">
        <f aca="false">IVA!AQ75/IVA!CJ20</f>
        <v>0.0126336767501499</v>
      </c>
      <c r="AW75" s="130" t="n">
        <f aca="false">IVA!AR75/IVA!CK20</f>
        <v>0.00981097298385279</v>
      </c>
      <c r="AX75" s="130" t="n">
        <f aca="false">IVA!AS75/IVA!CL20</f>
        <v>0.0142390278528702</v>
      </c>
      <c r="AY75" s="130" t="n">
        <f aca="false">IVA!AT75/IVA!CM20</f>
        <v>0.0173306662609212</v>
      </c>
      <c r="AZ75" s="271" t="n">
        <f aca="false">IVA!AU75/IVA!CN20</f>
        <v>0.0541270564125026</v>
      </c>
      <c r="BA75" s="266" t="n">
        <v>2002</v>
      </c>
      <c r="BB75" s="342" t="s">
        <v>523</v>
      </c>
      <c r="BC75" s="343"/>
      <c r="BD75" s="343"/>
      <c r="BE75" s="343"/>
      <c r="BF75" s="344" t="n">
        <v>0</v>
      </c>
      <c r="BG75" s="344" t="n">
        <v>0</v>
      </c>
      <c r="BH75" s="344" t="n">
        <v>0</v>
      </c>
      <c r="BI75" s="344" t="n">
        <v>0</v>
      </c>
      <c r="BJ75" s="344" t="n">
        <v>0</v>
      </c>
      <c r="BK75" s="344" t="n">
        <v>0</v>
      </c>
      <c r="BL75" s="344" t="n">
        <v>0</v>
      </c>
      <c r="BM75" s="344" t="n">
        <v>0</v>
      </c>
      <c r="BN75" s="344" t="n">
        <v>0</v>
      </c>
      <c r="BO75" s="344" t="n">
        <v>0</v>
      </c>
      <c r="BP75" s="344" t="n">
        <v>0</v>
      </c>
      <c r="BQ75" s="345" t="n">
        <v>0</v>
      </c>
      <c r="BR75" s="175" t="n">
        <f aca="false">IVA!BF75+IVA!BG75+IVA!BH75</f>
        <v>0</v>
      </c>
      <c r="BS75" s="175" t="n">
        <f aca="false">IVA!BI75+IVA!BJ75+IVA!BK75</f>
        <v>0</v>
      </c>
      <c r="BT75" s="175" t="n">
        <f aca="false">IVA!BL75+IVA!BM75+IVA!BN75</f>
        <v>0</v>
      </c>
      <c r="BU75" s="176" t="n">
        <f aca="false">IVA!BO75+IVA!BP75+IVA!BQ75</f>
        <v>0</v>
      </c>
      <c r="BV75" s="137" t="n">
        <f aca="false">IVA!BR75+IVA!BS75+IVA!BT75+IVA!BU75</f>
        <v>0</v>
      </c>
      <c r="BW75" s="138"/>
      <c r="BX75" s="139"/>
      <c r="BY75" s="138"/>
      <c r="BZ75" s="138"/>
      <c r="CA75" s="273"/>
      <c r="CH75" s="13"/>
      <c r="CI75" s="239"/>
      <c r="CJ75" s="26"/>
      <c r="CK75" s="26"/>
      <c r="CL75" s="26"/>
      <c r="CM75" s="26"/>
      <c r="CN75" s="26"/>
      <c r="CO75" s="26"/>
      <c r="CP75" s="26"/>
      <c r="CQ75" s="27"/>
      <c r="DY75" s="177" t="s">
        <v>163</v>
      </c>
      <c r="DZ75" s="45"/>
      <c r="EA75" s="210" t="n">
        <v>2008</v>
      </c>
      <c r="EB75" s="227" t="n">
        <v>63254660794</v>
      </c>
      <c r="EC75" s="227" t="n">
        <v>10752752776</v>
      </c>
      <c r="ED75" s="227" t="n">
        <v>74007413570</v>
      </c>
      <c r="EE75" s="227" t="n">
        <v>69784536330.27</v>
      </c>
      <c r="EF75" s="227" t="n">
        <v>69763581899.93</v>
      </c>
      <c r="EG75" s="228" t="n">
        <v>69460320629.45</v>
      </c>
      <c r="EH75" s="229" t="n">
        <f aca="false">IVA!EF75-IVA!EG75</f>
        <v>303261270.479996</v>
      </c>
      <c r="EJ75" s="31" t="n">
        <v>2023</v>
      </c>
      <c r="EK75" s="32" t="n">
        <v>8000.904</v>
      </c>
      <c r="EL75" s="33" t="n">
        <v>6950.553</v>
      </c>
      <c r="EN75" s="122" t="s">
        <v>138</v>
      </c>
    </row>
    <row r="76" customFormat="false" ht="12.75" hidden="false" customHeight="true" outlineLevel="0" collapsed="false">
      <c r="AA76" s="322" t="n">
        <v>2012</v>
      </c>
      <c r="AB76" s="322" t="s">
        <v>476</v>
      </c>
      <c r="AC76" s="323"/>
      <c r="AD76" s="324"/>
      <c r="AE76" s="325" t="n">
        <f aca="false">IVA!AE59-580000/12</f>
        <v>9453455.15014667</v>
      </c>
      <c r="AF76" s="325" t="n">
        <f aca="false">IVA!AF59-580000/12</f>
        <v>8799337.91921667</v>
      </c>
      <c r="AG76" s="325" t="n">
        <f aca="false">IVA!AG59-580000/12</f>
        <v>7723158.04223667</v>
      </c>
      <c r="AH76" s="325" t="n">
        <f aca="false">IVA!AH59-580000/12</f>
        <v>7419376.27565667</v>
      </c>
      <c r="AI76" s="325" t="n">
        <f aca="false">IVA!AI59-580000/12</f>
        <v>14835025.7983867</v>
      </c>
      <c r="AJ76" s="325" t="n">
        <f aca="false">IVA!AJ59-580000/12</f>
        <v>15986215.0447767</v>
      </c>
      <c r="AK76" s="325" t="n">
        <f aca="false">IVA!AK59-580000/12</f>
        <v>10937822.8381967</v>
      </c>
      <c r="AL76" s="325" t="n">
        <f aca="false">IVA!AL59-580000/12</f>
        <v>12195993.6133267</v>
      </c>
      <c r="AM76" s="325" t="n">
        <f aca="false">IVA!AM59-580000/12</f>
        <v>10783920.1777167</v>
      </c>
      <c r="AN76" s="325" t="n">
        <f aca="false">IVA!AN59-580000/12</f>
        <v>12441504.1358267</v>
      </c>
      <c r="AO76" s="325" t="n">
        <f aca="false">IVA!AO59-580000/12</f>
        <v>13729793.4819067</v>
      </c>
      <c r="AP76" s="325" t="n">
        <f aca="false">IVA!AP59-580000/12</f>
        <v>13553998.5660767</v>
      </c>
      <c r="AQ76" s="326" t="n">
        <f aca="false">IVA!AE76+IVA!AF76+IVA!AG76</f>
        <v>25975951.1116</v>
      </c>
      <c r="AR76" s="326" t="n">
        <f aca="false">IVA!AF76+IVA!AG76+IVA!AH76</f>
        <v>23941872.23711</v>
      </c>
      <c r="AS76" s="326" t="n">
        <f aca="false">IVA!AG76+IVA!AH76+IVA!AI76</f>
        <v>29977560.11628</v>
      </c>
      <c r="AT76" s="326" t="n">
        <f aca="false">IVA!AH76+IVA!AI76+IVA!AJ76</f>
        <v>38240617.11882</v>
      </c>
      <c r="AU76" s="250" t="n">
        <f aca="false">IVA!AQ76+IVA!AR76+IVA!AS76+IVA!AT76</f>
        <v>118136000.58381</v>
      </c>
      <c r="AV76" s="251" t="n">
        <f aca="false">IVA!AQ76/IVA!CJ21</f>
        <v>0.013854320875977</v>
      </c>
      <c r="AW76" s="252" t="n">
        <f aca="false">IVA!AR76/IVA!CK21</f>
        <v>0.010532410568144</v>
      </c>
      <c r="AX76" s="252" t="n">
        <f aca="false">IVA!AS76/IVA!CL21</f>
        <v>0.0137328467038858</v>
      </c>
      <c r="AY76" s="252" t="n">
        <f aca="false">IVA!AT76/IVA!CM21</f>
        <v>0.0164406658657225</v>
      </c>
      <c r="AZ76" s="296" t="n">
        <f aca="false">IVA!AU76/IVA!CN21</f>
        <v>0.0545852954595303</v>
      </c>
      <c r="BA76" s="266" t="n">
        <v>2003</v>
      </c>
      <c r="BB76" s="342" t="s">
        <v>523</v>
      </c>
      <c r="BC76" s="343"/>
      <c r="BD76" s="343"/>
      <c r="BE76" s="343"/>
      <c r="BF76" s="344" t="n">
        <v>0</v>
      </c>
      <c r="BG76" s="344" t="n">
        <v>8</v>
      </c>
      <c r="BH76" s="344" t="n">
        <v>0</v>
      </c>
      <c r="BI76" s="344" t="n">
        <v>2</v>
      </c>
      <c r="BJ76" s="344" t="n">
        <v>8</v>
      </c>
      <c r="BK76" s="344" t="n">
        <v>0</v>
      </c>
      <c r="BL76" s="344" t="n">
        <v>0</v>
      </c>
      <c r="BM76" s="344" t="n">
        <v>0</v>
      </c>
      <c r="BN76" s="344" t="n">
        <v>0</v>
      </c>
      <c r="BO76" s="344" t="n">
        <v>0</v>
      </c>
      <c r="BP76" s="344" t="n">
        <v>1</v>
      </c>
      <c r="BQ76" s="345" t="n">
        <v>0</v>
      </c>
      <c r="BR76" s="175" t="n">
        <f aca="false">IVA!BF76+IVA!BG76+IVA!BH76</f>
        <v>8</v>
      </c>
      <c r="BS76" s="175" t="n">
        <f aca="false">IVA!BI76+IVA!BJ76+IVA!BK76</f>
        <v>10</v>
      </c>
      <c r="BT76" s="175" t="n">
        <f aca="false">IVA!BL76+IVA!BM76+IVA!BN76</f>
        <v>0</v>
      </c>
      <c r="BU76" s="176" t="n">
        <f aca="false">IVA!BO76+IVA!BP76+IVA!BQ76</f>
        <v>1</v>
      </c>
      <c r="BV76" s="137" t="n">
        <f aca="false">IVA!BR76+IVA!BS76+IVA!BT76+IVA!BU76</f>
        <v>19</v>
      </c>
      <c r="BW76" s="138"/>
      <c r="BX76" s="139"/>
      <c r="BY76" s="138"/>
      <c r="BZ76" s="138"/>
      <c r="CA76" s="273"/>
      <c r="CH76" s="13"/>
      <c r="CI76" s="235"/>
      <c r="CJ76" s="77"/>
      <c r="CK76" s="78"/>
      <c r="CL76" s="78"/>
      <c r="CM76" s="78"/>
      <c r="CN76" s="78"/>
      <c r="CO76" s="63"/>
      <c r="CP76" s="63"/>
      <c r="CQ76" s="13"/>
      <c r="DY76" s="215" t="s">
        <v>538</v>
      </c>
      <c r="EA76" s="179"/>
      <c r="EB76" s="230" t="n">
        <v>2713353989</v>
      </c>
      <c r="EC76" s="230" t="n">
        <v>36858075</v>
      </c>
      <c r="ED76" s="230" t="n">
        <v>2750212064</v>
      </c>
      <c r="EE76" s="230" t="n">
        <v>2526963301.12</v>
      </c>
      <c r="EF76" s="230" t="n">
        <v>2523966751.22</v>
      </c>
      <c r="EG76" s="231" t="n">
        <v>2398135616.09</v>
      </c>
      <c r="EH76" s="232" t="n">
        <f aca="false">IVA!EF76-IVA!EG76</f>
        <v>125831135.13</v>
      </c>
      <c r="EJ76" s="31" t="n">
        <v>2024</v>
      </c>
      <c r="EK76" s="32" t="n">
        <v>8145.698</v>
      </c>
      <c r="EL76" s="33" t="n">
        <v>7087.219</v>
      </c>
      <c r="EN76" s="122" t="s">
        <v>146</v>
      </c>
    </row>
    <row r="77" customFormat="false" ht="12.75" hidden="false" customHeight="true" outlineLevel="0" collapsed="false">
      <c r="AA77" s="304" t="n">
        <v>1996</v>
      </c>
      <c r="AB77" s="304" t="s">
        <v>539</v>
      </c>
      <c r="AC77" s="313"/>
      <c r="AD77" s="314"/>
      <c r="AE77" s="307" t="n">
        <f aca="false">IVA!AE60*0.2+120000</f>
        <v>215782.733333333</v>
      </c>
      <c r="AF77" s="307" t="n">
        <f aca="false">IVA!AF60*0.2+120000</f>
        <v>225972.733333333</v>
      </c>
      <c r="AG77" s="307" t="n">
        <f aca="false">IVA!AG60*0.2+120000</f>
        <v>207484.933333333</v>
      </c>
      <c r="AH77" s="307" t="n">
        <f aca="false">IVA!AH60*0.2+120000</f>
        <v>205729.933333333</v>
      </c>
      <c r="AI77" s="307" t="n">
        <f aca="false">IVA!AI60*0.2+120000</f>
        <v>248282.733333333</v>
      </c>
      <c r="AJ77" s="307" t="n">
        <f aca="false">IVA!AJ60*0.2+120000</f>
        <v>257672.533333333</v>
      </c>
      <c r="AK77" s="307" t="n">
        <f aca="false">IVA!AK60*0.2+120000</f>
        <v>221904.733333333</v>
      </c>
      <c r="AL77" s="307" t="n">
        <f aca="false">IVA!AL60*0.2+120000</f>
        <v>213014.333333333</v>
      </c>
      <c r="AM77" s="307" t="n">
        <f aca="false">IVA!AM60*0.2+120000</f>
        <v>207179.133333333</v>
      </c>
      <c r="AN77" s="307" t="n">
        <f aca="false">IVA!AN60*0.2+120000</f>
        <v>214808.733333333</v>
      </c>
      <c r="AO77" s="307" t="n">
        <f aca="false">IVA!AO60*0.2+120000</f>
        <v>245179.133333333</v>
      </c>
      <c r="AP77" s="307" t="n">
        <f aca="false">IVA!AP60*0.2+120000</f>
        <v>221313.533333333</v>
      </c>
      <c r="AQ77" s="128" t="n">
        <f aca="false">IVA!AE77+IVA!AF77+IVA!AG77</f>
        <v>649240.4</v>
      </c>
      <c r="AR77" s="128" t="n">
        <f aca="false">IVA!AH77+IVA!AI77+IVA!AJ77</f>
        <v>711685.2</v>
      </c>
      <c r="AS77" s="128" t="n">
        <f aca="false">IVA!AK77+IVA!AL77+IVA!AM77</f>
        <v>642098.2</v>
      </c>
      <c r="AT77" s="128" t="n">
        <f aca="false">IVA!AN77+IVA!AO77+IVA!AP77</f>
        <v>681301.4</v>
      </c>
      <c r="AU77" s="129" t="n">
        <f aca="false">IVA!AQ77+IVA!AR77+IVA!AS77+IVA!AT77</f>
        <v>2684325.2</v>
      </c>
      <c r="AV77" s="251"/>
      <c r="AW77" s="252"/>
      <c r="AX77" s="252"/>
      <c r="AY77" s="252"/>
      <c r="AZ77" s="296"/>
      <c r="BA77" s="346" t="n">
        <v>2004</v>
      </c>
      <c r="BB77" s="347" t="s">
        <v>523</v>
      </c>
      <c r="BC77" s="348"/>
      <c r="BD77" s="348"/>
      <c r="BE77" s="348"/>
      <c r="BF77" s="344" t="n">
        <v>6</v>
      </c>
      <c r="BG77" s="344" t="n">
        <v>0</v>
      </c>
      <c r="BH77" s="344" t="n">
        <v>1</v>
      </c>
      <c r="BI77" s="344" t="n">
        <v>12</v>
      </c>
      <c r="BJ77" s="344" t="n">
        <v>0</v>
      </c>
      <c r="BK77" s="344" t="n">
        <v>0</v>
      </c>
      <c r="BL77" s="344" t="n">
        <v>0</v>
      </c>
      <c r="BM77" s="344" t="n">
        <v>16</v>
      </c>
      <c r="BN77" s="344" t="n">
        <v>0</v>
      </c>
      <c r="BO77" s="344" t="n">
        <v>0</v>
      </c>
      <c r="BP77" s="344" t="n">
        <v>0</v>
      </c>
      <c r="BQ77" s="345" t="n">
        <v>167</v>
      </c>
      <c r="BR77" s="259" t="n">
        <f aca="false">IVA!BF77+IVA!BG77+IVA!BH77</f>
        <v>7</v>
      </c>
      <c r="BS77" s="259" t="n">
        <f aca="false">IVA!BI77+IVA!BJ77+IVA!BK77</f>
        <v>12</v>
      </c>
      <c r="BT77" s="259" t="n">
        <f aca="false">IVA!BL77+IVA!BM77+IVA!BN77</f>
        <v>16</v>
      </c>
      <c r="BU77" s="260" t="n">
        <f aca="false">IVA!BO77+IVA!BP77+IVA!BQ77</f>
        <v>167</v>
      </c>
      <c r="BV77" s="261" t="n">
        <f aca="false">IVA!BR77+IVA!BS77+IVA!BT77+IVA!BU77</f>
        <v>202</v>
      </c>
      <c r="BW77" s="349"/>
      <c r="BX77" s="350"/>
      <c r="BY77" s="349"/>
      <c r="BZ77" s="349"/>
      <c r="CA77" s="351"/>
      <c r="CH77" s="13"/>
      <c r="CI77" s="235"/>
      <c r="CJ77" s="93" t="s">
        <v>58</v>
      </c>
      <c r="CK77" s="94" t="s">
        <v>59</v>
      </c>
      <c r="CL77" s="94" t="s">
        <v>60</v>
      </c>
      <c r="CM77" s="94" t="s">
        <v>61</v>
      </c>
      <c r="CN77" s="94" t="s">
        <v>62</v>
      </c>
      <c r="CO77" s="63"/>
      <c r="CP77" s="63"/>
      <c r="CQ77" s="13"/>
      <c r="DY77" s="215" t="s">
        <v>540</v>
      </c>
      <c r="EA77" s="195"/>
      <c r="EB77" s="230" t="n">
        <v>32315000</v>
      </c>
      <c r="EC77" s="230" t="n">
        <v>5570455</v>
      </c>
      <c r="ED77" s="230" t="n">
        <v>37885455</v>
      </c>
      <c r="EE77" s="230" t="n">
        <v>33833043.99</v>
      </c>
      <c r="EF77" s="230" t="n">
        <v>33833043.99</v>
      </c>
      <c r="EG77" s="231" t="n">
        <v>26469298.65</v>
      </c>
      <c r="EH77" s="232" t="n">
        <f aca="false">IVA!EF77-IVA!EG77</f>
        <v>7363745.34</v>
      </c>
      <c r="EJ77" s="31" t="n">
        <v>2025</v>
      </c>
      <c r="EK77" s="32" t="n">
        <v>8289.114</v>
      </c>
      <c r="EL77" s="33" t="n">
        <v>7222.574</v>
      </c>
      <c r="EN77" s="122" t="s">
        <v>155</v>
      </c>
    </row>
    <row r="78" customFormat="false" ht="12.75" hidden="false" customHeight="true" outlineLevel="0" collapsed="false">
      <c r="AA78" s="304" t="n">
        <v>1997</v>
      </c>
      <c r="AB78" s="304" t="s">
        <v>539</v>
      </c>
      <c r="AC78" s="313"/>
      <c r="AD78" s="314"/>
      <c r="AE78" s="307" t="n">
        <f aca="false">IVA!AE61*0.2+120000</f>
        <v>236681.933333333</v>
      </c>
      <c r="AF78" s="307" t="n">
        <f aca="false">IVA!AF61*0.2+120000</f>
        <v>216876.333333333</v>
      </c>
      <c r="AG78" s="307" t="n">
        <f aca="false">IVA!AG61*0.2+120000</f>
        <v>215896.533333333</v>
      </c>
      <c r="AH78" s="307" t="n">
        <f aca="false">IVA!AH61*0.2+120000</f>
        <v>259858.933333333</v>
      </c>
      <c r="AI78" s="307" t="n">
        <f aca="false">IVA!AI61*0.2+120000</f>
        <v>368091.533333333</v>
      </c>
      <c r="AJ78" s="307" t="n">
        <f aca="false">IVA!AJ61*0.2+120000</f>
        <v>242877.533333333</v>
      </c>
      <c r="AK78" s="307" t="n">
        <f aca="false">IVA!AK61*0.2+120000</f>
        <v>228928.133333333</v>
      </c>
      <c r="AL78" s="307" t="n">
        <f aca="false">IVA!AL61*0.2+120000</f>
        <v>244129.933333333</v>
      </c>
      <c r="AM78" s="307" t="n">
        <f aca="false">IVA!AM61*0.2+120000</f>
        <v>225313.533333333</v>
      </c>
      <c r="AN78" s="307" t="n">
        <f aca="false">IVA!AN61*0.2+120000</f>
        <v>249548.533333333</v>
      </c>
      <c r="AO78" s="307" t="n">
        <f aca="false">IVA!AO61*0.2+120000</f>
        <v>263618.333333333</v>
      </c>
      <c r="AP78" s="307" t="n">
        <f aca="false">IVA!AP61*0.2+120000</f>
        <v>238934.733333333</v>
      </c>
      <c r="AQ78" s="128" t="n">
        <f aca="false">IVA!AE78+IVA!AF78+IVA!AG78</f>
        <v>669454.8</v>
      </c>
      <c r="AR78" s="128" t="n">
        <f aca="false">IVA!AH78+IVA!AI78+IVA!AJ78</f>
        <v>870828</v>
      </c>
      <c r="AS78" s="128" t="n">
        <f aca="false">IVA!AK78+IVA!AL78+IVA!AM78</f>
        <v>698371.6</v>
      </c>
      <c r="AT78" s="128" t="n">
        <f aca="false">IVA!AN78+IVA!AO78+IVA!AP78</f>
        <v>752101.6</v>
      </c>
      <c r="AU78" s="129" t="n">
        <f aca="false">IVA!AQ78+IVA!AR78+IVA!AS78+IVA!AT78</f>
        <v>2990756</v>
      </c>
      <c r="AV78" s="130" t="n">
        <f aca="false">IVA!AQ78/IVA!CJ6</f>
        <v>0.00246794514487945</v>
      </c>
      <c r="AW78" s="130" t="n">
        <f aca="false">IVA!AR78/IVA!CK6</f>
        <v>0.00290399382206973</v>
      </c>
      <c r="AX78" s="130" t="n">
        <f aca="false">IVA!AS78/IVA!CL6</f>
        <v>0.0023414467667412</v>
      </c>
      <c r="AY78" s="130" t="n">
        <f aca="false">IVA!AT78/IVA!CM6</f>
        <v>0.00249009326127503</v>
      </c>
      <c r="AZ78" s="271" t="n">
        <f aca="false">IVA!AU78/IVA!CN6</f>
        <v>0.010212277077859</v>
      </c>
      <c r="BA78" s="266" t="n">
        <v>1996</v>
      </c>
      <c r="BB78" s="352" t="s">
        <v>541</v>
      </c>
      <c r="BC78" s="353"/>
      <c r="BD78" s="353"/>
      <c r="BE78" s="353"/>
      <c r="BF78" s="354" t="n">
        <v>58487</v>
      </c>
      <c r="BG78" s="354" t="n">
        <v>4856</v>
      </c>
      <c r="BH78" s="354" t="n">
        <v>52165</v>
      </c>
      <c r="BI78" s="354" t="n">
        <v>52786</v>
      </c>
      <c r="BJ78" s="354" t="n">
        <v>34051</v>
      </c>
      <c r="BK78" s="354" t="n">
        <v>23584</v>
      </c>
      <c r="BL78" s="354" t="n">
        <v>1299</v>
      </c>
      <c r="BM78" s="354" t="n">
        <v>1159</v>
      </c>
      <c r="BN78" s="354" t="n">
        <v>15876</v>
      </c>
      <c r="BO78" s="354" t="n">
        <v>12125</v>
      </c>
      <c r="BP78" s="354" t="n">
        <v>12383</v>
      </c>
      <c r="BQ78" s="355" t="n">
        <v>12727</v>
      </c>
      <c r="BR78" s="175" t="n">
        <f aca="false">IVA!BF78+IVA!BG78+IVA!BH78</f>
        <v>115508</v>
      </c>
      <c r="BS78" s="175" t="n">
        <f aca="false">IVA!BI78+IVA!BJ78+IVA!BK78</f>
        <v>110421</v>
      </c>
      <c r="BT78" s="175" t="n">
        <f aca="false">IVA!BL78+IVA!BM78+IVA!BN78</f>
        <v>18334</v>
      </c>
      <c r="BU78" s="176" t="n">
        <f aca="false">IVA!BO78+IVA!BP78+IVA!BQ78</f>
        <v>37235</v>
      </c>
      <c r="BV78" s="137" t="n">
        <f aca="false">IVA!BR78+IVA!BS78+IVA!BT78+IVA!BU78</f>
        <v>281498</v>
      </c>
      <c r="BW78" s="264"/>
      <c r="BX78" s="263"/>
      <c r="BY78" s="264"/>
      <c r="BZ78" s="264"/>
      <c r="CA78" s="303"/>
      <c r="CH78" s="13"/>
      <c r="CI78" s="235"/>
      <c r="CJ78" s="281"/>
      <c r="CK78" s="281"/>
      <c r="CL78" s="281"/>
      <c r="CM78" s="281"/>
      <c r="CN78" s="281"/>
      <c r="CO78" s="63"/>
      <c r="CP78" s="63"/>
      <c r="CQ78" s="13"/>
      <c r="DY78" s="222" t="s">
        <v>542</v>
      </c>
      <c r="DZ78" s="223"/>
      <c r="EA78" s="206"/>
      <c r="EB78" s="236" t="n">
        <v>60508991805</v>
      </c>
      <c r="EC78" s="236" t="n">
        <v>10710324246</v>
      </c>
      <c r="ED78" s="236" t="n">
        <v>71219316051</v>
      </c>
      <c r="EE78" s="236" t="n">
        <v>67223739985.16</v>
      </c>
      <c r="EF78" s="236" t="n">
        <v>67205782104.72</v>
      </c>
      <c r="EG78" s="237" t="n">
        <v>67035715714.71</v>
      </c>
      <c r="EH78" s="238" t="n">
        <f aca="false">IVA!EF78-IVA!EG78</f>
        <v>170066390.010002</v>
      </c>
      <c r="EJ78" s="31" t="n">
        <v>2026</v>
      </c>
      <c r="EK78" s="32" t="n">
        <v>8453.861</v>
      </c>
      <c r="EL78" s="33" t="n">
        <v>7381.116</v>
      </c>
      <c r="EN78" s="122" t="s">
        <v>164</v>
      </c>
    </row>
    <row r="79" customFormat="false" ht="12.75" hidden="false" customHeight="true" outlineLevel="0" collapsed="false">
      <c r="AA79" s="304" t="n">
        <v>1998</v>
      </c>
      <c r="AB79" s="304" t="s">
        <v>539</v>
      </c>
      <c r="AC79" s="313"/>
      <c r="AD79" s="314"/>
      <c r="AE79" s="307" t="n">
        <f aca="false">IVA!AE62*0.2+120000</f>
        <v>240849.933333333</v>
      </c>
      <c r="AF79" s="307" t="n">
        <f aca="false">IVA!AF62*0.2+120000</f>
        <v>248178.533333333</v>
      </c>
      <c r="AG79" s="307" t="n">
        <f aca="false">IVA!AG62*0.2+120000</f>
        <v>227168.933333333</v>
      </c>
      <c r="AH79" s="307" t="n">
        <f aca="false">IVA!AH62*0.2+120000</f>
        <v>261946.533333333</v>
      </c>
      <c r="AI79" s="307" t="n">
        <f aca="false">IVA!AI62*0.2+120000</f>
        <v>388016.333333333</v>
      </c>
      <c r="AJ79" s="307" t="n">
        <f aca="false">IVA!AJ62*0.2+120000</f>
        <v>312790.733333333</v>
      </c>
      <c r="AK79" s="307" t="n">
        <f aca="false">IVA!AK62*0.2+120000</f>
        <v>251431.333333333</v>
      </c>
      <c r="AL79" s="307" t="n">
        <f aca="false">IVA!AL62*0.2+120000</f>
        <v>267616.733333333</v>
      </c>
      <c r="AM79" s="307" t="n">
        <f aca="false">IVA!AM62*0.2+120000</f>
        <v>225821.933333333</v>
      </c>
      <c r="AN79" s="307" t="n">
        <f aca="false">IVA!AN62*0.2+120000</f>
        <v>245404.333333333</v>
      </c>
      <c r="AO79" s="307" t="n">
        <f aca="false">IVA!AO62*0.2+120000</f>
        <v>250329.533333333</v>
      </c>
      <c r="AP79" s="307" t="n">
        <f aca="false">IVA!AP62*0.2+120000</f>
        <v>300422.333333333</v>
      </c>
      <c r="AQ79" s="128" t="n">
        <f aca="false">IVA!AE79+IVA!AF79+IVA!AG79</f>
        <v>716197.4</v>
      </c>
      <c r="AR79" s="128" t="n">
        <f aca="false">IVA!AH79+IVA!AI79+IVA!AJ79</f>
        <v>962753.6</v>
      </c>
      <c r="AS79" s="128" t="n">
        <f aca="false">IVA!AK79+IVA!AL79+IVA!AM79</f>
        <v>744870</v>
      </c>
      <c r="AT79" s="128" t="n">
        <f aca="false">IVA!AN79+IVA!AO79+IVA!AP79</f>
        <v>796156.2</v>
      </c>
      <c r="AU79" s="129" t="n">
        <f aca="false">IVA!AQ79+IVA!AR79+IVA!AS79+IVA!AT79</f>
        <v>3219977.2</v>
      </c>
      <c r="AV79" s="130" t="n">
        <f aca="false">IVA!AQ79/IVA!CJ7</f>
        <v>0.00253284505806963</v>
      </c>
      <c r="AW79" s="130" t="n">
        <f aca="false">IVA!AR79/IVA!CK7</f>
        <v>0.00308447230959528</v>
      </c>
      <c r="AX79" s="130" t="n">
        <f aca="false">IVA!AS79/IVA!CL7</f>
        <v>0.00243840106371037</v>
      </c>
      <c r="AY79" s="130" t="n">
        <f aca="false">IVA!AT79/IVA!CM7</f>
        <v>0.00269494907571842</v>
      </c>
      <c r="AZ79" s="271" t="n">
        <f aca="false">IVA!AU79/IVA!CN7</f>
        <v>0.0107710148186551</v>
      </c>
      <c r="BA79" s="272" t="n">
        <v>1997</v>
      </c>
      <c r="BB79" s="352" t="s">
        <v>541</v>
      </c>
      <c r="BC79" s="353"/>
      <c r="BD79" s="353"/>
      <c r="BE79" s="353"/>
      <c r="BF79" s="354" t="n">
        <v>23780</v>
      </c>
      <c r="BG79" s="354" t="n">
        <v>19569</v>
      </c>
      <c r="BH79" s="354" t="n">
        <v>18950</v>
      </c>
      <c r="BI79" s="354" t="n">
        <v>22080</v>
      </c>
      <c r="BJ79" s="354" t="n">
        <v>21080</v>
      </c>
      <c r="BK79" s="354" t="n">
        <v>19921</v>
      </c>
      <c r="BL79" s="354" t="n">
        <v>20442</v>
      </c>
      <c r="BM79" s="354" t="n">
        <v>15175</v>
      </c>
      <c r="BN79" s="354" t="n">
        <v>19066</v>
      </c>
      <c r="BO79" s="354" t="n">
        <v>16436</v>
      </c>
      <c r="BP79" s="354" t="n">
        <v>16608</v>
      </c>
      <c r="BQ79" s="355" t="n">
        <v>15716</v>
      </c>
      <c r="BR79" s="175" t="n">
        <f aca="false">IVA!BF79+IVA!BG79+IVA!BH79</f>
        <v>62299</v>
      </c>
      <c r="BS79" s="175" t="n">
        <f aca="false">IVA!BI79+IVA!BJ79+IVA!BK79</f>
        <v>63081</v>
      </c>
      <c r="BT79" s="175" t="n">
        <f aca="false">IVA!BL79+IVA!BM79+IVA!BN79</f>
        <v>54683</v>
      </c>
      <c r="BU79" s="176" t="n">
        <f aca="false">IVA!BO79+IVA!BP79+IVA!BQ79</f>
        <v>48760</v>
      </c>
      <c r="BV79" s="137" t="n">
        <f aca="false">IVA!BR79+IVA!BS79+IVA!BT79+IVA!BU79</f>
        <v>228823</v>
      </c>
      <c r="BW79" s="138" t="n">
        <f aca="false">IVA!BR79/IVA!CJ6</f>
        <v>0.000229665265796653</v>
      </c>
      <c r="BX79" s="139" t="n">
        <f aca="false">IVA!BS79/IVA!CK6</f>
        <v>0.000210359375548306</v>
      </c>
      <c r="BY79" s="138" t="n">
        <f aca="false">IVA!BT79/IVA!CL6</f>
        <v>0.000183336970669639</v>
      </c>
      <c r="BZ79" s="138" t="n">
        <f aca="false">IVA!BU79/IVA!CM6</f>
        <v>0.000161436895520194</v>
      </c>
      <c r="CA79" s="273" t="n">
        <f aca="false">IVA!BV79/IVA!CN6</f>
        <v>0.000781342201699811</v>
      </c>
      <c r="CH79" s="13"/>
      <c r="CI79" s="53" t="n">
        <v>1997</v>
      </c>
      <c r="CJ79" s="282" t="n">
        <f aca="false">IVA!CJ55+IVA!CJ31</f>
        <v>0.0228425190890186</v>
      </c>
      <c r="CK79" s="282" t="n">
        <f aca="false">IVA!CK55+IVA!CK31</f>
        <v>0.0199780032839997</v>
      </c>
      <c r="CL79" s="282" t="n">
        <f aca="false">IVA!CL55+IVA!CL31</f>
        <v>0.0215864174653362</v>
      </c>
      <c r="CM79" s="283" t="n">
        <f aca="false">IVA!CM55+IVA!CM31</f>
        <v>0.0209010647959336</v>
      </c>
      <c r="CN79" s="284" t="n">
        <f aca="false">IVA!CN55+IVA!CN31</f>
        <v>0.0851553313842111</v>
      </c>
      <c r="CO79" s="63"/>
      <c r="CP79" s="63"/>
      <c r="CQ79" s="13"/>
      <c r="DY79" s="177" t="s">
        <v>163</v>
      </c>
      <c r="DZ79" s="45"/>
      <c r="EA79" s="210" t="n">
        <v>2009</v>
      </c>
      <c r="EB79" s="227" t="n">
        <v>89560647452</v>
      </c>
      <c r="EC79" s="227" t="n">
        <v>8215994381</v>
      </c>
      <c r="ED79" s="227" t="n">
        <v>97776641833</v>
      </c>
      <c r="EE79" s="227" t="n">
        <v>91778417770.28</v>
      </c>
      <c r="EF79" s="227" t="n">
        <v>91592373043.97</v>
      </c>
      <c r="EG79" s="228" t="n">
        <v>90656263398.28</v>
      </c>
      <c r="EH79" s="229" t="n">
        <f aca="false">IVA!EF79-IVA!EG79</f>
        <v>936109645.690003</v>
      </c>
      <c r="EJ79" s="31" t="n">
        <v>2027</v>
      </c>
      <c r="EK79" s="32" t="n">
        <v>8618.415</v>
      </c>
      <c r="EL79" s="33" t="n">
        <v>7538.831</v>
      </c>
      <c r="EN79" s="122" t="s">
        <v>173</v>
      </c>
    </row>
    <row r="80" customFormat="false" ht="12.75" hidden="false" customHeight="true" outlineLevel="0" collapsed="false">
      <c r="AA80" s="304" t="n">
        <v>1999</v>
      </c>
      <c r="AB80" s="304" t="s">
        <v>539</v>
      </c>
      <c r="AC80" s="313"/>
      <c r="AD80" s="314"/>
      <c r="AE80" s="307" t="n">
        <f aca="false">IVA!AE63*0.2+120000</f>
        <v>254552.733333333</v>
      </c>
      <c r="AF80" s="307" t="n">
        <f aca="false">IVA!AF63*0.2+120000</f>
        <v>240423.133333333</v>
      </c>
      <c r="AG80" s="307" t="n">
        <f aca="false">IVA!AG63*0.2+120000</f>
        <v>240483.133333333</v>
      </c>
      <c r="AH80" s="307" t="n">
        <f aca="false">IVA!AH63*0.2+120000</f>
        <v>246711.333333333</v>
      </c>
      <c r="AI80" s="307" t="n">
        <f aca="false">IVA!AI63*0.2+120000</f>
        <v>338023.533333333</v>
      </c>
      <c r="AJ80" s="307" t="n">
        <f aca="false">IVA!AJ63*0.2+120000</f>
        <v>270604.333333333</v>
      </c>
      <c r="AK80" s="307" t="n">
        <f aca="false">IVA!AK63*0.2+120000</f>
        <v>261104.533333333</v>
      </c>
      <c r="AL80" s="307" t="n">
        <f aca="false">IVA!AL63*0.2+120000</f>
        <v>269373.533333333</v>
      </c>
      <c r="AM80" s="307" t="n">
        <f aca="false">IVA!AM63*0.2+120000</f>
        <v>250556.933333333</v>
      </c>
      <c r="AN80" s="307" t="n">
        <f aca="false">IVA!AN63*0.2+120000</f>
        <v>263287.933333333</v>
      </c>
      <c r="AO80" s="307" t="n">
        <f aca="false">IVA!AO63*0.2+120000</f>
        <v>279520.533333333</v>
      </c>
      <c r="AP80" s="307" t="n">
        <f aca="false">IVA!AP63*0.2+120000</f>
        <v>257351.733333333</v>
      </c>
      <c r="AQ80" s="128" t="n">
        <f aca="false">IVA!AE80+IVA!AF80+IVA!AG80</f>
        <v>735459</v>
      </c>
      <c r="AR80" s="128" t="n">
        <f aca="false">IVA!AH80+IVA!AI80+IVA!AJ80</f>
        <v>855339.2</v>
      </c>
      <c r="AS80" s="128" t="n">
        <f aca="false">IVA!AK80+IVA!AL80+IVA!AM80</f>
        <v>781035</v>
      </c>
      <c r="AT80" s="128" t="n">
        <f aca="false">IVA!AN80+IVA!AO80+IVA!AP80</f>
        <v>800160.2</v>
      </c>
      <c r="AU80" s="129" t="n">
        <f aca="false">IVA!AQ80+IVA!AR80+IVA!AS80+IVA!AT80</f>
        <v>3171993.4</v>
      </c>
      <c r="AV80" s="130" t="n">
        <f aca="false">IVA!AQ80/IVA!CJ8</f>
        <v>0.00271641686303768</v>
      </c>
      <c r="AW80" s="130" t="n">
        <f aca="false">IVA!AR80/IVA!CK8</f>
        <v>0.00296139468417382</v>
      </c>
      <c r="AX80" s="130" t="n">
        <f aca="false">IVA!AS80/IVA!CL8</f>
        <v>0.00273963716829365</v>
      </c>
      <c r="AY80" s="130" t="n">
        <f aca="false">IVA!AT80/IVA!CM8</f>
        <v>0.00276461817168783</v>
      </c>
      <c r="AZ80" s="271" t="n">
        <f aca="false">IVA!AU80/IVA!CN8</f>
        <v>0.0111877806446372</v>
      </c>
      <c r="BA80" s="266" t="n">
        <v>1998</v>
      </c>
      <c r="BB80" s="352" t="s">
        <v>541</v>
      </c>
      <c r="BC80" s="353"/>
      <c r="BD80" s="353"/>
      <c r="BE80" s="353"/>
      <c r="BF80" s="354" t="n">
        <v>16425</v>
      </c>
      <c r="BG80" s="354" t="n">
        <v>10297</v>
      </c>
      <c r="BH80" s="354" t="n">
        <v>16841</v>
      </c>
      <c r="BI80" s="354" t="n">
        <v>14872</v>
      </c>
      <c r="BJ80" s="354" t="n">
        <v>14450</v>
      </c>
      <c r="BK80" s="354" t="n">
        <v>16321</v>
      </c>
      <c r="BL80" s="354" t="n">
        <v>15914</v>
      </c>
      <c r="BM80" s="354" t="n">
        <v>16013</v>
      </c>
      <c r="BN80" s="354" t="n">
        <v>14260</v>
      </c>
      <c r="BO80" s="354" t="n">
        <v>12559</v>
      </c>
      <c r="BP80" s="354" t="n">
        <v>12774</v>
      </c>
      <c r="BQ80" s="355" t="n">
        <v>13680</v>
      </c>
      <c r="BR80" s="175" t="n">
        <f aca="false">IVA!BF80+IVA!BG80+IVA!BH80</f>
        <v>43563</v>
      </c>
      <c r="BS80" s="175" t="n">
        <f aca="false">IVA!BI80+IVA!BJ80+IVA!BK80</f>
        <v>45643</v>
      </c>
      <c r="BT80" s="175" t="n">
        <f aca="false">IVA!BL80+IVA!BM80+IVA!BN80</f>
        <v>46187</v>
      </c>
      <c r="BU80" s="176" t="n">
        <f aca="false">IVA!BO80+IVA!BP80+IVA!BQ80</f>
        <v>39013</v>
      </c>
      <c r="BV80" s="137" t="n">
        <f aca="false">IVA!BR80+IVA!BS80+IVA!BT80+IVA!BU80</f>
        <v>174406</v>
      </c>
      <c r="BW80" s="138" t="n">
        <f aca="false">IVA!BR80/IVA!CJ7</f>
        <v>0.000154061337369679</v>
      </c>
      <c r="BX80" s="139" t="n">
        <f aca="false">IVA!BS80/IVA!CK7</f>
        <v>0.00014623115366887</v>
      </c>
      <c r="BY80" s="138" t="n">
        <f aca="false">IVA!BT80/IVA!CL7</f>
        <v>0.000151197430329575</v>
      </c>
      <c r="BZ80" s="138" t="n">
        <f aca="false">IVA!BU80/IVA!CM7</f>
        <v>0.00013205706153014</v>
      </c>
      <c r="CA80" s="273" t="n">
        <f aca="false">IVA!BV80/IVA!CN7</f>
        <v>0.000583398419859111</v>
      </c>
      <c r="CH80" s="13"/>
      <c r="CI80" s="53" t="n">
        <v>1998</v>
      </c>
      <c r="CJ80" s="286" t="n">
        <f aca="false">IVA!CJ56+IVA!CJ32</f>
        <v>0.0224527925040999</v>
      </c>
      <c r="CK80" s="286" t="n">
        <f aca="false">IVA!CK56+IVA!CK32</f>
        <v>0.0205245845110437</v>
      </c>
      <c r="CL80" s="286" t="n">
        <f aca="false">IVA!CL56+IVA!CL32</f>
        <v>0.0217862371800475</v>
      </c>
      <c r="CM80" s="287" t="n">
        <f aca="false">IVA!CM56+IVA!CM32</f>
        <v>0.0212033172367534</v>
      </c>
      <c r="CN80" s="288" t="n">
        <f aca="false">IVA!CN56+IVA!CN32</f>
        <v>0.0858820715752039</v>
      </c>
      <c r="CO80" s="63"/>
      <c r="CP80" s="63"/>
      <c r="CQ80" s="13"/>
      <c r="DY80" s="215" t="s">
        <v>543</v>
      </c>
      <c r="EA80" s="179"/>
      <c r="EB80" s="230" t="n">
        <v>2694586389</v>
      </c>
      <c r="EC80" s="230" t="n">
        <v>307957163</v>
      </c>
      <c r="ED80" s="230" t="n">
        <v>3002543552</v>
      </c>
      <c r="EE80" s="230" t="n">
        <v>2872748327.94</v>
      </c>
      <c r="EF80" s="230" t="n">
        <v>2871726010.04</v>
      </c>
      <c r="EG80" s="231" t="n">
        <v>2818642677.5</v>
      </c>
      <c r="EH80" s="232" t="n">
        <f aca="false">IVA!EF80-IVA!EG80</f>
        <v>53083332.54</v>
      </c>
      <c r="EJ80" s="31" t="n">
        <v>2028</v>
      </c>
      <c r="EK80" s="32" t="n">
        <v>8783.239</v>
      </c>
      <c r="EL80" s="33" t="n">
        <v>7694.95</v>
      </c>
      <c r="EN80" s="104" t="s">
        <v>196</v>
      </c>
    </row>
    <row r="81" customFormat="false" ht="12.75" hidden="false" customHeight="true" outlineLevel="0" collapsed="false">
      <c r="AA81" s="304" t="n">
        <v>2000</v>
      </c>
      <c r="AB81" s="304" t="s">
        <v>539</v>
      </c>
      <c r="AC81" s="313"/>
      <c r="AD81" s="314"/>
      <c r="AE81" s="307" t="n">
        <f aca="false">IVA!AE64*0.2+120000</f>
        <v>258249.987393333</v>
      </c>
      <c r="AF81" s="307" t="n">
        <f aca="false">IVA!AF64*0.2+120000</f>
        <v>251683.225213333</v>
      </c>
      <c r="AG81" s="307" t="n">
        <f aca="false">IVA!AG64*0.2+120000</f>
        <v>249447.065289333</v>
      </c>
      <c r="AH81" s="307" t="n">
        <f aca="false">IVA!AH64*0.2+120000</f>
        <v>265135.175649333</v>
      </c>
      <c r="AI81" s="307" t="n">
        <f aca="false">IVA!AI64*0.2+120000</f>
        <v>348174.496073333</v>
      </c>
      <c r="AJ81" s="307" t="n">
        <f aca="false">IVA!AJ64*0.2+120000</f>
        <v>382645.777837333</v>
      </c>
      <c r="AK81" s="307" t="n">
        <f aca="false">IVA!AK64*0.2+120000</f>
        <v>270792.293413333</v>
      </c>
      <c r="AL81" s="307" t="n">
        <f aca="false">IVA!AL64*0.2+120000</f>
        <v>290404.669213333</v>
      </c>
      <c r="AM81" s="307" t="n">
        <f aca="false">IVA!AM64*0.2+120000</f>
        <v>256727.656933333</v>
      </c>
      <c r="AN81" s="307" t="n">
        <f aca="false">IVA!AN64*0.2+120000</f>
        <v>282434.312553333</v>
      </c>
      <c r="AO81" s="307" t="n">
        <f aca="false">IVA!AO64*0.2+120000</f>
        <v>273850.581745333</v>
      </c>
      <c r="AP81" s="307" t="n">
        <f aca="false">IVA!AP64*0.2+120000</f>
        <v>285483.699585333</v>
      </c>
      <c r="AQ81" s="128" t="n">
        <f aca="false">IVA!AE81+IVA!AF81+IVA!AG81</f>
        <v>759380.277896</v>
      </c>
      <c r="AR81" s="128" t="n">
        <f aca="false">IVA!AH81+IVA!AI81+IVA!AJ81</f>
        <v>995955.44956</v>
      </c>
      <c r="AS81" s="128" t="n">
        <f aca="false">IVA!AK81+IVA!AL81+IVA!AM81</f>
        <v>817924.61956</v>
      </c>
      <c r="AT81" s="128" t="n">
        <f aca="false">IVA!AN81+IVA!AO81+IVA!AP81</f>
        <v>841768.593884</v>
      </c>
      <c r="AU81" s="129" t="n">
        <f aca="false">IVA!AQ81+IVA!AR81+IVA!AS81+IVA!AT81</f>
        <v>3415028.9409</v>
      </c>
      <c r="AV81" s="130" t="n">
        <f aca="false">IVA!AQ81/IVA!CJ9</f>
        <v>0.0028079021087397</v>
      </c>
      <c r="AW81" s="130" t="n">
        <f aca="false">IVA!AR81/IVA!CK9</f>
        <v>0.00341319084011516</v>
      </c>
      <c r="AX81" s="130" t="n">
        <f aca="false">IVA!AS81/IVA!CL9</f>
        <v>0.00284499831979975</v>
      </c>
      <c r="AY81" s="130" t="n">
        <f aca="false">IVA!AT81/IVA!CM9</f>
        <v>0.00293218437313205</v>
      </c>
      <c r="AZ81" s="271" t="n">
        <f aca="false">IVA!AU81/IVA!CN9</f>
        <v>0.0120161295172808</v>
      </c>
      <c r="BA81" s="266" t="n">
        <v>1999</v>
      </c>
      <c r="BB81" s="352" t="s">
        <v>541</v>
      </c>
      <c r="BC81" s="353"/>
      <c r="BD81" s="353"/>
      <c r="BE81" s="353"/>
      <c r="BF81" s="354" t="n">
        <v>15128</v>
      </c>
      <c r="BG81" s="354" t="n">
        <v>9897</v>
      </c>
      <c r="BH81" s="354" t="n">
        <v>11520</v>
      </c>
      <c r="BI81" s="354" t="n">
        <v>12684</v>
      </c>
      <c r="BJ81" s="354" t="n">
        <v>10940</v>
      </c>
      <c r="BK81" s="354" t="n">
        <v>10707</v>
      </c>
      <c r="BL81" s="354" t="n">
        <v>12579</v>
      </c>
      <c r="BM81" s="354" t="n">
        <v>11494</v>
      </c>
      <c r="BN81" s="354" t="n">
        <v>11806</v>
      </c>
      <c r="BO81" s="354" t="n">
        <v>12080</v>
      </c>
      <c r="BP81" s="354" t="n">
        <v>13577</v>
      </c>
      <c r="BQ81" s="355" t="n">
        <v>14700</v>
      </c>
      <c r="BR81" s="175" t="n">
        <f aca="false">IVA!BF81+IVA!BG81+IVA!BH81</f>
        <v>36545</v>
      </c>
      <c r="BS81" s="175" t="n">
        <f aca="false">IVA!BI81+IVA!BJ81+IVA!BK81</f>
        <v>34331</v>
      </c>
      <c r="BT81" s="175" t="n">
        <f aca="false">IVA!BL81+IVA!BM81+IVA!BN81</f>
        <v>35879</v>
      </c>
      <c r="BU81" s="176" t="n">
        <f aca="false">IVA!BO81+IVA!BP81+IVA!BQ81</f>
        <v>40357</v>
      </c>
      <c r="BV81" s="137" t="n">
        <f aca="false">IVA!BR81+IVA!BS81+IVA!BT81+IVA!BU81</f>
        <v>147112</v>
      </c>
      <c r="BW81" s="138" t="n">
        <f aca="false">IVA!BR81/IVA!CJ8</f>
        <v>0.000134978910122403</v>
      </c>
      <c r="BX81" s="139" t="n">
        <f aca="false">IVA!BS81/IVA!CK8</f>
        <v>0.000118862365833779</v>
      </c>
      <c r="BY81" s="138" t="n">
        <f aca="false">IVA!BT81/IVA!CL8</f>
        <v>0.000125852800401016</v>
      </c>
      <c r="BZ81" s="138" t="n">
        <f aca="false">IVA!BU81/IVA!CM8</f>
        <v>0.000139436697244884</v>
      </c>
      <c r="CA81" s="273" t="n">
        <f aca="false">IVA!BV81/IVA!CN8</f>
        <v>0.000518871440966386</v>
      </c>
      <c r="CH81" s="13"/>
      <c r="CI81" s="53" t="n">
        <v>1999</v>
      </c>
      <c r="CJ81" s="286" t="n">
        <f aca="false">IVA!CJ57+IVA!CJ33</f>
        <v>0.0237985666455057</v>
      </c>
      <c r="CK81" s="286" t="n">
        <f aca="false">IVA!CK57+IVA!CK33</f>
        <v>0.0204095383858292</v>
      </c>
      <c r="CL81" s="286" t="n">
        <f aca="false">IVA!CL57+IVA!CL33</f>
        <v>0.0217875281439905</v>
      </c>
      <c r="CM81" s="287" t="n">
        <f aca="false">IVA!CM57+IVA!CM33</f>
        <v>0.0198127413222482</v>
      </c>
      <c r="CN81" s="288" t="n">
        <f aca="false">IVA!CN57+IVA!CN33</f>
        <v>0.0856507892640096</v>
      </c>
      <c r="CO81" s="63"/>
      <c r="CP81" s="63"/>
      <c r="CQ81" s="13"/>
      <c r="DY81" s="215" t="s">
        <v>544</v>
      </c>
      <c r="EA81" s="195"/>
      <c r="EB81" s="230" t="n">
        <v>66339000</v>
      </c>
      <c r="EC81" s="230" t="n">
        <v>2659777</v>
      </c>
      <c r="ED81" s="230" t="n">
        <v>68998777</v>
      </c>
      <c r="EE81" s="230" t="n">
        <v>40194815.55</v>
      </c>
      <c r="EF81" s="230" t="n">
        <v>40165945.55</v>
      </c>
      <c r="EG81" s="231" t="n">
        <v>34187845.99</v>
      </c>
      <c r="EH81" s="232" t="n">
        <f aca="false">IVA!EF81-IVA!EG81</f>
        <v>5978099.56</v>
      </c>
      <c r="EJ81" s="31" t="n">
        <v>2029</v>
      </c>
      <c r="EK81" s="32" t="n">
        <v>8949.1</v>
      </c>
      <c r="EL81" s="33" t="n">
        <v>7848.407</v>
      </c>
      <c r="EN81" s="122" t="s">
        <v>192</v>
      </c>
    </row>
    <row r="82" customFormat="false" ht="12.75" hidden="false" customHeight="true" outlineLevel="0" collapsed="false">
      <c r="AA82" s="304" t="n">
        <v>2001</v>
      </c>
      <c r="AB82" s="304" t="s">
        <v>539</v>
      </c>
      <c r="AC82" s="313"/>
      <c r="AD82" s="314"/>
      <c r="AE82" s="307" t="n">
        <f aca="false">IVA!AE65*0.2+120000</f>
        <v>271622.923739333</v>
      </c>
      <c r="AF82" s="307" t="n">
        <f aca="false">IVA!AF65*0.2+120000</f>
        <v>262166.612987333</v>
      </c>
      <c r="AG82" s="307" t="n">
        <f aca="false">IVA!AG65*0.2+120000</f>
        <v>257331.461137333</v>
      </c>
      <c r="AH82" s="307" t="n">
        <f aca="false">IVA!AH65*0.2+120000</f>
        <v>233899.489299333</v>
      </c>
      <c r="AI82" s="307" t="n">
        <f aca="false">IVA!AI65*0.2+120000</f>
        <v>420102.402103333</v>
      </c>
      <c r="AJ82" s="307" t="n">
        <f aca="false">IVA!AJ65*0.2+120000</f>
        <v>373236.312217333</v>
      </c>
      <c r="AK82" s="307" t="n">
        <f aca="false">IVA!AK65*0.2+120000</f>
        <v>259803.804661333</v>
      </c>
      <c r="AL82" s="307" t="n">
        <f aca="false">IVA!AL65*0.2+120000</f>
        <v>267332.838121333</v>
      </c>
      <c r="AM82" s="307" t="n">
        <f aca="false">IVA!AM65*0.2+120000</f>
        <v>248349.783667333</v>
      </c>
      <c r="AN82" s="307" t="n">
        <f aca="false">IVA!AN65*0.2+120000</f>
        <v>255857.221495333</v>
      </c>
      <c r="AO82" s="307" t="n">
        <f aca="false">IVA!AO65*0.2+120000</f>
        <v>254048.679985333</v>
      </c>
      <c r="AP82" s="307" t="n">
        <f aca="false">IVA!AP65*0.2+120000</f>
        <v>238504.413847333</v>
      </c>
      <c r="AQ82" s="128" t="n">
        <f aca="false">IVA!AE82+IVA!AF82+IVA!AG82</f>
        <v>791120.997864</v>
      </c>
      <c r="AR82" s="128" t="n">
        <f aca="false">IVA!AH82+IVA!AI82+IVA!AJ82</f>
        <v>1027238.20362</v>
      </c>
      <c r="AS82" s="128" t="n">
        <f aca="false">IVA!AK82+IVA!AL82+IVA!AM82</f>
        <v>775486.42645</v>
      </c>
      <c r="AT82" s="128" t="n">
        <f aca="false">IVA!AN82+IVA!AO82+IVA!AP82</f>
        <v>748410.315328</v>
      </c>
      <c r="AU82" s="129" t="n">
        <f aca="false">IVA!AQ82+IVA!AR82+IVA!AS82+IVA!AT82</f>
        <v>3342255.943262</v>
      </c>
      <c r="AV82" s="130" t="n">
        <f aca="false">IVA!AQ82/IVA!CJ10</f>
        <v>0.00300428357414812</v>
      </c>
      <c r="AW82" s="130" t="n">
        <f aca="false">IVA!AR82/IVA!CK10</f>
        <v>0.00356647641294422</v>
      </c>
      <c r="AX82" s="130" t="n">
        <f aca="false">IVA!AS82/IVA!CL10</f>
        <v>0.00285770111129701</v>
      </c>
      <c r="AY82" s="130" t="n">
        <f aca="false">IVA!AT82/IVA!CM10</f>
        <v>0.00296914057455935</v>
      </c>
      <c r="AZ82" s="271" t="n">
        <f aca="false">IVA!AU82/IVA!CN10</f>
        <v>0.0124387677011824</v>
      </c>
      <c r="BA82" s="266" t="n">
        <v>2000</v>
      </c>
      <c r="BB82" s="352" t="s">
        <v>541</v>
      </c>
      <c r="BC82" s="353"/>
      <c r="BD82" s="353"/>
      <c r="BE82" s="353"/>
      <c r="BF82" s="354" t="n">
        <v>15567.83505</v>
      </c>
      <c r="BG82" s="354" t="n">
        <v>27589.54805</v>
      </c>
      <c r="BH82" s="354" t="n">
        <v>32170.56204</v>
      </c>
      <c r="BI82" s="354" t="n">
        <v>29235.726</v>
      </c>
      <c r="BJ82" s="354" t="n">
        <v>23850.1727</v>
      </c>
      <c r="BK82" s="354" t="n">
        <v>23720.28558</v>
      </c>
      <c r="BL82" s="354" t="n">
        <v>28862.4615</v>
      </c>
      <c r="BM82" s="354" t="n">
        <v>26999.7961</v>
      </c>
      <c r="BN82" s="354" t="n">
        <v>22716.0823</v>
      </c>
      <c r="BO82" s="354" t="n">
        <v>23737.3146</v>
      </c>
      <c r="BP82" s="354" t="n">
        <v>24973.2428</v>
      </c>
      <c r="BQ82" s="355" t="n">
        <v>29797.39049</v>
      </c>
      <c r="BR82" s="175" t="n">
        <f aca="false">IVA!BF82+IVA!BG82+IVA!BH82</f>
        <v>75327.94514</v>
      </c>
      <c r="BS82" s="175" t="n">
        <f aca="false">IVA!BI82+IVA!BJ82+IVA!BK82</f>
        <v>76806.18428</v>
      </c>
      <c r="BT82" s="175" t="n">
        <f aca="false">IVA!BL82+IVA!BM82+IVA!BN82</f>
        <v>78578.3399</v>
      </c>
      <c r="BU82" s="176" t="n">
        <f aca="false">IVA!BO82+IVA!BP82+IVA!BQ82</f>
        <v>78507.94789</v>
      </c>
      <c r="BV82" s="137" t="n">
        <f aca="false">IVA!BR82+IVA!BS82+IVA!BT82+IVA!BU82</f>
        <v>309220.41721</v>
      </c>
      <c r="BW82" s="138" t="n">
        <f aca="false">IVA!BR82/IVA!CJ9</f>
        <v>0.00027853435513452</v>
      </c>
      <c r="BX82" s="139" t="n">
        <f aca="false">IVA!BS82/IVA!CK9</f>
        <v>0.000263218766225446</v>
      </c>
      <c r="BY82" s="138" t="n">
        <f aca="false">IVA!BT82/IVA!CL9</f>
        <v>0.000273320107552716</v>
      </c>
      <c r="BZ82" s="138" t="n">
        <f aca="false">IVA!BU82/IVA!CM9</f>
        <v>0.00027347156884003</v>
      </c>
      <c r="CA82" s="273" t="n">
        <f aca="false">IVA!BV82/IVA!CN9</f>
        <v>0.00108802374647043</v>
      </c>
      <c r="CH82" s="13"/>
      <c r="CI82" s="53" t="n">
        <v>2000</v>
      </c>
      <c r="CJ82" s="286" t="n">
        <f aca="false">IVA!CJ58+IVA!CJ34</f>
        <v>0.0225741869368612</v>
      </c>
      <c r="CK82" s="286" t="n">
        <f aca="false">IVA!CK58+IVA!CK34</f>
        <v>0.0212505053419357</v>
      </c>
      <c r="CL82" s="286" t="n">
        <f aca="false">IVA!CL58+IVA!CL34</f>
        <v>0.0223669207362557</v>
      </c>
      <c r="CM82" s="287" t="n">
        <f aca="false">IVA!CM58+IVA!CM34</f>
        <v>0.020444018966008</v>
      </c>
      <c r="CN82" s="288" t="n">
        <f aca="false">IVA!CN58+IVA!CN34</f>
        <v>0.086576295728297</v>
      </c>
      <c r="CO82" s="63"/>
      <c r="CP82" s="63"/>
      <c r="CQ82" s="13"/>
      <c r="DY82" s="222" t="s">
        <v>545</v>
      </c>
      <c r="DZ82" s="223"/>
      <c r="EA82" s="206"/>
      <c r="EB82" s="236" t="n">
        <v>86799722063</v>
      </c>
      <c r="EC82" s="236" t="n">
        <v>7905377441</v>
      </c>
      <c r="ED82" s="236" t="n">
        <v>94705099504</v>
      </c>
      <c r="EE82" s="236" t="n">
        <v>88865474626.79</v>
      </c>
      <c r="EF82" s="236" t="n">
        <v>88680481088.38</v>
      </c>
      <c r="EG82" s="237" t="n">
        <v>87803432874.79</v>
      </c>
      <c r="EH82" s="238" t="n">
        <f aca="false">IVA!EF82-IVA!EG82</f>
        <v>877048213.590012</v>
      </c>
      <c r="EJ82" s="31" t="n">
        <v>2030</v>
      </c>
      <c r="EK82" s="32" t="n">
        <v>9117.162</v>
      </c>
      <c r="EL82" s="33" t="n">
        <v>7999.193</v>
      </c>
      <c r="EN82" s="122" t="s">
        <v>208</v>
      </c>
    </row>
    <row r="83" customFormat="false" ht="12.75" hidden="false" customHeight="true" outlineLevel="0" collapsed="false">
      <c r="AA83" s="304" t="n">
        <v>2002</v>
      </c>
      <c r="AB83" s="304" t="s">
        <v>539</v>
      </c>
      <c r="AC83" s="313"/>
      <c r="AD83" s="314"/>
      <c r="AE83" s="307" t="n">
        <f aca="false">IVA!AE66*0.2+120000</f>
        <v>234867.080829333</v>
      </c>
      <c r="AF83" s="307" t="n">
        <f aca="false">IVA!AF66*0.2+120000</f>
        <v>204079.167413333</v>
      </c>
      <c r="AG83" s="307" t="n">
        <f aca="false">IVA!AG66*0.2+120000</f>
        <v>206397.393285333</v>
      </c>
      <c r="AH83" s="307" t="n">
        <f aca="false">IVA!AH66*0.2+120000</f>
        <v>196937.275057333</v>
      </c>
      <c r="AI83" s="307" t="n">
        <f aca="false">IVA!AI66*0.2+120000</f>
        <v>288952.079481333</v>
      </c>
      <c r="AJ83" s="307" t="n">
        <f aca="false">IVA!AJ66*0.2+120000</f>
        <v>276888.797663333</v>
      </c>
      <c r="AK83" s="307" t="n">
        <f aca="false">IVA!AK66*0.2+120000</f>
        <v>263094.595625333</v>
      </c>
      <c r="AL83" s="307" t="n">
        <f aca="false">IVA!AL66*0.2+120000</f>
        <v>279161.536197333</v>
      </c>
      <c r="AM83" s="307" t="n">
        <f aca="false">IVA!AM66*0.2+120000</f>
        <v>246963.549729333</v>
      </c>
      <c r="AN83" s="307" t="n">
        <f aca="false">IVA!AN66*0.2+120000</f>
        <v>280096.852489333</v>
      </c>
      <c r="AO83" s="307" t="n">
        <f aca="false">IVA!AO66*0.2+120000</f>
        <v>332449.812129333</v>
      </c>
      <c r="AP83" s="307" t="n">
        <f aca="false">IVA!AP66*0.2+120000</f>
        <v>297979.628327333</v>
      </c>
      <c r="AQ83" s="128" t="n">
        <f aca="false">IVA!AE83+IVA!AF83+IVA!AG83</f>
        <v>645343.641528</v>
      </c>
      <c r="AR83" s="128" t="n">
        <f aca="false">IVA!AH83+IVA!AI83+IVA!AJ83</f>
        <v>762778.152202</v>
      </c>
      <c r="AS83" s="128" t="n">
        <f aca="false">IVA!AK83+IVA!AL83+IVA!AM83</f>
        <v>789219.681552</v>
      </c>
      <c r="AT83" s="128" t="n">
        <f aca="false">IVA!AN83+IVA!AO83+IVA!AP83</f>
        <v>910526.292946</v>
      </c>
      <c r="AU83" s="129" t="n">
        <f aca="false">IVA!AQ83+IVA!AR83+IVA!AS83+IVA!AT83</f>
        <v>3107867.768228</v>
      </c>
      <c r="AV83" s="130" t="n">
        <f aca="false">IVA!AQ83/IVA!CJ11</f>
        <v>0.00272231421779572</v>
      </c>
      <c r="AW83" s="130" t="n">
        <f aca="false">IVA!AR83/IVA!CK11</f>
        <v>0.00225002860822523</v>
      </c>
      <c r="AX83" s="130" t="n">
        <f aca="false">IVA!AS83/IVA!CL11</f>
        <v>0.00236288909804433</v>
      </c>
      <c r="AY83" s="130" t="n">
        <f aca="false">IVA!AT83/IVA!CM11</f>
        <v>0.00267605536213304</v>
      </c>
      <c r="AZ83" s="271" t="n">
        <f aca="false">IVA!AU83/IVA!CN11</f>
        <v>0.00994262696870573</v>
      </c>
      <c r="BA83" s="266" t="n">
        <v>2001</v>
      </c>
      <c r="BB83" s="352" t="s">
        <v>541</v>
      </c>
      <c r="BC83" s="353"/>
      <c r="BD83" s="353"/>
      <c r="BE83" s="353"/>
      <c r="BF83" s="354" t="n">
        <v>36296.00511</v>
      </c>
      <c r="BG83" s="354" t="n">
        <v>24737.52235</v>
      </c>
      <c r="BH83" s="354" t="n">
        <v>28615.11163</v>
      </c>
      <c r="BI83" s="354" t="n">
        <v>28815.71313</v>
      </c>
      <c r="BJ83" s="354" t="n">
        <v>23280.40793</v>
      </c>
      <c r="BK83" s="354" t="n">
        <v>22249.28108</v>
      </c>
      <c r="BL83" s="354" t="n">
        <v>19922.82467</v>
      </c>
      <c r="BM83" s="354" t="n">
        <v>22444.75819</v>
      </c>
      <c r="BN83" s="354" t="n">
        <v>22884.63931</v>
      </c>
      <c r="BO83" s="354" t="n">
        <v>20255.10225</v>
      </c>
      <c r="BP83" s="354" t="n">
        <v>23390.86257</v>
      </c>
      <c r="BQ83" s="355" t="n">
        <v>12607.96807</v>
      </c>
      <c r="BR83" s="175" t="n">
        <f aca="false">IVA!BF83+IVA!BG83+IVA!BH83</f>
        <v>89648.63909</v>
      </c>
      <c r="BS83" s="175" t="n">
        <f aca="false">IVA!BI83+IVA!BJ83+IVA!BK83</f>
        <v>74345.40214</v>
      </c>
      <c r="BT83" s="175" t="n">
        <f aca="false">IVA!BL83+IVA!BM83+IVA!BN83</f>
        <v>65252.22217</v>
      </c>
      <c r="BU83" s="176" t="n">
        <f aca="false">IVA!BO83+IVA!BP83+IVA!BQ83</f>
        <v>56253.93289</v>
      </c>
      <c r="BV83" s="137" t="n">
        <f aca="false">IVA!BR83+IVA!BS83+IVA!BT83+IVA!BU83</f>
        <v>285500.19629</v>
      </c>
      <c r="BW83" s="138" t="n">
        <f aca="false">IVA!BR83/IVA!CJ10</f>
        <v>0.000340440886526843</v>
      </c>
      <c r="BX83" s="139" t="n">
        <f aca="false">IVA!BS83/IVA!CK10</f>
        <v>0.000258120387470761</v>
      </c>
      <c r="BY83" s="138" t="n">
        <f aca="false">IVA!BT83/IVA!CL10</f>
        <v>0.000240457268431417</v>
      </c>
      <c r="BZ83" s="138" t="n">
        <f aca="false">IVA!BU83/IVA!CM10</f>
        <v>0.000223174148193076</v>
      </c>
      <c r="CA83" s="273" t="n">
        <f aca="false">IVA!BV83/IVA!CN10</f>
        <v>0.00106253700511855</v>
      </c>
      <c r="CH83" s="13"/>
      <c r="CI83" s="53" t="n">
        <v>2001</v>
      </c>
      <c r="CJ83" s="286" t="n">
        <f aca="false">IVA!CJ59+IVA!CJ35</f>
        <v>0.023144833049697</v>
      </c>
      <c r="CK83" s="286" t="n">
        <f aca="false">IVA!CK59+IVA!CK35</f>
        <v>0.0203728087395638</v>
      </c>
      <c r="CL83" s="286" t="n">
        <f aca="false">IVA!CL59+IVA!CL35</f>
        <v>0.0214169861508597</v>
      </c>
      <c r="CM83" s="287" t="n">
        <f aca="false">IVA!CM59+IVA!CM35</f>
        <v>0.018541712020368</v>
      </c>
      <c r="CN83" s="288" t="n">
        <f aca="false">IVA!CN59+IVA!CN35</f>
        <v>0.0835447480583304</v>
      </c>
      <c r="CO83" s="63"/>
      <c r="CP83" s="63"/>
      <c r="CQ83" s="13"/>
      <c r="DY83" s="177" t="s">
        <v>163</v>
      </c>
      <c r="DZ83" s="45"/>
      <c r="EA83" s="210" t="n">
        <v>2010</v>
      </c>
      <c r="EB83" s="227" t="n">
        <v>104660679764</v>
      </c>
      <c r="EC83" s="227" t="n">
        <v>18476683831</v>
      </c>
      <c r="ED83" s="227" t="n">
        <v>123137363595</v>
      </c>
      <c r="EE83" s="227" t="n">
        <v>119556978526.51</v>
      </c>
      <c r="EF83" s="227" t="n">
        <v>119547636444.09</v>
      </c>
      <c r="EG83" s="228" t="n">
        <v>119181856166.33</v>
      </c>
      <c r="EH83" s="229" t="n">
        <f aca="false">IVA!EF83-IVA!EG83</f>
        <v>365780277.759994</v>
      </c>
      <c r="EJ83" s="31" t="n">
        <v>2031</v>
      </c>
      <c r="EK83" s="32" t="n">
        <v>9306.256</v>
      </c>
      <c r="EL83" s="33" t="n">
        <v>8168.648</v>
      </c>
      <c r="EN83" s="122" t="s">
        <v>224</v>
      </c>
    </row>
    <row r="84" customFormat="false" ht="12.75" hidden="false" customHeight="true" outlineLevel="0" collapsed="false">
      <c r="AA84" s="304" t="n">
        <v>2003</v>
      </c>
      <c r="AB84" s="304" t="s">
        <v>539</v>
      </c>
      <c r="AC84" s="313"/>
      <c r="AD84" s="314"/>
      <c r="AE84" s="307" t="n">
        <f aca="false">IVA!AE67*0.2+120000</f>
        <v>329365.680631333</v>
      </c>
      <c r="AF84" s="307" t="n">
        <f aca="false">IVA!AF67*0.2+120000</f>
        <v>271005.523019333</v>
      </c>
      <c r="AG84" s="307" t="n">
        <f aca="false">IVA!AG67*0.2+120000</f>
        <v>266989.658007333</v>
      </c>
      <c r="AH84" s="307" t="n">
        <f aca="false">IVA!AH67*0.2+120000</f>
        <v>302633.055419333</v>
      </c>
      <c r="AI84" s="307" t="n">
        <f aca="false">IVA!AI67*0.2+120000</f>
        <v>543128.989771333</v>
      </c>
      <c r="AJ84" s="307" t="n">
        <f aca="false">IVA!AJ67*0.2+120000</f>
        <v>439811.735147333</v>
      </c>
      <c r="AK84" s="307" t="n">
        <f aca="false">IVA!AK67*0.2+120000</f>
        <v>347116.461647333</v>
      </c>
      <c r="AL84" s="307" t="n">
        <f aca="false">IVA!AL67*0.2+120000</f>
        <v>372392.002913333</v>
      </c>
      <c r="AM84" s="307" t="n">
        <f aca="false">IVA!AM67*0.2+120000</f>
        <v>314062.834303333</v>
      </c>
      <c r="AN84" s="307" t="n">
        <f aca="false">IVA!AN67*0.2+120000</f>
        <v>329172.311721333</v>
      </c>
      <c r="AO84" s="307" t="n">
        <f aca="false">IVA!AO67*0.2+120000</f>
        <v>385849.010141333</v>
      </c>
      <c r="AP84" s="307" t="n">
        <f aca="false">IVA!AP67*0.2+120000</f>
        <v>372620.061407333</v>
      </c>
      <c r="AQ84" s="128" t="n">
        <f aca="false">IVA!AE84+IVA!AF84+IVA!AG84</f>
        <v>867360.861658</v>
      </c>
      <c r="AR84" s="128" t="n">
        <f aca="false">IVA!AH84+IVA!AI84+IVA!AJ84</f>
        <v>1285573.780338</v>
      </c>
      <c r="AS84" s="128" t="n">
        <f aca="false">IVA!AK84+IVA!AL84+IVA!AM84</f>
        <v>1033571.298864</v>
      </c>
      <c r="AT84" s="128" t="n">
        <f aca="false">IVA!AN84+IVA!AO84+IVA!AP84</f>
        <v>1087641.38327</v>
      </c>
      <c r="AU84" s="129" t="n">
        <f aca="false">IVA!AQ84+IVA!AR84+IVA!AS84+IVA!AT84</f>
        <v>4274147.32413</v>
      </c>
      <c r="AV84" s="130" t="n">
        <f aca="false">IVA!AQ84/IVA!CJ12</f>
        <v>0.00264954656208723</v>
      </c>
      <c r="AW84" s="130" t="n">
        <f aca="false">IVA!AR84/IVA!CK12</f>
        <v>0.00322103008474248</v>
      </c>
      <c r="AX84" s="130" t="n">
        <f aca="false">IVA!AS84/IVA!CL12</f>
        <v>0.00273513149353922</v>
      </c>
      <c r="AY84" s="130" t="n">
        <f aca="false">IVA!AT84/IVA!CM12</f>
        <v>0.00272407763061695</v>
      </c>
      <c r="AZ84" s="271" t="n">
        <f aca="false">IVA!AU84/IVA!CN12</f>
        <v>0.0113701539867214</v>
      </c>
      <c r="BA84" s="266" t="n">
        <v>2002</v>
      </c>
      <c r="BB84" s="352" t="s">
        <v>541</v>
      </c>
      <c r="BC84" s="353"/>
      <c r="BD84" s="353"/>
      <c r="BE84" s="353"/>
      <c r="BF84" s="354" t="n">
        <v>25510.00096</v>
      </c>
      <c r="BG84" s="354" t="n">
        <v>21536.12736</v>
      </c>
      <c r="BH84" s="354" t="n">
        <v>19589.34267</v>
      </c>
      <c r="BI84" s="354" t="n">
        <v>17750.4956</v>
      </c>
      <c r="BJ84" s="354" t="n">
        <v>27561.91767</v>
      </c>
      <c r="BK84" s="354" t="n">
        <v>20774.58782</v>
      </c>
      <c r="BL84" s="354" t="n">
        <v>19604.77933</v>
      </c>
      <c r="BM84" s="354" t="n">
        <v>24290.0798</v>
      </c>
      <c r="BN84" s="354" t="n">
        <v>24460.84757</v>
      </c>
      <c r="BO84" s="354" t="n">
        <v>25470.35695</v>
      </c>
      <c r="BP84" s="354" t="n">
        <v>27949.01026</v>
      </c>
      <c r="BQ84" s="355" t="n">
        <v>34386.14954</v>
      </c>
      <c r="BR84" s="175" t="n">
        <f aca="false">IVA!BF84+IVA!BG84+IVA!BH84</f>
        <v>66635.47099</v>
      </c>
      <c r="BS84" s="175" t="n">
        <f aca="false">IVA!BI84+IVA!BJ84+IVA!BK84</f>
        <v>66087.00109</v>
      </c>
      <c r="BT84" s="175" t="n">
        <f aca="false">IVA!BL84+IVA!BM84+IVA!BN84</f>
        <v>68355.7067</v>
      </c>
      <c r="BU84" s="176" t="n">
        <f aca="false">IVA!BO84+IVA!BP84+IVA!BQ84</f>
        <v>87805.51675</v>
      </c>
      <c r="BV84" s="137" t="n">
        <f aca="false">IVA!BR84+IVA!BS84+IVA!BT84+IVA!BU84</f>
        <v>288883.69553</v>
      </c>
      <c r="BW84" s="138" t="n">
        <f aca="false">IVA!BR84/IVA!CJ11</f>
        <v>0.00028109471979313</v>
      </c>
      <c r="BX84" s="139" t="n">
        <f aca="false">IVA!BS84/IVA!CK11</f>
        <v>0.000194942189488581</v>
      </c>
      <c r="BY84" s="138" t="n">
        <f aca="false">IVA!BT84/IVA!CL11</f>
        <v>0.000204653986622486</v>
      </c>
      <c r="BZ84" s="138" t="n">
        <f aca="false">IVA!BU84/IVA!CM11</f>
        <v>0.000258062206159307</v>
      </c>
      <c r="CA84" s="273" t="n">
        <f aca="false">IVA!BV84/IVA!CN11</f>
        <v>0.000924190807395135</v>
      </c>
      <c r="CH84" s="13"/>
      <c r="CI84" s="53" t="n">
        <v>2002</v>
      </c>
      <c r="CJ84" s="286" t="n">
        <f aca="false">IVA!CJ60+IVA!CJ36</f>
        <v>0.0188640258673562</v>
      </c>
      <c r="CK84" s="286" t="n">
        <f aca="false">IVA!CK60+IVA!CK36</f>
        <v>0.01426768997547</v>
      </c>
      <c r="CL84" s="286" t="n">
        <f aca="false">IVA!CL60+IVA!CL36</f>
        <v>0.0164533698572818</v>
      </c>
      <c r="CM84" s="287" t="n">
        <f aca="false">IVA!CM60+IVA!CM36</f>
        <v>0.0161323052898835</v>
      </c>
      <c r="CN84" s="288" t="n">
        <f aca="false">IVA!CN60+IVA!CN36</f>
        <v>0.0649217466850155</v>
      </c>
      <c r="CO84" s="63"/>
      <c r="CP84" s="63"/>
      <c r="CQ84" s="13"/>
      <c r="DY84" s="215" t="s">
        <v>546</v>
      </c>
      <c r="EA84" s="179"/>
      <c r="EB84" s="230" t="n">
        <v>2796969764</v>
      </c>
      <c r="EC84" s="230" t="n">
        <v>-42201026</v>
      </c>
      <c r="ED84" s="230" t="n">
        <v>2754768738</v>
      </c>
      <c r="EE84" s="230" t="n">
        <v>2264624636.46</v>
      </c>
      <c r="EF84" s="230" t="n">
        <v>2263079419.72</v>
      </c>
      <c r="EG84" s="231" t="n">
        <v>2227864793.42</v>
      </c>
      <c r="EH84" s="232" t="n">
        <f aca="false">IVA!EF84-IVA!EG84</f>
        <v>35214626.2999997</v>
      </c>
      <c r="EJ84" s="31" t="n">
        <v>2032</v>
      </c>
      <c r="EK84" s="32" t="n">
        <v>9497.165</v>
      </c>
      <c r="EL84" s="33" t="n">
        <v>8336.338</v>
      </c>
      <c r="EN84" s="122" t="s">
        <v>240</v>
      </c>
    </row>
    <row r="85" customFormat="false" ht="12.75" hidden="false" customHeight="true" outlineLevel="0" collapsed="false">
      <c r="AA85" s="304" t="n">
        <v>2004</v>
      </c>
      <c r="AB85" s="304" t="s">
        <v>539</v>
      </c>
      <c r="AC85" s="313"/>
      <c r="AD85" s="314"/>
      <c r="AE85" s="307" t="n">
        <f aca="false">IVA!AE68*0.2+120000</f>
        <v>366579.181929333</v>
      </c>
      <c r="AF85" s="307" t="n">
        <f aca="false">IVA!AF68*0.2+120000</f>
        <v>322083.843849333</v>
      </c>
      <c r="AG85" s="307" t="n">
        <f aca="false">IVA!AG68*0.2+120000</f>
        <v>318181.930411333</v>
      </c>
      <c r="AH85" s="307" t="n">
        <f aca="false">IVA!AH68*0.2+120000</f>
        <v>345446.369625333</v>
      </c>
      <c r="AI85" s="307" t="n">
        <f aca="false">IVA!AI68*0.2+120000</f>
        <v>1196828.88028533</v>
      </c>
      <c r="AJ85" s="307" t="n">
        <f aca="false">IVA!AJ68*0.2+120000</f>
        <v>692919.432483333</v>
      </c>
      <c r="AK85" s="307" t="n">
        <f aca="false">IVA!AK68*0.2+120000</f>
        <v>438085.563515333</v>
      </c>
      <c r="AL85" s="307" t="n">
        <f aca="false">IVA!AL68*0.2+120000</f>
        <v>457890.678331333</v>
      </c>
      <c r="AM85" s="307" t="n">
        <f aca="false">IVA!AM68*0.2+120000</f>
        <v>410275.852515333</v>
      </c>
      <c r="AN85" s="307" t="n">
        <f aca="false">IVA!AN68*0.2+120000</f>
        <v>448807.577915333</v>
      </c>
      <c r="AO85" s="307" t="n">
        <f aca="false">IVA!AO68*0.2+120000</f>
        <v>457558.334833333</v>
      </c>
      <c r="AP85" s="307" t="n">
        <f aca="false">IVA!AP68*0.2+120000</f>
        <v>327161.174605333</v>
      </c>
      <c r="AQ85" s="128" t="n">
        <f aca="false">IVA!AE85+IVA!AF85+IVA!AG85</f>
        <v>1006844.95619</v>
      </c>
      <c r="AR85" s="128" t="n">
        <f aca="false">IVA!AH85+IVA!AI85+IVA!AJ85</f>
        <v>2235194.682394</v>
      </c>
      <c r="AS85" s="128" t="n">
        <f aca="false">IVA!AK85+IVA!AL85+IVA!AM85</f>
        <v>1306252.094362</v>
      </c>
      <c r="AT85" s="128" t="n">
        <f aca="false">IVA!AN85+IVA!AO85+IVA!AP85</f>
        <v>1233527.087354</v>
      </c>
      <c r="AU85" s="129" t="n">
        <f aca="false">IVA!AQ85+IVA!AR85+IVA!AS85+IVA!AT85</f>
        <v>5781818.8203</v>
      </c>
      <c r="AV85" s="130" t="n">
        <f aca="false">IVA!AQ85/IVA!CJ13</f>
        <v>0.00256313997660488</v>
      </c>
      <c r="AW85" s="130" t="n">
        <f aca="false">IVA!AR85/IVA!CK13</f>
        <v>0.00471348171605946</v>
      </c>
      <c r="AX85" s="130" t="n">
        <f aca="false">IVA!AS85/IVA!CL13</f>
        <v>0.00288942900741021</v>
      </c>
      <c r="AY85" s="130" t="n">
        <f aca="false">IVA!AT85/IVA!CM13</f>
        <v>0.00261637860057403</v>
      </c>
      <c r="AZ85" s="271" t="n">
        <f aca="false">IVA!AU85/IVA!CN13</f>
        <v>0.0129161258472855</v>
      </c>
      <c r="BA85" s="266" t="n">
        <v>2003</v>
      </c>
      <c r="BB85" s="352" t="s">
        <v>541</v>
      </c>
      <c r="BC85" s="353"/>
      <c r="BD85" s="353"/>
      <c r="BE85" s="353"/>
      <c r="BF85" s="354" t="n">
        <v>39112.00167</v>
      </c>
      <c r="BG85" s="354" t="n">
        <v>33053.97188</v>
      </c>
      <c r="BH85" s="354" t="n">
        <v>24445.93673</v>
      </c>
      <c r="BI85" s="354" t="n">
        <v>26494.46527</v>
      </c>
      <c r="BJ85" s="354" t="n">
        <v>31828.41593</v>
      </c>
      <c r="BK85" s="354" t="n">
        <v>31737.09312</v>
      </c>
      <c r="BL85" s="354" t="n">
        <v>36671.65635</v>
      </c>
      <c r="BM85" s="354" t="n">
        <v>41079.14751</v>
      </c>
      <c r="BN85" s="354" t="n">
        <v>41343.46902</v>
      </c>
      <c r="BO85" s="354" t="n">
        <v>45029.29683</v>
      </c>
      <c r="BP85" s="354" t="n">
        <v>51677.31733</v>
      </c>
      <c r="BQ85" s="355" t="n">
        <v>50354.39515</v>
      </c>
      <c r="BR85" s="175" t="n">
        <f aca="false">IVA!BF85+IVA!BG85+IVA!BH85</f>
        <v>96611.91028</v>
      </c>
      <c r="BS85" s="175" t="n">
        <f aca="false">IVA!BI85+IVA!BJ85+IVA!BK85</f>
        <v>90059.97432</v>
      </c>
      <c r="BT85" s="175" t="n">
        <f aca="false">IVA!BL85+IVA!BM85+IVA!BN85</f>
        <v>119094.27288</v>
      </c>
      <c r="BU85" s="176" t="n">
        <f aca="false">IVA!BO85+IVA!BP85+IVA!BQ85</f>
        <v>147061.00931</v>
      </c>
      <c r="BV85" s="137" t="n">
        <f aca="false">IVA!BR85+IVA!BS85+IVA!BT85+IVA!BU85</f>
        <v>452827.16679</v>
      </c>
      <c r="BW85" s="138" t="n">
        <f aca="false">IVA!BR85/IVA!CJ12</f>
        <v>0.000295122556313806</v>
      </c>
      <c r="BX85" s="139" t="n">
        <f aca="false">IVA!BS85/IVA!CK12</f>
        <v>0.000225647015482524</v>
      </c>
      <c r="BY85" s="138" t="n">
        <f aca="false">IVA!BT85/IVA!CL12</f>
        <v>0.000315158225477295</v>
      </c>
      <c r="BZ85" s="138" t="n">
        <f aca="false">IVA!BU85/IVA!CM12</f>
        <v>0.000368325085785997</v>
      </c>
      <c r="CA85" s="273" t="n">
        <f aca="false">IVA!BV85/IVA!CN12</f>
        <v>0.0012046179565935</v>
      </c>
      <c r="CH85" s="13"/>
      <c r="CI85" s="53" t="n">
        <v>2003</v>
      </c>
      <c r="CJ85" s="286" t="n">
        <f aca="false">IVA!CJ61+IVA!CJ37</f>
        <v>0.017595170260361</v>
      </c>
      <c r="CK85" s="286" t="n">
        <f aca="false">IVA!CK61+IVA!CK37</f>
        <v>0.0160955676240776</v>
      </c>
      <c r="CL85" s="286" t="n">
        <f aca="false">IVA!CL61+IVA!CL37</f>
        <v>0.0182371368143102</v>
      </c>
      <c r="CM85" s="287" t="n">
        <f aca="false">IVA!CM61+IVA!CM37</f>
        <v>0.0176517217118109</v>
      </c>
      <c r="CN85" s="288" t="n">
        <f aca="false">IVA!CN61+IVA!CN37</f>
        <v>0.0694939105885458</v>
      </c>
      <c r="CO85" s="63"/>
      <c r="CP85" s="63"/>
      <c r="CQ85" s="13"/>
      <c r="DY85" s="215" t="s">
        <v>547</v>
      </c>
      <c r="EA85" s="195"/>
      <c r="EB85" s="230" t="n">
        <v>49872000</v>
      </c>
      <c r="EC85" s="230" t="n">
        <v>4217258</v>
      </c>
      <c r="ED85" s="230" t="n">
        <v>54089258</v>
      </c>
      <c r="EE85" s="230" t="n">
        <v>52485884.27</v>
      </c>
      <c r="EF85" s="230" t="n">
        <v>52485884.27</v>
      </c>
      <c r="EG85" s="231" t="n">
        <v>41468945.15</v>
      </c>
      <c r="EH85" s="232" t="n">
        <f aca="false">IVA!EF85-IVA!EG85</f>
        <v>11016939.12</v>
      </c>
      <c r="EJ85" s="31" t="n">
        <v>2033</v>
      </c>
      <c r="EK85" s="32" t="n">
        <v>9692.216</v>
      </c>
      <c r="EL85" s="33" t="n">
        <v>8503.251</v>
      </c>
      <c r="EN85" s="122" t="s">
        <v>255</v>
      </c>
    </row>
    <row r="86" customFormat="false" ht="12.75" hidden="false" customHeight="true" outlineLevel="0" collapsed="false">
      <c r="AA86" s="304" t="n">
        <v>2005</v>
      </c>
      <c r="AB86" s="304" t="s">
        <v>539</v>
      </c>
      <c r="AC86" s="313"/>
      <c r="AD86" s="314"/>
      <c r="AE86" s="307" t="n">
        <f aca="false">IVA!AE69*0.2+120000</f>
        <v>456025.777201333</v>
      </c>
      <c r="AF86" s="307" t="n">
        <f aca="false">IVA!AF69*0.2+120000</f>
        <v>481469.981431333</v>
      </c>
      <c r="AG86" s="307" t="n">
        <f aca="false">IVA!AG69*0.2+120000</f>
        <v>456887.681679333</v>
      </c>
      <c r="AH86" s="307" t="n">
        <f aca="false">IVA!AH69*0.2+120000</f>
        <v>501577.622901333</v>
      </c>
      <c r="AI86" s="307" t="n">
        <f aca="false">IVA!AI69*0.2+120000</f>
        <v>852148.725931333</v>
      </c>
      <c r="AJ86" s="307" t="n">
        <f aca="false">IVA!AJ69*0.2+120000</f>
        <v>831355.424161333</v>
      </c>
      <c r="AK86" s="307" t="n">
        <f aca="false">IVA!AK69*0.2+120000</f>
        <v>526578.809381333</v>
      </c>
      <c r="AL86" s="307" t="n">
        <f aca="false">IVA!AL69*0.2+120000</f>
        <v>549084.632547333</v>
      </c>
      <c r="AM86" s="307" t="n">
        <f aca="false">IVA!AM69*0.2+120000</f>
        <v>525356.083493333</v>
      </c>
      <c r="AN86" s="307" t="n">
        <f aca="false">IVA!AN69*0.2+120000</f>
        <v>556366.390697333</v>
      </c>
      <c r="AO86" s="307" t="n">
        <f aca="false">IVA!AO69*0.2+120000</f>
        <v>562336.795003333</v>
      </c>
      <c r="AP86" s="307" t="n">
        <f aca="false">IVA!AP69*0.2+120000</f>
        <v>633891.886079333</v>
      </c>
      <c r="AQ86" s="128" t="n">
        <f aca="false">IVA!AE86+IVA!AF86+IVA!AG86</f>
        <v>1394383.440312</v>
      </c>
      <c r="AR86" s="128" t="n">
        <f aca="false">IVA!AH86+IVA!AI86+IVA!AJ86</f>
        <v>2185081.772994</v>
      </c>
      <c r="AS86" s="128" t="n">
        <f aca="false">IVA!AK86+IVA!AL86+IVA!AM86</f>
        <v>1601019.525422</v>
      </c>
      <c r="AT86" s="128" t="n">
        <f aca="false">IVA!AN86+IVA!AO86+IVA!AP86</f>
        <v>1752595.07178</v>
      </c>
      <c r="AU86" s="129" t="n">
        <f aca="false">IVA!AQ86+IVA!AR86+IVA!AS86+IVA!AT86</f>
        <v>6933079.810508</v>
      </c>
      <c r="AV86" s="130" t="n">
        <f aca="false">IVA!AQ86/IVA!CJ14</f>
        <v>0.00305274373705458</v>
      </c>
      <c r="AW86" s="130" t="n">
        <f aca="false">IVA!AR86/IVA!CK14</f>
        <v>0.00395553037718931</v>
      </c>
      <c r="AX86" s="130" t="n">
        <f aca="false">IVA!AS86/IVA!CL14</f>
        <v>0.00294181672852912</v>
      </c>
      <c r="AY86" s="130" t="n">
        <f aca="false">IVA!AT86/IVA!CM14</f>
        <v>0.0030514347526708</v>
      </c>
      <c r="AZ86" s="271" t="n">
        <f aca="false">IVA!AU86/IVA!CN14</f>
        <v>0.0130336061653447</v>
      </c>
      <c r="BA86" s="266" t="n">
        <v>2004</v>
      </c>
      <c r="BB86" s="352" t="s">
        <v>541</v>
      </c>
      <c r="BC86" s="353"/>
      <c r="BD86" s="353"/>
      <c r="BE86" s="353"/>
      <c r="BF86" s="354" t="n">
        <v>51800.78808</v>
      </c>
      <c r="BG86" s="354" t="n">
        <v>54021.46062</v>
      </c>
      <c r="BH86" s="354" t="n">
        <v>51569.3711</v>
      </c>
      <c r="BI86" s="354" t="n">
        <v>60513.05023</v>
      </c>
      <c r="BJ86" s="354" t="n">
        <v>54964.13187</v>
      </c>
      <c r="BK86" s="354" t="n">
        <v>54658.71604</v>
      </c>
      <c r="BL86" s="354" t="n">
        <v>60844.7277</v>
      </c>
      <c r="BM86" s="354" t="n">
        <v>61940.17736</v>
      </c>
      <c r="BN86" s="354" t="n">
        <v>68110.59253</v>
      </c>
      <c r="BO86" s="354" t="n">
        <v>66852.39386</v>
      </c>
      <c r="BP86" s="354" t="n">
        <v>70272.30562</v>
      </c>
      <c r="BQ86" s="355" t="n">
        <v>76022.6827</v>
      </c>
      <c r="BR86" s="175" t="n">
        <f aca="false">IVA!BF86+IVA!BG86+IVA!BH86</f>
        <v>157391.6198</v>
      </c>
      <c r="BS86" s="175" t="n">
        <f aca="false">IVA!BI86+IVA!BJ86+IVA!BK86</f>
        <v>170135.89814</v>
      </c>
      <c r="BT86" s="175" t="n">
        <f aca="false">IVA!BL86+IVA!BM86+IVA!BN86</f>
        <v>190895.49759</v>
      </c>
      <c r="BU86" s="176" t="n">
        <f aca="false">IVA!BO86+IVA!BP86+IVA!BQ86</f>
        <v>213147.38218</v>
      </c>
      <c r="BV86" s="137" t="n">
        <f aca="false">IVA!BR86+IVA!BS86+IVA!BT86+IVA!BU86</f>
        <v>731570.39771</v>
      </c>
      <c r="BW86" s="138" t="n">
        <f aca="false">IVA!BR86/IVA!CJ13</f>
        <v>0.000400674155650086</v>
      </c>
      <c r="BX86" s="139" t="n">
        <f aca="false">IVA!BS86/IVA!CK13</f>
        <v>0.000358775211593353</v>
      </c>
      <c r="BY86" s="138" t="n">
        <f aca="false">IVA!BT86/IVA!CL13</f>
        <v>0.000422260749285117</v>
      </c>
      <c r="BZ86" s="138" t="n">
        <f aca="false">IVA!BU86/IVA!CM13</f>
        <v>0.000452097286894911</v>
      </c>
      <c r="CA86" s="273" t="n">
        <f aca="false">IVA!BV86/IVA!CN13</f>
        <v>0.00163427039425645</v>
      </c>
      <c r="CH86" s="13"/>
      <c r="CI86" s="53" t="n">
        <v>2004</v>
      </c>
      <c r="CJ86" s="286" t="n">
        <f aca="false">IVA!CJ62+IVA!CJ38</f>
        <v>0.0198697332771617</v>
      </c>
      <c r="CK86" s="286" t="n">
        <f aca="false">IVA!CK62+IVA!CK38</f>
        <v>0.0203216267315042</v>
      </c>
      <c r="CL86" s="286" t="n">
        <f aca="false">IVA!CL62+IVA!CL38</f>
        <v>0.0204123202296991</v>
      </c>
      <c r="CM86" s="287" t="n">
        <f aca="false">IVA!CM62+IVA!CM38</f>
        <v>0.0185938760912433</v>
      </c>
      <c r="CN86" s="288" t="n">
        <f aca="false">IVA!CN62+IVA!CN38</f>
        <v>0.0791618451033531</v>
      </c>
      <c r="CO86" s="63"/>
      <c r="CP86" s="63"/>
      <c r="CQ86" s="13"/>
      <c r="DY86" s="222" t="s">
        <v>548</v>
      </c>
      <c r="DZ86" s="223"/>
      <c r="EA86" s="206"/>
      <c r="EB86" s="236" t="n">
        <v>101813838000</v>
      </c>
      <c r="EC86" s="236" t="n">
        <v>18514667599</v>
      </c>
      <c r="ED86" s="236" t="n">
        <v>120328505599</v>
      </c>
      <c r="EE86" s="236" t="n">
        <v>117239868005.78</v>
      </c>
      <c r="EF86" s="236" t="n">
        <v>117232071140.1</v>
      </c>
      <c r="EG86" s="237" t="n">
        <v>116912522427.76</v>
      </c>
      <c r="EH86" s="238" t="n">
        <f aca="false">IVA!EF86-IVA!EG86</f>
        <v>319548712.340012</v>
      </c>
      <c r="EJ86" s="31" t="n">
        <v>2034</v>
      </c>
      <c r="EK86" s="32" t="n">
        <v>9895.02</v>
      </c>
      <c r="EL86" s="33" t="n">
        <v>8670.833</v>
      </c>
      <c r="EN86" s="122" t="s">
        <v>270</v>
      </c>
    </row>
    <row r="87" customFormat="false" ht="12.75" hidden="false" customHeight="true" outlineLevel="0" collapsed="false">
      <c r="AA87" s="304" t="n">
        <v>2006</v>
      </c>
      <c r="AB87" s="304" t="s">
        <v>539</v>
      </c>
      <c r="AC87" s="313"/>
      <c r="AD87" s="314"/>
      <c r="AE87" s="307" t="n">
        <f aca="false">IVA!AE70*0.2+120000</f>
        <v>591788.251075333</v>
      </c>
      <c r="AF87" s="307" t="n">
        <f aca="false">IVA!AF70*0.2+120000</f>
        <v>570591.453751333</v>
      </c>
      <c r="AG87" s="307" t="n">
        <f aca="false">IVA!AG70*0.2+120000</f>
        <v>507820.168027333</v>
      </c>
      <c r="AH87" s="307" t="n">
        <f aca="false">IVA!AH70*0.2+120000</f>
        <v>387292.738935333</v>
      </c>
      <c r="AI87" s="307" t="n">
        <f aca="false">IVA!AI70*0.2+120000</f>
        <v>954727.915877333</v>
      </c>
      <c r="AJ87" s="307" t="n">
        <f aca="false">IVA!AJ70*0.2+120000</f>
        <v>1004932.36952533</v>
      </c>
      <c r="AK87" s="307" t="n">
        <f aca="false">IVA!AK70*0.2+120000</f>
        <v>635244.077727333</v>
      </c>
      <c r="AL87" s="307" t="n">
        <f aca="false">IVA!AL70*0.2+120000</f>
        <v>682878.142183333</v>
      </c>
      <c r="AM87" s="307" t="n">
        <f aca="false">IVA!AM70*0.2+120000</f>
        <v>622463.050451333</v>
      </c>
      <c r="AN87" s="307" t="n">
        <f aca="false">IVA!AN70*0.2+120000</f>
        <v>662592.467203333</v>
      </c>
      <c r="AO87" s="307" t="n">
        <f aca="false">IVA!AO70*0.2+120000</f>
        <v>743007.803737333</v>
      </c>
      <c r="AP87" s="307" t="n">
        <f aca="false">IVA!AP70*0.2+120000</f>
        <v>683679.976823333</v>
      </c>
      <c r="AQ87" s="128" t="n">
        <f aca="false">IVA!AE87+IVA!AF87+IVA!AG87</f>
        <v>1670199.872854</v>
      </c>
      <c r="AR87" s="128" t="n">
        <f aca="false">IVA!AH87+IVA!AI87+IVA!AJ87</f>
        <v>2346953.024338</v>
      </c>
      <c r="AS87" s="128" t="n">
        <f aca="false">IVA!AK87+IVA!AL87+IVA!AM87</f>
        <v>1940585.270362</v>
      </c>
      <c r="AT87" s="128" t="n">
        <f aca="false">IVA!AN87+IVA!AO87+IVA!AP87</f>
        <v>2089280.247764</v>
      </c>
      <c r="AU87" s="129" t="n">
        <f aca="false">IVA!AQ87+IVA!AR87+IVA!AS87+IVA!AT87</f>
        <v>8047018.415318</v>
      </c>
      <c r="AV87" s="130" t="n">
        <f aca="false">IVA!AQ87/IVA!CJ15</f>
        <v>0.00294052379576897</v>
      </c>
      <c r="AW87" s="130" t="n">
        <f aca="false">IVA!AR87/IVA!CK15</f>
        <v>0.00346016143790122</v>
      </c>
      <c r="AX87" s="130" t="n">
        <f aca="false">IVA!AS87/IVA!CL15</f>
        <v>0.0029042102925033</v>
      </c>
      <c r="AY87" s="130" t="n">
        <f aca="false">IVA!AT87/IVA!CM15</f>
        <v>0.00297074089763241</v>
      </c>
      <c r="AZ87" s="271" t="n">
        <f aca="false">IVA!AU87/IVA!CN15</f>
        <v>0.0122960560062916</v>
      </c>
      <c r="BA87" s="266" t="n">
        <v>2005</v>
      </c>
      <c r="BB87" s="352" t="s">
        <v>541</v>
      </c>
      <c r="BC87" s="353"/>
      <c r="BD87" s="353"/>
      <c r="BE87" s="353"/>
      <c r="BF87" s="354" t="n">
        <f aca="false">(85571.35118)*0.9833</f>
        <v>84142.309615294</v>
      </c>
      <c r="BG87" s="354" t="n">
        <v>63193.94670803</v>
      </c>
      <c r="BH87" s="354" t="n">
        <v>61005.74481188</v>
      </c>
      <c r="BI87" s="354" t="n">
        <v>72480.478362342</v>
      </c>
      <c r="BJ87" s="354" t="n">
        <v>68713.190404181</v>
      </c>
      <c r="BK87" s="354" t="n">
        <v>74561.540706631</v>
      </c>
      <c r="BL87" s="354" t="n">
        <v>78541.49792942</v>
      </c>
      <c r="BM87" s="354" t="n">
        <v>78432.729845932</v>
      </c>
      <c r="BN87" s="354" t="n">
        <v>90592.760073544</v>
      </c>
      <c r="BO87" s="354" t="n">
        <v>82789.803563011</v>
      </c>
      <c r="BP87" s="354" t="n">
        <v>93127.74849682</v>
      </c>
      <c r="BQ87" s="355" t="n">
        <v>102026.081000538</v>
      </c>
      <c r="BR87" s="175" t="n">
        <f aca="false">IVA!BF87+IVA!BG87+IVA!BH87</f>
        <v>208342.001135204</v>
      </c>
      <c r="BS87" s="175" t="n">
        <f aca="false">IVA!BI87+IVA!BJ87+IVA!BK87</f>
        <v>215755.209473154</v>
      </c>
      <c r="BT87" s="175" t="n">
        <f aca="false">IVA!BL87+IVA!BM87+IVA!BN87</f>
        <v>247566.987848896</v>
      </c>
      <c r="BU87" s="176" t="n">
        <f aca="false">IVA!BO87+IVA!BP87+IVA!BQ87</f>
        <v>277943.633060369</v>
      </c>
      <c r="BV87" s="137" t="n">
        <f aca="false">IVA!BR87+IVA!BS87+IVA!BT87+IVA!BU87</f>
        <v>949607.831517623</v>
      </c>
      <c r="BW87" s="138" t="n">
        <f aca="false">IVA!BR87/IVA!CJ14</f>
        <v>0.000456126142023461</v>
      </c>
      <c r="BX87" s="139" t="n">
        <f aca="false">IVA!BS87/IVA!CK14</f>
        <v>0.000390569495226963</v>
      </c>
      <c r="BY87" s="138" t="n">
        <f aca="false">IVA!BT87/IVA!CL14</f>
        <v>0.000454895580423032</v>
      </c>
      <c r="BZ87" s="138" t="n">
        <f aca="false">IVA!BU87/IVA!CM14</f>
        <v>0.000483926307257387</v>
      </c>
      <c r="CA87" s="273" t="n">
        <f aca="false">IVA!BV87/IVA!CN14</f>
        <v>0.001785182750784</v>
      </c>
      <c r="CH87" s="13"/>
      <c r="CI87" s="53" t="n">
        <v>2005</v>
      </c>
      <c r="CJ87" s="286" t="n">
        <f aca="false">IVA!CJ63+IVA!CJ39</f>
        <v>0.0213106874391727</v>
      </c>
      <c r="CK87" s="286" t="n">
        <f aca="false">IVA!CK63+IVA!CK39</f>
        <v>0.0198031386553554</v>
      </c>
      <c r="CL87" s="286" t="n">
        <f aca="false">IVA!CL63+IVA!CL39</f>
        <v>0.0210417404780214</v>
      </c>
      <c r="CM87" s="287" t="n">
        <f aca="false">IVA!CM63+IVA!CM39</f>
        <v>0.0207941201784818</v>
      </c>
      <c r="CN87" s="288" t="n">
        <f aca="false">IVA!CN63+IVA!CN39</f>
        <v>0.0828442747608365</v>
      </c>
      <c r="CO87" s="63"/>
      <c r="CP87" s="63"/>
      <c r="CQ87" s="13"/>
      <c r="DY87" s="177" t="s">
        <v>163</v>
      </c>
      <c r="DZ87" s="45"/>
      <c r="EA87" s="210" t="n">
        <v>2011</v>
      </c>
      <c r="EB87" s="227" t="n">
        <v>145575567700</v>
      </c>
      <c r="EC87" s="227" t="n">
        <v>20368403696</v>
      </c>
      <c r="ED87" s="227" t="n">
        <v>165943971396</v>
      </c>
      <c r="EE87" s="227" t="n">
        <v>161658591944.07</v>
      </c>
      <c r="EF87" s="227" t="n">
        <v>161637632169</v>
      </c>
      <c r="EG87" s="228" t="n">
        <v>161163243971.94</v>
      </c>
      <c r="EH87" s="229" t="n">
        <f aca="false">IVA!EF87-IVA!EG87</f>
        <v>474388197.059998</v>
      </c>
      <c r="EJ87" s="31" t="n">
        <v>2035</v>
      </c>
      <c r="EK87" s="32" t="n">
        <v>10107.935</v>
      </c>
      <c r="EL87" s="33" t="n">
        <v>8840.786</v>
      </c>
      <c r="EN87" s="122" t="s">
        <v>287</v>
      </c>
    </row>
    <row r="88" customFormat="false" ht="12.75" hidden="false" customHeight="true" outlineLevel="0" collapsed="false">
      <c r="AA88" s="304" t="n">
        <v>2007</v>
      </c>
      <c r="AB88" s="304" t="s">
        <v>539</v>
      </c>
      <c r="AC88" s="313"/>
      <c r="AD88" s="314"/>
      <c r="AE88" s="307" t="n">
        <f aca="false">IVA!AE71*0.2+120000</f>
        <v>710551.705431333</v>
      </c>
      <c r="AF88" s="307" t="n">
        <f aca="false">IVA!AF71*0.2+120000</f>
        <v>647290.587511333</v>
      </c>
      <c r="AG88" s="307" t="n">
        <f aca="false">IVA!AG71*0.2+120000</f>
        <v>618474.508647333</v>
      </c>
      <c r="AH88" s="307" t="n">
        <f aca="false">IVA!AH71*0.2+120000</f>
        <v>536709.700467333</v>
      </c>
      <c r="AI88" s="307" t="n">
        <f aca="false">IVA!AI71*0.2+120000</f>
        <v>1174789.91908933</v>
      </c>
      <c r="AJ88" s="307" t="n">
        <f aca="false">IVA!AJ71*0.2+120000</f>
        <v>1200881.70054533</v>
      </c>
      <c r="AK88" s="307" t="n">
        <f aca="false">IVA!AK71*0.2+120000</f>
        <v>789382.326361333</v>
      </c>
      <c r="AL88" s="307" t="n">
        <f aca="false">IVA!AL71*0.2+120000</f>
        <v>874062.172041333</v>
      </c>
      <c r="AM88" s="307" t="n">
        <f aca="false">IVA!AM71*0.2+120000</f>
        <v>819751.755007333</v>
      </c>
      <c r="AN88" s="307" t="n">
        <f aca="false">IVA!AN71*0.2+120000</f>
        <v>777897.715815333</v>
      </c>
      <c r="AO88" s="307" t="n">
        <f aca="false">IVA!AO71*0.2+120000</f>
        <v>851935.742051333</v>
      </c>
      <c r="AP88" s="307" t="n">
        <f aca="false">IVA!AP71*0.2+120000</f>
        <v>893253.252399333</v>
      </c>
      <c r="AQ88" s="128" t="n">
        <f aca="false">IVA!AE88+IVA!AF88+IVA!AG88</f>
        <v>1976316.80159</v>
      </c>
      <c r="AR88" s="128" t="n">
        <f aca="false">IVA!AH88+IVA!AI88+IVA!AJ88</f>
        <v>2912381.320102</v>
      </c>
      <c r="AS88" s="128" t="n">
        <f aca="false">IVA!AK88+IVA!AL88+IVA!AM88</f>
        <v>2483196.25341</v>
      </c>
      <c r="AT88" s="128" t="n">
        <f aca="false">IVA!AN88+IVA!AO88+IVA!AP88</f>
        <v>2523086.710266</v>
      </c>
      <c r="AU88" s="129" t="n">
        <f aca="false">IVA!AQ88+IVA!AR88+IVA!AS88+IVA!AT88</f>
        <v>9894981.085368</v>
      </c>
      <c r="AV88" s="130" t="n">
        <f aca="false">IVA!AQ88/IVA!CJ16</f>
        <v>0.00290156918250822</v>
      </c>
      <c r="AW88" s="130" t="n">
        <f aca="false">IVA!AR88/IVA!CK16</f>
        <v>0.00348735863185265</v>
      </c>
      <c r="AX88" s="130" t="n">
        <f aca="false">IVA!AS88/IVA!CL16</f>
        <v>0.00300097557644269</v>
      </c>
      <c r="AY88" s="130" t="n">
        <f aca="false">IVA!AT88/IVA!CM16</f>
        <v>0.00278451071121173</v>
      </c>
      <c r="AZ88" s="271" t="n">
        <f aca="false">IVA!AU88/IVA!CN16</f>
        <v>0.0121791003782903</v>
      </c>
      <c r="BA88" s="266" t="n">
        <v>2006</v>
      </c>
      <c r="BB88" s="352" t="s">
        <v>541</v>
      </c>
      <c r="BC88" s="353"/>
      <c r="BD88" s="353"/>
      <c r="BE88" s="353"/>
      <c r="BF88" s="354" t="n">
        <v>104062.07311085</v>
      </c>
      <c r="BG88" s="354" t="n">
        <v>92833.379303275</v>
      </c>
      <c r="BH88" s="354" t="n">
        <v>102536.947809432</v>
      </c>
      <c r="BI88" s="354" t="n">
        <v>114834.380740834</v>
      </c>
      <c r="BJ88" s="354" t="n">
        <v>115547.507816882</v>
      </c>
      <c r="BK88" s="354" t="n">
        <v>121526.655348044</v>
      </c>
      <c r="BL88" s="354" t="n">
        <v>113264.070414997</v>
      </c>
      <c r="BM88" s="354" t="n">
        <v>116322.493047139</v>
      </c>
      <c r="BN88" s="354" t="n">
        <v>113227.50808594</v>
      </c>
      <c r="BO88" s="354" t="n">
        <v>115055.486139315</v>
      </c>
      <c r="BP88" s="354" t="n">
        <v>124456.204027276</v>
      </c>
      <c r="BQ88" s="355" t="n">
        <v>126275.066584828</v>
      </c>
      <c r="BR88" s="175" t="n">
        <f aca="false">IVA!BF88+IVA!BG88+IVA!BH88</f>
        <v>299432.400223557</v>
      </c>
      <c r="BS88" s="175" t="n">
        <f aca="false">IVA!BI88+IVA!BJ88+IVA!BK88</f>
        <v>351908.54390576</v>
      </c>
      <c r="BT88" s="175" t="n">
        <f aca="false">IVA!BL88+IVA!BM88+IVA!BN88</f>
        <v>342814.071548076</v>
      </c>
      <c r="BU88" s="176" t="n">
        <f aca="false">IVA!BO88+IVA!BP88+IVA!BQ88</f>
        <v>365786.756751419</v>
      </c>
      <c r="BV88" s="137" t="n">
        <f aca="false">IVA!BR88+IVA!BS88+IVA!BT88+IVA!BU88</f>
        <v>1359941.77242881</v>
      </c>
      <c r="BW88" s="138" t="n">
        <f aca="false">IVA!BR88/IVA!CJ15</f>
        <v>0.000527175287456482</v>
      </c>
      <c r="BX88" s="139" t="n">
        <f aca="false">IVA!BS88/IVA!CK15</f>
        <v>0.000518826052615239</v>
      </c>
      <c r="BY88" s="138" t="n">
        <f aca="false">IVA!BT88/IVA!CL15</f>
        <v>0.0005130432402072</v>
      </c>
      <c r="BZ88" s="138" t="n">
        <f aca="false">IVA!BU88/IVA!CM15</f>
        <v>0.000520111018738021</v>
      </c>
      <c r="CA88" s="273" t="n">
        <f aca="false">IVA!BV88/IVA!CN15</f>
        <v>0.00207802683379585</v>
      </c>
      <c r="CH88" s="13"/>
      <c r="CI88" s="53" t="n">
        <v>2006</v>
      </c>
      <c r="CJ88" s="286" t="n">
        <f aca="false">IVA!CJ64+IVA!CJ40</f>
        <v>0.0227795573519882</v>
      </c>
      <c r="CK88" s="286" t="n">
        <f aca="false">IVA!CK64+IVA!CK40</f>
        <v>0.0205989040725575</v>
      </c>
      <c r="CL88" s="286" t="n">
        <f aca="false">IVA!CL64+IVA!CL40</f>
        <v>0.0224977465047912</v>
      </c>
      <c r="CM88" s="287" t="n">
        <f aca="false">IVA!CM64+IVA!CM40</f>
        <v>0.0222191291341171</v>
      </c>
      <c r="CN88" s="288" t="n">
        <f aca="false">IVA!CN64+IVA!CN40</f>
        <v>0.0879681360881104</v>
      </c>
      <c r="CO88" s="63"/>
      <c r="CP88" s="63"/>
      <c r="CQ88" s="13"/>
      <c r="DY88" s="215" t="s">
        <v>549</v>
      </c>
      <c r="EA88" s="179"/>
      <c r="EB88" s="230" t="n">
        <v>2566627915</v>
      </c>
      <c r="EC88" s="230" t="n">
        <v>569124562</v>
      </c>
      <c r="ED88" s="230" t="n">
        <v>3135752477</v>
      </c>
      <c r="EE88" s="230" t="n">
        <v>3071353160.36</v>
      </c>
      <c r="EF88" s="230" t="n">
        <v>3070205746.14</v>
      </c>
      <c r="EG88" s="231" t="n">
        <v>2960961982.74</v>
      </c>
      <c r="EH88" s="232" t="n">
        <f aca="false">IVA!EF88-IVA!EG88</f>
        <v>109243763.4</v>
      </c>
      <c r="EJ88" s="31" t="n">
        <v>2036</v>
      </c>
      <c r="EK88" s="32" t="n">
        <v>10343.839</v>
      </c>
      <c r="EL88" s="33" t="n">
        <v>9028.287</v>
      </c>
      <c r="EN88" s="122" t="s">
        <v>304</v>
      </c>
    </row>
    <row r="89" customFormat="false" ht="12.75" hidden="false" customHeight="true" outlineLevel="0" collapsed="false">
      <c r="AA89" s="304" t="n">
        <v>2008</v>
      </c>
      <c r="AB89" s="304" t="s">
        <v>539</v>
      </c>
      <c r="AC89" s="313"/>
      <c r="AD89" s="314"/>
      <c r="AE89" s="307" t="n">
        <f aca="false">IVA!AE72*0.2+120000</f>
        <v>898408.622341333</v>
      </c>
      <c r="AF89" s="307" t="n">
        <f aca="false">IVA!AF72*0.2+120000</f>
        <v>871026.076971333</v>
      </c>
      <c r="AG89" s="307" t="n">
        <f aca="false">IVA!AG72*0.2+120000</f>
        <v>720136.317259333</v>
      </c>
      <c r="AH89" s="307" t="n">
        <f aca="false">IVA!AH72*0.2+120000</f>
        <v>715184.524047333</v>
      </c>
      <c r="AI89" s="307" t="n">
        <f aca="false">IVA!AI72*0.2+120000</f>
        <v>1165480.74871533</v>
      </c>
      <c r="AJ89" s="307" t="n">
        <f aca="false">IVA!AJ72*0.2+120000</f>
        <v>1444646.40270733</v>
      </c>
      <c r="AK89" s="307" t="n">
        <f aca="false">IVA!AK72*0.2+120000</f>
        <v>1076118.31841133</v>
      </c>
      <c r="AL89" s="307" t="n">
        <f aca="false">IVA!AL72*0.2+120000</f>
        <v>1104759.93456533</v>
      </c>
      <c r="AM89" s="307" t="n">
        <f aca="false">IVA!AM72*0.2+120000</f>
        <v>989871.853443333</v>
      </c>
      <c r="AN89" s="307" t="n">
        <f aca="false">IVA!AN72*0.2+120000</f>
        <v>1046827.08366333</v>
      </c>
      <c r="AO89" s="307" t="n">
        <f aca="false">IVA!AO72*0.2+120000</f>
        <v>945829.418943334</v>
      </c>
      <c r="AP89" s="307" t="n">
        <f aca="false">IVA!AP72*0.2+120000</f>
        <v>1074910.78317333</v>
      </c>
      <c r="AQ89" s="128" t="n">
        <f aca="false">IVA!AE89+IVA!AF89+IVA!AG89</f>
        <v>2489571.016572</v>
      </c>
      <c r="AR89" s="128" t="n">
        <f aca="false">IVA!AH89+IVA!AI89+IVA!AJ89</f>
        <v>3325311.67547</v>
      </c>
      <c r="AS89" s="128" t="n">
        <f aca="false">IVA!AK89+IVA!AL89+IVA!AM89</f>
        <v>3170750.10642</v>
      </c>
      <c r="AT89" s="128" t="n">
        <f aca="false">IVA!AN89+IVA!AO89+IVA!AP89</f>
        <v>3067567.28578</v>
      </c>
      <c r="AU89" s="129" t="n">
        <f aca="false">IVA!AQ89+IVA!AR89+IVA!AS89+IVA!AT89</f>
        <v>12053200.084242</v>
      </c>
      <c r="AV89" s="130" t="n">
        <f aca="false">IVA!AQ89/IVA!CJ17</f>
        <v>0.00280469852921952</v>
      </c>
      <c r="AW89" s="130" t="n">
        <f aca="false">IVA!AR89/IVA!CK17</f>
        <v>0.00300133865607493</v>
      </c>
      <c r="AX89" s="130" t="n">
        <f aca="false">IVA!AS89/IVA!CL17</f>
        <v>0.00299820124567502</v>
      </c>
      <c r="AY89" s="130" t="n">
        <f aca="false">IVA!AT89/IVA!CM17</f>
        <v>0.00284588325609292</v>
      </c>
      <c r="AZ89" s="271" t="n">
        <f aca="false">IVA!AU89/IVA!CN17</f>
        <v>0.0116708852260084</v>
      </c>
      <c r="BA89" s="266" t="n">
        <v>2007</v>
      </c>
      <c r="BB89" s="352" t="s">
        <v>541</v>
      </c>
      <c r="BC89" s="353"/>
      <c r="BD89" s="353"/>
      <c r="BE89" s="353"/>
      <c r="BF89" s="354" t="n">
        <v>137941.799057298</v>
      </c>
      <c r="BG89" s="354" t="n">
        <v>132423.830160432</v>
      </c>
      <c r="BH89" s="354" t="n">
        <v>127661.146235651</v>
      </c>
      <c r="BI89" s="354" t="n">
        <v>115635.594082639</v>
      </c>
      <c r="BJ89" s="354" t="n">
        <v>125261.318493835</v>
      </c>
      <c r="BK89" s="354" t="n">
        <v>128194.491931523</v>
      </c>
      <c r="BL89" s="354" t="n">
        <v>123439.58990194</v>
      </c>
      <c r="BM89" s="354" t="n">
        <v>134554.180958036</v>
      </c>
      <c r="BN89" s="354" t="n">
        <v>154584.231293095</v>
      </c>
      <c r="BO89" s="354" t="n">
        <v>156100.453579987</v>
      </c>
      <c r="BP89" s="354" t="n">
        <v>183503.542550227</v>
      </c>
      <c r="BQ89" s="355" t="n">
        <v>159006.426874745</v>
      </c>
      <c r="BR89" s="175" t="n">
        <f aca="false">IVA!BF89+IVA!BG89+IVA!BH89</f>
        <v>398026.775453381</v>
      </c>
      <c r="BS89" s="175" t="n">
        <f aca="false">IVA!BI89+IVA!BJ89+IVA!BK89</f>
        <v>369091.404507997</v>
      </c>
      <c r="BT89" s="175" t="n">
        <f aca="false">IVA!BL89+IVA!BM89+IVA!BN89</f>
        <v>412578.002153071</v>
      </c>
      <c r="BU89" s="176" t="n">
        <f aca="false">IVA!BO89+IVA!BP89+IVA!BQ89</f>
        <v>498610.423004959</v>
      </c>
      <c r="BV89" s="137" t="n">
        <f aca="false">IVA!BR89+IVA!BS89+IVA!BT89+IVA!BU89</f>
        <v>1678306.60511941</v>
      </c>
      <c r="BW89" s="138" t="n">
        <f aca="false">IVA!BR89/IVA!CJ16</f>
        <v>0.000584370999902192</v>
      </c>
      <c r="BX89" s="139" t="n">
        <f aca="false">IVA!BS89/IVA!CK16</f>
        <v>0.000441959329490721</v>
      </c>
      <c r="BY89" s="138" t="n">
        <f aca="false">IVA!BT89/IVA!CL16</f>
        <v>0.000498605982567282</v>
      </c>
      <c r="BZ89" s="138" t="n">
        <f aca="false">IVA!BU89/IVA!CM16</f>
        <v>0.000550272829677245</v>
      </c>
      <c r="CA89" s="273" t="n">
        <f aca="false">IVA!BV89/IVA!CN16</f>
        <v>0.00206572043270729</v>
      </c>
      <c r="CH89" s="13"/>
      <c r="CI89" s="53" t="n">
        <v>2007</v>
      </c>
      <c r="CJ89" s="286" t="n">
        <f aca="false">IVA!CJ65+IVA!CJ41</f>
        <v>0.02567294501916</v>
      </c>
      <c r="CK89" s="286" t="n">
        <f aca="false">IVA!CK65+IVA!CK41</f>
        <v>0.0224849100418928</v>
      </c>
      <c r="CL89" s="286" t="n">
        <f aca="false">IVA!CL65+IVA!CL41</f>
        <v>0.0251370178903583</v>
      </c>
      <c r="CM89" s="287" t="n">
        <f aca="false">IVA!CM65+IVA!CM41</f>
        <v>0.0229924539360864</v>
      </c>
      <c r="CN89" s="288" t="n">
        <f aca="false">IVA!CN65+IVA!CN41</f>
        <v>0.0958794657551259</v>
      </c>
      <c r="CO89" s="63"/>
      <c r="CP89" s="63"/>
      <c r="CQ89" s="13"/>
      <c r="DY89" s="215" t="s">
        <v>550</v>
      </c>
      <c r="EA89" s="195"/>
      <c r="EB89" s="230" t="n">
        <v>61086000</v>
      </c>
      <c r="EC89" s="230" t="n">
        <v>5727200</v>
      </c>
      <c r="ED89" s="230" t="n">
        <v>66813200</v>
      </c>
      <c r="EE89" s="230" t="n">
        <v>62687653.93</v>
      </c>
      <c r="EF89" s="230" t="n">
        <v>59102933.33</v>
      </c>
      <c r="EG89" s="231" t="n">
        <v>52623487.9</v>
      </c>
      <c r="EH89" s="232" t="n">
        <f aca="false">IVA!EF89-IVA!EG89</f>
        <v>6479445.43</v>
      </c>
      <c r="EJ89" s="31" t="n">
        <v>2037</v>
      </c>
      <c r="EK89" s="32" t="n">
        <v>10589.349</v>
      </c>
      <c r="EL89" s="33" t="n">
        <v>9216.445</v>
      </c>
      <c r="EN89" s="122" t="s">
        <v>321</v>
      </c>
    </row>
    <row r="90" customFormat="false" ht="12.75" hidden="false" customHeight="true" outlineLevel="0" collapsed="false">
      <c r="AA90" s="304" t="n">
        <v>2009</v>
      </c>
      <c r="AB90" s="304" t="s">
        <v>539</v>
      </c>
      <c r="AC90" s="313"/>
      <c r="AD90" s="314"/>
      <c r="AE90" s="307" t="n">
        <f aca="false">IVA!AE73*0.2+120000</f>
        <v>900351.533333333</v>
      </c>
      <c r="AF90" s="307" t="n">
        <f aca="false">IVA!AF73*0.2+120000</f>
        <v>861243.733333333</v>
      </c>
      <c r="AG90" s="307" t="n">
        <f aca="false">IVA!AG73*0.2+120000</f>
        <v>785258.133333333</v>
      </c>
      <c r="AH90" s="307" t="n">
        <f aca="false">IVA!AH73*0.2+120000</f>
        <v>732990.533333333</v>
      </c>
      <c r="AI90" s="307" t="n">
        <f aca="false">IVA!AI73*0.2+120000</f>
        <v>1413981.33333333</v>
      </c>
      <c r="AJ90" s="307" t="n">
        <f aca="false">IVA!AJ73*0.2+120000</f>
        <v>1365310.73333333</v>
      </c>
      <c r="AK90" s="307" t="n">
        <f aca="false">IVA!AK73*0.2+120000</f>
        <v>995211.933333333</v>
      </c>
      <c r="AL90" s="307" t="n">
        <f aca="false">IVA!AL73*0.2+120000</f>
        <v>1043591.33333333</v>
      </c>
      <c r="AM90" s="307" t="n">
        <f aca="false">IVA!AM73*0.2+120000</f>
        <v>963304.933333333</v>
      </c>
      <c r="AN90" s="307" t="n">
        <f aca="false">IVA!AN73*0.2+120000</f>
        <v>1090757.73333333</v>
      </c>
      <c r="AO90" s="307" t="n">
        <f aca="false">IVA!AO73*0.2+120000</f>
        <v>1106663.93333333</v>
      </c>
      <c r="AP90" s="307" t="n">
        <f aca="false">IVA!AP73*0.2+120000</f>
        <v>1175785.33333333</v>
      </c>
      <c r="AQ90" s="128" t="n">
        <f aca="false">IVA!AE90+IVA!AF90+IVA!AG90</f>
        <v>2546853.4</v>
      </c>
      <c r="AR90" s="128" t="n">
        <f aca="false">IVA!AH90+IVA!AI90+IVA!AJ90</f>
        <v>3512282.6</v>
      </c>
      <c r="AS90" s="128" t="n">
        <f aca="false">IVA!AK90+IVA!AL90+IVA!AM90</f>
        <v>3002108.2</v>
      </c>
      <c r="AT90" s="128" t="n">
        <f aca="false">IVA!AN90+IVA!AO90+IVA!AP90</f>
        <v>3373207</v>
      </c>
      <c r="AU90" s="129" t="n">
        <f aca="false">IVA!AQ90+IVA!AR90+IVA!AS90+IVA!AT90</f>
        <v>12434451.2</v>
      </c>
      <c r="AV90" s="130" t="n">
        <f aca="false">IVA!AQ90/IVA!CJ18</f>
        <v>0.00256490520281743</v>
      </c>
      <c r="AW90" s="130" t="n">
        <f aca="false">IVA!AR90/IVA!CK18</f>
        <v>0.00293823287701204</v>
      </c>
      <c r="AX90" s="130" t="n">
        <f aca="false">IVA!AS90/IVA!CL18</f>
        <v>0.00256855003460385</v>
      </c>
      <c r="AY90" s="130" t="n">
        <f aca="false">IVA!AT90/IVA!CM18</f>
        <v>0.00275430445801148</v>
      </c>
      <c r="AZ90" s="271" t="n">
        <f aca="false">IVA!AU90/IVA!CN18</f>
        <v>0.0108554373434868</v>
      </c>
      <c r="BA90" s="266" t="n">
        <v>2008</v>
      </c>
      <c r="BB90" s="352" t="s">
        <v>541</v>
      </c>
      <c r="BC90" s="353"/>
      <c r="BD90" s="353"/>
      <c r="BE90" s="353"/>
      <c r="BF90" s="354" t="n">
        <v>176762.79057454</v>
      </c>
      <c r="BG90" s="354" t="n">
        <v>157231.797330218</v>
      </c>
      <c r="BH90" s="354" t="n">
        <v>129382.73878077</v>
      </c>
      <c r="BI90" s="354" t="n">
        <v>183023.543603096</v>
      </c>
      <c r="BJ90" s="354" t="n">
        <v>161762.00973449</v>
      </c>
      <c r="BK90" s="354" t="n">
        <v>146257.500469892</v>
      </c>
      <c r="BL90" s="354" t="n">
        <v>153486.373145887</v>
      </c>
      <c r="BM90" s="354" t="n">
        <v>162960.630025083</v>
      </c>
      <c r="BN90" s="354" t="n">
        <v>161147.562536248</v>
      </c>
      <c r="BO90" s="354" t="n">
        <v>178538.463557695</v>
      </c>
      <c r="BP90" s="354" t="n">
        <v>182317.034185213</v>
      </c>
      <c r="BQ90" s="355" t="n">
        <v>163193.204241444</v>
      </c>
      <c r="BR90" s="175" t="n">
        <f aca="false">IVA!BF90+IVA!BG90+IVA!BH90</f>
        <v>463377.326685528</v>
      </c>
      <c r="BS90" s="175" t="n">
        <f aca="false">IVA!BI90+IVA!BJ90+IVA!BK90</f>
        <v>491043.053807478</v>
      </c>
      <c r="BT90" s="175" t="n">
        <f aca="false">IVA!BL90+IVA!BM90+IVA!BN90</f>
        <v>477594.565707218</v>
      </c>
      <c r="BU90" s="176" t="n">
        <f aca="false">IVA!BO90+IVA!BP90+IVA!BQ90</f>
        <v>524048.701984352</v>
      </c>
      <c r="BV90" s="137" t="n">
        <f aca="false">IVA!BR90+IVA!BS90+IVA!BT90+IVA!BU90</f>
        <v>1956063.64818458</v>
      </c>
      <c r="BW90" s="138" t="n">
        <f aca="false">IVA!BR90/IVA!CJ17</f>
        <v>0.000522031184480166</v>
      </c>
      <c r="BX90" s="139" t="n">
        <f aca="false">IVA!BS90/IVA!CK17</f>
        <v>0.000443202515439747</v>
      </c>
      <c r="BY90" s="138" t="n">
        <f aca="false">IVA!BT90/IVA!CL17</f>
        <v>0.000451604375548771</v>
      </c>
      <c r="BZ90" s="138" t="n">
        <f aca="false">IVA!BU90/IVA!CM17</f>
        <v>0.000486177249727475</v>
      </c>
      <c r="CA90" s="273" t="n">
        <f aca="false">IVA!BV90/IVA!CN17</f>
        <v>0.00189401936192659</v>
      </c>
      <c r="CH90" s="13"/>
      <c r="CI90" s="53" t="n">
        <v>2008</v>
      </c>
      <c r="CJ90" s="286" t="n">
        <f aca="false">IVA!CJ66+IVA!CJ42</f>
        <v>0.026511496155765</v>
      </c>
      <c r="CK90" s="286" t="n">
        <f aca="false">IVA!CK66+IVA!CK42</f>
        <v>0.0231873254830676</v>
      </c>
      <c r="CL90" s="286" t="n">
        <f aca="false">IVA!CL66+IVA!CL42</f>
        <v>0.0268405296482825</v>
      </c>
      <c r="CM90" s="287" t="n">
        <f aca="false">IVA!CM66+IVA!CM42</f>
        <v>0.025556755896445</v>
      </c>
      <c r="CN90" s="288" t="n">
        <f aca="false">IVA!CN66+IVA!CN42</f>
        <v>0.10182030404552</v>
      </c>
      <c r="CO90" s="63"/>
      <c r="CP90" s="63"/>
      <c r="CQ90" s="13"/>
      <c r="DY90" s="222" t="s">
        <v>551</v>
      </c>
      <c r="DZ90" s="223"/>
      <c r="EA90" s="206"/>
      <c r="EB90" s="236" t="n">
        <v>142947853785</v>
      </c>
      <c r="EC90" s="236" t="n">
        <v>19793551934</v>
      </c>
      <c r="ED90" s="236" t="n">
        <v>162741405719</v>
      </c>
      <c r="EE90" s="236" t="n">
        <v>158524551129.78</v>
      </c>
      <c r="EF90" s="236" t="n">
        <v>158508323489.53</v>
      </c>
      <c r="EG90" s="237" t="n">
        <v>158149658501.3</v>
      </c>
      <c r="EH90" s="238" t="n">
        <f aca="false">IVA!EF90-IVA!EG90</f>
        <v>358664988.230011</v>
      </c>
      <c r="EJ90" s="31" t="n">
        <v>2038</v>
      </c>
      <c r="EK90" s="32" t="n">
        <v>10841.953</v>
      </c>
      <c r="EL90" s="33" t="n">
        <v>9410.664</v>
      </c>
      <c r="EN90" s="122" t="s">
        <v>336</v>
      </c>
    </row>
    <row r="91" customFormat="false" ht="12.75" hidden="false" customHeight="true" outlineLevel="0" collapsed="false">
      <c r="AA91" s="304" t="n">
        <v>2010</v>
      </c>
      <c r="AB91" s="304" t="s">
        <v>539</v>
      </c>
      <c r="AC91" s="313"/>
      <c r="AD91" s="314"/>
      <c r="AE91" s="307" t="n">
        <f aca="false">IVA!AE74*0.2+120000</f>
        <v>1103806.53333333</v>
      </c>
      <c r="AF91" s="307" t="n">
        <f aca="false">IVA!AF74*0.2+120000</f>
        <v>1048028.53333333</v>
      </c>
      <c r="AG91" s="307" t="n">
        <f aca="false">IVA!AG74*0.2+120000</f>
        <v>972104.933333334</v>
      </c>
      <c r="AH91" s="307" t="n">
        <f aca="false">IVA!AH74*0.2+120000</f>
        <v>958396.333333333</v>
      </c>
      <c r="AI91" s="307" t="n">
        <f aca="false">IVA!AI74*0.2+120000</f>
        <v>2405302.33333333</v>
      </c>
      <c r="AJ91" s="307" t="n">
        <f aca="false">IVA!AJ74*0.2+120000</f>
        <v>1944329.73333333</v>
      </c>
      <c r="AK91" s="307" t="n">
        <f aca="false">IVA!AK74*0.2+120000</f>
        <v>1360781.93333333</v>
      </c>
      <c r="AL91" s="307" t="n">
        <f aca="false">IVA!AL74*0.2+120000</f>
        <v>1315488.73333333</v>
      </c>
      <c r="AM91" s="307" t="n">
        <f aca="false">IVA!AM74*0.2+120000</f>
        <v>1259046.73333333</v>
      </c>
      <c r="AN91" s="307" t="n">
        <f aca="false">IVA!AN74*0.2+120000</f>
        <v>1343342.73333333</v>
      </c>
      <c r="AO91" s="307" t="n">
        <f aca="false">IVA!AO74*0.2+120000</f>
        <v>1388950.93333333</v>
      </c>
      <c r="AP91" s="307" t="n">
        <f aca="false">IVA!AP74*0.2+120000</f>
        <v>1554746.13333333</v>
      </c>
      <c r="AQ91" s="128" t="n">
        <f aca="false">IVA!AE91+IVA!AF91+IVA!AG91</f>
        <v>3123940</v>
      </c>
      <c r="AR91" s="128" t="n">
        <f aca="false">IVA!AH91+IVA!AI91+IVA!AJ91</f>
        <v>5308028.4</v>
      </c>
      <c r="AS91" s="128" t="n">
        <f aca="false">IVA!AK91+IVA!AL91+IVA!AM91</f>
        <v>3935317.4</v>
      </c>
      <c r="AT91" s="128" t="n">
        <f aca="false">IVA!AN91+IVA!AO91+IVA!AP91</f>
        <v>4287039.8</v>
      </c>
      <c r="AU91" s="129" t="n">
        <f aca="false">IVA!AQ91+IVA!AR91+IVA!AS91+IVA!AT91</f>
        <v>16654325.6</v>
      </c>
      <c r="AV91" s="130" t="n">
        <f aca="false">IVA!AQ91/IVA!CJ19</f>
        <v>0.00256611529176158</v>
      </c>
      <c r="AW91" s="130" t="n">
        <f aca="false">IVA!AR91/IVA!CK19</f>
        <v>0.00351924607063816</v>
      </c>
      <c r="AX91" s="130" t="n">
        <f aca="false">IVA!AS91/IVA!CL19</f>
        <v>0.00268465361069232</v>
      </c>
      <c r="AY91" s="130" t="n">
        <f aca="false">IVA!AT91/IVA!CM19</f>
        <v>0.0027148655445871</v>
      </c>
      <c r="AZ91" s="271" t="n">
        <f aca="false">IVA!AU91/IVA!CN19</f>
        <v>0.0115442162051166</v>
      </c>
      <c r="BA91" s="266" t="n">
        <v>2009</v>
      </c>
      <c r="BB91" s="352" t="s">
        <v>541</v>
      </c>
      <c r="BC91" s="353"/>
      <c r="BD91" s="353"/>
      <c r="BE91" s="353"/>
      <c r="BF91" s="354" t="n">
        <v>197593.1517</v>
      </c>
      <c r="BG91" s="354" t="n">
        <v>195446.6078</v>
      </c>
      <c r="BH91" s="354" t="n">
        <v>168203.298</v>
      </c>
      <c r="BI91" s="354" t="n">
        <v>167909.2913</v>
      </c>
      <c r="BJ91" s="354" t="n">
        <v>178455.1838</v>
      </c>
      <c r="BK91" s="354" t="n">
        <v>148035.815</v>
      </c>
      <c r="BL91" s="354" t="n">
        <v>161064.54</v>
      </c>
      <c r="BM91" s="354" t="n">
        <v>203198.945</v>
      </c>
      <c r="BN91" s="354" t="n">
        <v>207563.8137</v>
      </c>
      <c r="BO91" s="354" t="n">
        <v>196649.1837</v>
      </c>
      <c r="BP91" s="354" t="n">
        <v>227064.6193</v>
      </c>
      <c r="BQ91" s="355" t="n">
        <v>322422.1034</v>
      </c>
      <c r="BR91" s="175" t="n">
        <f aca="false">IVA!BF91+IVA!BG91+IVA!BH91</f>
        <v>561243.0575</v>
      </c>
      <c r="BS91" s="175" t="n">
        <f aca="false">IVA!BI91+IVA!BJ91+IVA!BK91</f>
        <v>494400.2901</v>
      </c>
      <c r="BT91" s="175" t="n">
        <f aca="false">IVA!BL91+IVA!BM91+IVA!BN91</f>
        <v>571827.2987</v>
      </c>
      <c r="BU91" s="176" t="n">
        <f aca="false">IVA!BO91+IVA!BP91+IVA!BQ91</f>
        <v>746135.9064</v>
      </c>
      <c r="BV91" s="137" t="n">
        <f aca="false">IVA!BR91+IVA!BS91+IVA!BT91+IVA!BU91</f>
        <v>2373606.5527</v>
      </c>
      <c r="BW91" s="138" t="n">
        <f aca="false">IVA!BR91/IVA!CJ18</f>
        <v>0.000565221083485571</v>
      </c>
      <c r="BX91" s="139" t="n">
        <f aca="false">IVA!BS91/IVA!CK18</f>
        <v>0.000413595189286907</v>
      </c>
      <c r="BY91" s="138" t="n">
        <f aca="false">IVA!BT91/IVA!CL18</f>
        <v>0.000489245200377291</v>
      </c>
      <c r="BZ91" s="138" t="n">
        <f aca="false">IVA!BU91/IVA!CM18</f>
        <v>0.000609237871639646</v>
      </c>
      <c r="CA91" s="273" t="n">
        <f aca="false">IVA!BV91/IVA!CN18</f>
        <v>0.00207218933883665</v>
      </c>
      <c r="CH91" s="13"/>
      <c r="CI91" s="53" t="n">
        <v>2009</v>
      </c>
      <c r="CJ91" s="286" t="n">
        <f aca="false">IVA!CJ67+IVA!CJ43</f>
        <v>0.0290231994254362</v>
      </c>
      <c r="CK91" s="286" t="n">
        <f aca="false">IVA!CK67+IVA!CK43</f>
        <v>0.0243973701421172</v>
      </c>
      <c r="CL91" s="286" t="n">
        <f aca="false">IVA!CL67+IVA!CL43</f>
        <v>0.0277161144256597</v>
      </c>
      <c r="CM91" s="287" t="n">
        <f aca="false">IVA!CM67+IVA!CM43</f>
        <v>0.0263078307171122</v>
      </c>
      <c r="CN91" s="288" t="n">
        <f aca="false">IVA!CN67+IVA!CN43</f>
        <v>0.107028450051449</v>
      </c>
      <c r="CO91" s="63"/>
      <c r="CP91" s="63"/>
      <c r="CQ91" s="13"/>
      <c r="DY91" s="177" t="s">
        <v>163</v>
      </c>
      <c r="DZ91" s="45"/>
      <c r="EA91" s="210" t="n">
        <v>2012</v>
      </c>
      <c r="EB91" s="227"/>
      <c r="EC91" s="227"/>
      <c r="ED91" s="227"/>
      <c r="EE91" s="227"/>
      <c r="EF91" s="227"/>
      <c r="EG91" s="228"/>
      <c r="EH91" s="229"/>
      <c r="EJ91" s="31" t="n">
        <v>2039</v>
      </c>
      <c r="EK91" s="32" t="n">
        <v>11097.059</v>
      </c>
      <c r="EL91" s="33" t="n">
        <v>9618.309</v>
      </c>
    </row>
    <row r="92" customFormat="false" ht="12.75" hidden="false" customHeight="true" outlineLevel="0" collapsed="false">
      <c r="AA92" s="304" t="n">
        <v>2011</v>
      </c>
      <c r="AB92" s="304" t="s">
        <v>539</v>
      </c>
      <c r="AC92" s="313"/>
      <c r="AD92" s="314"/>
      <c r="AE92" s="307" t="n">
        <f aca="false">IVA!AE75*0.2+120000</f>
        <v>1532493.33333333</v>
      </c>
      <c r="AF92" s="307" t="n">
        <f aca="false">IVA!AF75*0.2+120000</f>
        <v>1483874.93333333</v>
      </c>
      <c r="AG92" s="307" t="n">
        <f aca="false">IVA!AG75*0.2+120000</f>
        <v>1304491.53333333</v>
      </c>
      <c r="AH92" s="307" t="n">
        <f aca="false">IVA!AH75*0.2+120000</f>
        <v>1449376.13333333</v>
      </c>
      <c r="AI92" s="307" t="n">
        <f aca="false">IVA!AI75*0.2+120000</f>
        <v>2918402.93333333</v>
      </c>
      <c r="AJ92" s="307" t="n">
        <f aca="false">IVA!AJ75*0.2+120000</f>
        <v>2781995.13333333</v>
      </c>
      <c r="AK92" s="307" t="n">
        <f aca="false">IVA!AK75*0.2+120000</f>
        <v>1844879.53333333</v>
      </c>
      <c r="AL92" s="307" t="n">
        <f aca="false">IVA!AL75*0.2+120000</f>
        <v>1930042.93333333</v>
      </c>
      <c r="AM92" s="307" t="n">
        <f aca="false">IVA!AM75*0.2+120000</f>
        <v>1842826.53333333</v>
      </c>
      <c r="AN92" s="307" t="n">
        <f aca="false">IVA!AN75*0.2+120000</f>
        <v>1894879.53333333</v>
      </c>
      <c r="AO92" s="307" t="n">
        <f aca="false">IVA!AO75*0.2+120000</f>
        <v>1949315.13333333</v>
      </c>
      <c r="AP92" s="307" t="n">
        <f aca="false">IVA!AP75*0.2+120000</f>
        <v>2110998.13333333</v>
      </c>
      <c r="AQ92" s="128" t="n">
        <f aca="false">IVA!AE92+IVA!AF92+IVA!AG92</f>
        <v>4320859.8</v>
      </c>
      <c r="AR92" s="128" t="n">
        <f aca="false">IVA!AH92+IVA!AI92+IVA!AJ92</f>
        <v>7149774.2</v>
      </c>
      <c r="AS92" s="128" t="n">
        <f aca="false">IVA!AK92+IVA!AL92+IVA!AM92</f>
        <v>5617749</v>
      </c>
      <c r="AT92" s="128" t="n">
        <f aca="false">IVA!AN92+IVA!AO92+IVA!AP92</f>
        <v>5955192.8</v>
      </c>
      <c r="AU92" s="129" t="n">
        <f aca="false">IVA!AQ92+IVA!AR92+IVA!AS92+IVA!AT92</f>
        <v>23043575.8</v>
      </c>
      <c r="AV92" s="130" t="n">
        <f aca="false">IVA!AQ92/IVA!CJ20</f>
        <v>0.00275638870105513</v>
      </c>
      <c r="AW92" s="130" t="n">
        <f aca="false">IVA!AR92/IVA!CK20</f>
        <v>0.00361789054883879</v>
      </c>
      <c r="AX92" s="130" t="n">
        <f aca="false">IVA!AS92/IVA!CL20</f>
        <v>0.00301156663523254</v>
      </c>
      <c r="AY92" s="130" t="n">
        <f aca="false">IVA!AT92/IVA!CM20</f>
        <v>0.00304008516030594</v>
      </c>
      <c r="AZ92" s="271" t="n">
        <f aca="false">IVA!AU92/IVA!CN20</f>
        <v>0.0125099342540134</v>
      </c>
      <c r="BA92" s="266" t="n">
        <v>2010</v>
      </c>
      <c r="BB92" s="352" t="s">
        <v>541</v>
      </c>
      <c r="BC92" s="353"/>
      <c r="BD92" s="353"/>
      <c r="BE92" s="353"/>
      <c r="BF92" s="354" t="n">
        <v>317888.1071</v>
      </c>
      <c r="BG92" s="354" t="n">
        <v>336577.6902</v>
      </c>
      <c r="BH92" s="354" t="n">
        <v>351324.2403</v>
      </c>
      <c r="BI92" s="354" t="n">
        <v>384123.1951</v>
      </c>
      <c r="BJ92" s="354" t="n">
        <v>368696.2014</v>
      </c>
      <c r="BK92" s="354" t="n">
        <v>382430.9358</v>
      </c>
      <c r="BL92" s="354" t="n">
        <v>354450.151</v>
      </c>
      <c r="BM92" s="354" t="n">
        <v>327877.4518</v>
      </c>
      <c r="BN92" s="354" t="n">
        <v>359278.154</v>
      </c>
      <c r="BO92" s="354" t="n">
        <v>358442.349</v>
      </c>
      <c r="BP92" s="354" t="n">
        <v>398399.7278</v>
      </c>
      <c r="BQ92" s="355" t="n">
        <v>407268.1105</v>
      </c>
      <c r="BR92" s="175" t="n">
        <f aca="false">IVA!BF92+IVA!BG92+IVA!BH92</f>
        <v>1005790.0376</v>
      </c>
      <c r="BS92" s="175" t="n">
        <f aca="false">IVA!BI92+IVA!BJ92+IVA!BK92</f>
        <v>1135250.3323</v>
      </c>
      <c r="BT92" s="175" t="n">
        <f aca="false">IVA!BL92+IVA!BM92+IVA!BN92</f>
        <v>1041605.7568</v>
      </c>
      <c r="BU92" s="176" t="n">
        <f aca="false">IVA!BO92+IVA!BP92+IVA!BQ92</f>
        <v>1164110.1873</v>
      </c>
      <c r="BV92" s="137" t="n">
        <f aca="false">IVA!BR92+IVA!BS92+IVA!BT92+IVA!BU92</f>
        <v>4346756.314</v>
      </c>
      <c r="BW92" s="138" t="n">
        <f aca="false">IVA!BR92/IVA!CJ19</f>
        <v>0.00082619166686518</v>
      </c>
      <c r="BX92" s="139" t="n">
        <f aca="false">IVA!BS92/IVA!CK19</f>
        <v>0.000752675941058914</v>
      </c>
      <c r="BY92" s="138" t="n">
        <f aca="false">IVA!BT92/IVA!CL19</f>
        <v>0.000710578174942389</v>
      </c>
      <c r="BZ92" s="138" t="n">
        <f aca="false">IVA!BU92/IVA!CM19</f>
        <v>0.000737199276200702</v>
      </c>
      <c r="CA92" s="273" t="n">
        <f aca="false">IVA!BV92/IVA!CN19</f>
        <v>0.00301302471712045</v>
      </c>
      <c r="CH92" s="13"/>
      <c r="CI92" s="53" t="n">
        <v>2010</v>
      </c>
      <c r="CJ92" s="286" t="n">
        <f aca="false">IVA!CJ68+IVA!CJ44</f>
        <v>0.0296709876438371</v>
      </c>
      <c r="CK92" s="286" t="n">
        <f aca="false">IVA!CK68+IVA!CK44</f>
        <v>0.0265697195707286</v>
      </c>
      <c r="CL92" s="286" t="n">
        <f aca="false">IVA!CL68+IVA!CL44</f>
        <v>0.0295547121857961</v>
      </c>
      <c r="CM92" s="287" t="n">
        <f aca="false">IVA!CM68+IVA!CM44</f>
        <v>0.0279369146095572</v>
      </c>
      <c r="CN92" s="288" t="n">
        <f aca="false">IVA!CN68+IVA!CN44</f>
        <v>0.11342537859597</v>
      </c>
      <c r="CO92" s="63"/>
      <c r="CP92" s="63"/>
      <c r="CQ92" s="13"/>
      <c r="DY92" s="215" t="s">
        <v>552</v>
      </c>
      <c r="EA92" s="179"/>
      <c r="EB92" s="230"/>
      <c r="EC92" s="230"/>
      <c r="ED92" s="230"/>
      <c r="EE92" s="230"/>
      <c r="EF92" s="230"/>
      <c r="EG92" s="231"/>
      <c r="EH92" s="232"/>
      <c r="EJ92" s="31" t="n">
        <v>2040</v>
      </c>
      <c r="EK92" s="32" t="n">
        <v>11351.348</v>
      </c>
      <c r="EL92" s="33" t="n">
        <v>9843.131</v>
      </c>
    </row>
    <row r="93" customFormat="false" ht="12.75" hidden="false" customHeight="true" outlineLevel="0" collapsed="false">
      <c r="AA93" s="322" t="n">
        <v>2012</v>
      </c>
      <c r="AB93" s="322" t="s">
        <v>539</v>
      </c>
      <c r="AC93" s="323"/>
      <c r="AD93" s="324"/>
      <c r="AE93" s="356" t="n">
        <f aca="false">IVA!AE76*0.2+120000</f>
        <v>2010691.03002933</v>
      </c>
      <c r="AF93" s="356" t="n">
        <f aca="false">IVA!AF76*0.2+120000</f>
        <v>1879867.58384333</v>
      </c>
      <c r="AG93" s="356" t="n">
        <f aca="false">IVA!AG76*0.2+120000</f>
        <v>1664631.60844733</v>
      </c>
      <c r="AH93" s="356" t="n">
        <f aca="false">IVA!AH76*0.2+120000</f>
        <v>1603875.25513133</v>
      </c>
      <c r="AI93" s="356" t="n">
        <f aca="false">IVA!AI76*0.2+120000</f>
        <v>3087005.15967733</v>
      </c>
      <c r="AJ93" s="356" t="n">
        <f aca="false">IVA!AJ76*0.2+120000</f>
        <v>3317243.00895533</v>
      </c>
      <c r="AK93" s="356" t="n">
        <f aca="false">IVA!AK76*0.2+120000</f>
        <v>2307564.56763933</v>
      </c>
      <c r="AL93" s="356" t="n">
        <f aca="false">IVA!AL76*0.2+120000</f>
        <v>2559198.72266533</v>
      </c>
      <c r="AM93" s="356" t="n">
        <f aca="false">IVA!AM76*0.2+120000</f>
        <v>2276784.03554333</v>
      </c>
      <c r="AN93" s="356" t="n">
        <f aca="false">IVA!AN76*0.2+120000</f>
        <v>2608300.82716533</v>
      </c>
      <c r="AO93" s="356" t="n">
        <f aca="false">IVA!AO76*0.2+120000</f>
        <v>2865958.69638133</v>
      </c>
      <c r="AP93" s="356" t="n">
        <f aca="false">IVA!AP76*0.2+120000</f>
        <v>2830799.71321533</v>
      </c>
      <c r="AQ93" s="249" t="n">
        <f aca="false">IVA!AE93+IVA!AF93+IVA!AG93</f>
        <v>5555190.22232</v>
      </c>
      <c r="AR93" s="249" t="n">
        <f aca="false">IVA!AH93+IVA!AI93+IVA!AJ93</f>
        <v>8008123.423764</v>
      </c>
      <c r="AS93" s="249" t="n">
        <f aca="false">IVA!AK93+IVA!AL93+IVA!AM93</f>
        <v>7143547.325848</v>
      </c>
      <c r="AT93" s="249" t="n">
        <f aca="false">IVA!AN93+IVA!AO93+IVA!AP93</f>
        <v>8305059.236762</v>
      </c>
      <c r="AU93" s="250" t="n">
        <f aca="false">IVA!AQ93+IVA!AR93+IVA!AS93+IVA!AT93</f>
        <v>29011920.208694</v>
      </c>
      <c r="AV93" s="252" t="n">
        <f aca="false">IVA!AQ93/IVA!CJ21</f>
        <v>0.00296287083142616</v>
      </c>
      <c r="AW93" s="252" t="n">
        <f aca="false">IVA!AR93/IVA!CK21</f>
        <v>0.00352290092203895</v>
      </c>
      <c r="AX93" s="252" t="n">
        <f aca="false">IVA!AS93/IVA!CL21</f>
        <v>0.00327248915413058</v>
      </c>
      <c r="AY93" s="252" t="n">
        <f aca="false">IVA!AT93/IVA!CM21</f>
        <v>0.00357056748018427</v>
      </c>
      <c r="AZ93" s="296" t="n">
        <f aca="false">IVA!AU93/IVA!CN21</f>
        <v>0.0134050943710118</v>
      </c>
      <c r="BA93" s="266" t="n">
        <v>2011</v>
      </c>
      <c r="BB93" s="352" t="s">
        <v>541</v>
      </c>
      <c r="BC93" s="353"/>
      <c r="BD93" s="353"/>
      <c r="BE93" s="353"/>
      <c r="BF93" s="354" t="n">
        <v>432825.0608</v>
      </c>
      <c r="BG93" s="354" t="n">
        <v>399492.1741</v>
      </c>
      <c r="BH93" s="354" t="n">
        <v>363636.1396</v>
      </c>
      <c r="BI93" s="354" t="n">
        <v>358976.2809</v>
      </c>
      <c r="BJ93" s="354" t="n">
        <v>356066.6962</v>
      </c>
      <c r="BK93" s="354" t="n">
        <v>316642.266</v>
      </c>
      <c r="BL93" s="354" t="n">
        <v>340039.8895</v>
      </c>
      <c r="BM93" s="354" t="n">
        <v>364335.2659</v>
      </c>
      <c r="BN93" s="354" t="n">
        <v>411199.3439</v>
      </c>
      <c r="BO93" s="354" t="n">
        <v>408058.6837</v>
      </c>
      <c r="BP93" s="354" t="n">
        <v>412939.7849</v>
      </c>
      <c r="BQ93" s="355" t="n">
        <v>431367.8102</v>
      </c>
      <c r="BR93" s="175" t="n">
        <f aca="false">IVA!BF93+IVA!BG93+IVA!BH93</f>
        <v>1195953.3745</v>
      </c>
      <c r="BS93" s="175" t="n">
        <f aca="false">IVA!BI93+IVA!BJ93+IVA!BK93</f>
        <v>1031685.2431</v>
      </c>
      <c r="BT93" s="175" t="n">
        <f aca="false">IVA!BL93+IVA!BM93+IVA!BN93</f>
        <v>1115574.4993</v>
      </c>
      <c r="BU93" s="176" t="n">
        <f aca="false">IVA!BO93+IVA!BP93+IVA!BQ93</f>
        <v>1252366.2788</v>
      </c>
      <c r="BV93" s="137" t="n">
        <f aca="false">IVA!BR93+IVA!BS93+IVA!BT93+IVA!BU93</f>
        <v>4595579.3957</v>
      </c>
      <c r="BW93" s="138" t="n">
        <f aca="false">IVA!BR93/IVA!CJ20</f>
        <v>0.000762929722565993</v>
      </c>
      <c r="BX93" s="139" t="n">
        <f aca="false">IVA!BS93/IVA!CK20</f>
        <v>0.000522047855775353</v>
      </c>
      <c r="BY93" s="138" t="n">
        <f aca="false">IVA!BT93/IVA!CL20</f>
        <v>0.00059803792252166</v>
      </c>
      <c r="BZ93" s="138" t="n">
        <f aca="false">IVA!BU93/IVA!CM20</f>
        <v>0.00063932441271212</v>
      </c>
      <c r="CA93" s="273" t="n">
        <f aca="false">IVA!BV93/IVA!CN20</f>
        <v>0.00249485568551846</v>
      </c>
      <c r="CH93" s="13"/>
      <c r="CI93" s="53" t="n">
        <v>2011</v>
      </c>
      <c r="CJ93" s="286" t="n">
        <f aca="false">IVA!CJ69+IVA!CJ45</f>
        <v>0.0311971658145284</v>
      </c>
      <c r="CK93" s="286" t="n">
        <f aca="false">IVA!CK69+IVA!CK45</f>
        <v>0.0273440657817374</v>
      </c>
      <c r="CL93" s="286" t="n">
        <f aca="false">IVA!CL69+IVA!CL45</f>
        <v>0.0313031059492672</v>
      </c>
      <c r="CM93" s="287" t="n">
        <f aca="false">IVA!CM69+IVA!CM45</f>
        <v>0.0295647242565993</v>
      </c>
      <c r="CN93" s="288" t="n">
        <f aca="false">IVA!CN69+IVA!CN45</f>
        <v>0.119026104375298</v>
      </c>
      <c r="CO93" s="63"/>
      <c r="CP93" s="63"/>
      <c r="CQ93" s="13"/>
      <c r="DY93" s="215" t="s">
        <v>553</v>
      </c>
      <c r="EA93" s="195"/>
      <c r="EB93" s="230"/>
      <c r="EC93" s="230"/>
      <c r="ED93" s="230"/>
      <c r="EE93" s="230"/>
      <c r="EF93" s="230"/>
      <c r="EG93" s="231"/>
      <c r="EH93" s="232"/>
      <c r="EJ93" s="31" t="n">
        <v>2041</v>
      </c>
      <c r="EK93" s="32" t="n">
        <v>11615.435</v>
      </c>
      <c r="EL93" s="33" t="n">
        <v>10096.402</v>
      </c>
    </row>
    <row r="94" customFormat="false" ht="12.75" hidden="false" customHeight="true" outlineLevel="0" collapsed="false">
      <c r="AA94" s="357" t="n">
        <v>1996</v>
      </c>
      <c r="AB94" s="357" t="s">
        <v>554</v>
      </c>
      <c r="AC94" s="358"/>
      <c r="AD94" s="359"/>
      <c r="AE94" s="360" t="n">
        <v>0</v>
      </c>
      <c r="AF94" s="360" t="n">
        <v>8433</v>
      </c>
      <c r="AG94" s="360" t="n">
        <v>11945</v>
      </c>
      <c r="AH94" s="360" t="n">
        <v>19490</v>
      </c>
      <c r="AI94" s="360" t="n">
        <v>15466</v>
      </c>
      <c r="AJ94" s="360" t="n">
        <v>12948</v>
      </c>
      <c r="AK94" s="360" t="n">
        <v>18671</v>
      </c>
      <c r="AL94" s="360" t="n">
        <v>15443</v>
      </c>
      <c r="AM94" s="360" t="n">
        <v>11296</v>
      </c>
      <c r="AN94" s="360" t="n">
        <v>21322</v>
      </c>
      <c r="AO94" s="360" t="n">
        <v>11477</v>
      </c>
      <c r="AP94" s="360" t="n">
        <v>25813</v>
      </c>
      <c r="AQ94" s="128" t="n">
        <f aca="false">IVA!AE94+IVA!AF94+IVA!AG94</f>
        <v>20378</v>
      </c>
      <c r="AR94" s="128" t="n">
        <f aca="false">IVA!AH94+IVA!AI94+IVA!AJ94</f>
        <v>47904</v>
      </c>
      <c r="AS94" s="128" t="n">
        <f aca="false">IVA!AK94+IVA!AL94+IVA!AM94</f>
        <v>45410</v>
      </c>
      <c r="AT94" s="128" t="n">
        <f aca="false">IVA!AN94+IVA!AO94+IVA!AP94</f>
        <v>58612</v>
      </c>
      <c r="AU94" s="129" t="n">
        <f aca="false">SUM(IVA!AE94:AP94)</f>
        <v>172304</v>
      </c>
      <c r="AV94" s="252"/>
      <c r="AW94" s="252"/>
      <c r="AX94" s="252"/>
      <c r="AY94" s="252"/>
      <c r="AZ94" s="296"/>
      <c r="BA94" s="297" t="n">
        <v>2012</v>
      </c>
      <c r="BB94" s="361" t="s">
        <v>541</v>
      </c>
      <c r="BC94" s="362"/>
      <c r="BD94" s="362"/>
      <c r="BE94" s="362"/>
      <c r="BF94" s="363" t="n">
        <v>427607.795151458</v>
      </c>
      <c r="BG94" s="363" t="n">
        <v>367413.910755453</v>
      </c>
      <c r="BH94" s="363" t="n">
        <v>443015.021394564</v>
      </c>
      <c r="BI94" s="363" t="n">
        <v>450728.581038102</v>
      </c>
      <c r="BJ94" s="363" t="n">
        <v>374101.278961154</v>
      </c>
      <c r="BK94" s="363" t="n">
        <v>403739.84317467</v>
      </c>
      <c r="BL94" s="363" t="n">
        <v>368174.159543934</v>
      </c>
      <c r="BM94" s="363" t="n">
        <v>516941.792599368</v>
      </c>
      <c r="BN94" s="363" t="n">
        <v>469449.720329531</v>
      </c>
      <c r="BO94" s="363" t="n">
        <v>505300.673056467</v>
      </c>
      <c r="BP94" s="363" t="n">
        <v>545275.32854563</v>
      </c>
      <c r="BQ94" s="364" t="n">
        <v>555785.83522519</v>
      </c>
      <c r="BR94" s="259" t="n">
        <f aca="false">IVA!BF94+IVA!BG94+IVA!BH94</f>
        <v>1238036.72730148</v>
      </c>
      <c r="BS94" s="259" t="n">
        <f aca="false">IVA!BI94+IVA!BJ94+IVA!BK94</f>
        <v>1228569.70317393</v>
      </c>
      <c r="BT94" s="259" t="n">
        <f aca="false">IVA!BL94+IVA!BM94+IVA!BN94</f>
        <v>1354565.67247283</v>
      </c>
      <c r="BU94" s="260" t="n">
        <f aca="false">IVA!BO94+IVA!BP94+IVA!BQ94</f>
        <v>1606361.83682729</v>
      </c>
      <c r="BV94" s="261" t="n">
        <f aca="false">IVA!BR94+IVA!BS94+IVA!BT94+IVA!BU94</f>
        <v>5427533.93977552</v>
      </c>
      <c r="BW94" s="262" t="n">
        <f aca="false">IVA!BR94/IVA!CJ21</f>
        <v>0.000660309145277823</v>
      </c>
      <c r="BX94" s="263" t="n">
        <f aca="false">IVA!BS94/IVA!CK21</f>
        <v>0.000540467361836216</v>
      </c>
      <c r="BY94" s="264" t="n">
        <f aca="false">IVA!BT94/IVA!CL21</f>
        <v>0.000620532246729215</v>
      </c>
      <c r="BZ94" s="264" t="n">
        <f aca="false">IVA!BU94/IVA!CM21</f>
        <v>0.000690617992295116</v>
      </c>
      <c r="CA94" s="303" t="n">
        <f aca="false">IVA!BV94/IVA!CN21</f>
        <v>0.00250781761914392</v>
      </c>
      <c r="CH94" s="13"/>
      <c r="CI94" s="233" t="n">
        <v>2012</v>
      </c>
      <c r="CJ94" s="316" t="n">
        <f aca="false">IVA!CJ70+IVA!CJ46</f>
        <v>0.0339637128374665</v>
      </c>
      <c r="CK94" s="316" t="n">
        <f aca="false">IVA!CK70+IVA!CK46</f>
        <v>0.0296202010848791</v>
      </c>
      <c r="CL94" s="316" t="n">
        <f aca="false">IVA!CL70+IVA!CL46</f>
        <v>0.0343794447814503</v>
      </c>
      <c r="CM94" s="317" t="n">
        <f aca="false">IVA!CM70+IVA!CM46</f>
        <v>0.033013478426178</v>
      </c>
      <c r="CN94" s="318" t="n">
        <f aca="false">IVA!CN70+IVA!CN46</f>
        <v>0.130690824482684</v>
      </c>
      <c r="CO94" s="64"/>
      <c r="CP94" s="64"/>
      <c r="CQ94" s="365"/>
      <c r="DY94" s="222" t="s">
        <v>555</v>
      </c>
      <c r="DZ94" s="223"/>
      <c r="EA94" s="206"/>
      <c r="EB94" s="236"/>
      <c r="EC94" s="236"/>
      <c r="ED94" s="236"/>
      <c r="EE94" s="236"/>
      <c r="EF94" s="236"/>
      <c r="EG94" s="237"/>
      <c r="EH94" s="238"/>
      <c r="EJ94" s="31" t="n">
        <v>2042</v>
      </c>
      <c r="EK94" s="32" t="n">
        <v>11879.426</v>
      </c>
      <c r="EL94" s="33" t="n">
        <v>10367.154</v>
      </c>
    </row>
    <row r="95" customFormat="false" ht="12.75" hidden="false" customHeight="true" outlineLevel="0" collapsed="false">
      <c r="AA95" s="357" t="n">
        <v>1997</v>
      </c>
      <c r="AB95" s="357" t="s">
        <v>554</v>
      </c>
      <c r="AC95" s="366"/>
      <c r="AD95" s="367"/>
      <c r="AE95" s="368" t="n">
        <v>15177</v>
      </c>
      <c r="AF95" s="368" t="n">
        <v>17878</v>
      </c>
      <c r="AG95" s="368" t="n">
        <v>15752</v>
      </c>
      <c r="AH95" s="368" t="n">
        <v>16384</v>
      </c>
      <c r="AI95" s="368" t="n">
        <v>16281</v>
      </c>
      <c r="AJ95" s="368" t="n">
        <v>16892</v>
      </c>
      <c r="AK95" s="368" t="n">
        <v>13784</v>
      </c>
      <c r="AL95" s="368" t="n">
        <v>13070</v>
      </c>
      <c r="AM95" s="368" t="n">
        <v>20110</v>
      </c>
      <c r="AN95" s="368" t="n">
        <v>15569</v>
      </c>
      <c r="AO95" s="368" t="n">
        <v>13582</v>
      </c>
      <c r="AP95" s="368" t="n">
        <v>19346</v>
      </c>
      <c r="AQ95" s="128" t="n">
        <f aca="false">IVA!AE95+IVA!AF95+IVA!AG95</f>
        <v>48807</v>
      </c>
      <c r="AR95" s="128" t="n">
        <f aca="false">IVA!AH95+IVA!AI95+IVA!AJ95</f>
        <v>49557</v>
      </c>
      <c r="AS95" s="128" t="n">
        <f aca="false">IVA!AK95+IVA!AL95+IVA!AM95</f>
        <v>46964</v>
      </c>
      <c r="AT95" s="128" t="n">
        <f aca="false">IVA!AN95+IVA!AO95+IVA!AP95</f>
        <v>48497</v>
      </c>
      <c r="AU95" s="129" t="n">
        <f aca="false">IVA!AQ95+IVA!AR95+IVA!AS95+IVA!AT95</f>
        <v>193825</v>
      </c>
      <c r="AV95" s="130" t="n">
        <f aca="false">IVA!AQ95/IVA!CJ6</f>
        <v>0.00017992700729927</v>
      </c>
      <c r="AW95" s="130" t="n">
        <f aca="false">IVA!AR95/IVA!CK6</f>
        <v>0.000165260214233247</v>
      </c>
      <c r="AX95" s="130" t="n">
        <f aca="false">IVA!AS95/IVA!CL6</f>
        <v>0.000157457299170289</v>
      </c>
      <c r="AY95" s="130" t="n">
        <f aca="false">IVA!AT95/IVA!CM6</f>
        <v>0.000160566142781846</v>
      </c>
      <c r="AZ95" s="271" t="n">
        <f aca="false">IVA!AU95/IVA!CN6</f>
        <v>0.000661837543623088</v>
      </c>
      <c r="BA95" s="266" t="n">
        <v>1996</v>
      </c>
      <c r="BB95" s="369" t="s">
        <v>556</v>
      </c>
      <c r="BC95" s="370"/>
      <c r="BD95" s="370"/>
      <c r="BE95" s="370"/>
      <c r="BF95" s="371" t="n">
        <v>0</v>
      </c>
      <c r="BG95" s="371" t="n">
        <v>0</v>
      </c>
      <c r="BH95" s="371" t="n">
        <v>0</v>
      </c>
      <c r="BI95" s="371" t="n">
        <v>0</v>
      </c>
      <c r="BJ95" s="371" t="n">
        <v>0</v>
      </c>
      <c r="BK95" s="371" t="n">
        <v>0</v>
      </c>
      <c r="BL95" s="371" t="n">
        <v>0</v>
      </c>
      <c r="BM95" s="371" t="n">
        <v>0</v>
      </c>
      <c r="BN95" s="371" t="n">
        <v>0</v>
      </c>
      <c r="BO95" s="371" t="n">
        <v>0</v>
      </c>
      <c r="BP95" s="371" t="n">
        <v>0</v>
      </c>
      <c r="BQ95" s="372" t="n">
        <v>0</v>
      </c>
      <c r="BR95" s="175" t="n">
        <f aca="false">IVA!BF95+IVA!BG95+IVA!BH95</f>
        <v>0</v>
      </c>
      <c r="BS95" s="175" t="n">
        <f aca="false">IVA!BI95+IVA!BJ95+IVA!BK95</f>
        <v>0</v>
      </c>
      <c r="BT95" s="175" t="n">
        <f aca="false">IVA!BL95+IVA!BM95+IVA!BN95</f>
        <v>0</v>
      </c>
      <c r="BU95" s="176" t="n">
        <f aca="false">IVA!BO95+IVA!BP95+IVA!BQ95</f>
        <v>0</v>
      </c>
      <c r="BV95" s="261"/>
      <c r="BW95" s="262"/>
      <c r="BX95" s="263"/>
      <c r="BY95" s="264"/>
      <c r="BZ95" s="264"/>
      <c r="CA95" s="303"/>
      <c r="CI95" s="239"/>
      <c r="CJ95" s="26"/>
      <c r="CK95" s="26"/>
      <c r="CL95" s="26"/>
      <c r="CM95" s="26"/>
      <c r="CN95" s="26"/>
      <c r="CO95" s="26"/>
      <c r="CP95" s="26"/>
      <c r="CQ95" s="27"/>
      <c r="EJ95" s="31" t="n">
        <v>2043</v>
      </c>
      <c r="EK95" s="32" t="n">
        <v>12140.553</v>
      </c>
      <c r="EL95" s="33" t="n">
        <v>10645.144</v>
      </c>
    </row>
    <row r="96" customFormat="false" ht="12.75" hidden="false" customHeight="true" outlineLevel="0" collapsed="false">
      <c r="AA96" s="357" t="n">
        <v>1998</v>
      </c>
      <c r="AB96" s="357" t="s">
        <v>554</v>
      </c>
      <c r="AC96" s="358"/>
      <c r="AD96" s="359"/>
      <c r="AE96" s="368" t="n">
        <v>17062</v>
      </c>
      <c r="AF96" s="368" t="n">
        <v>13722</v>
      </c>
      <c r="AG96" s="368" t="n">
        <v>19763</v>
      </c>
      <c r="AH96" s="368" t="n">
        <v>15878</v>
      </c>
      <c r="AI96" s="368" t="n">
        <v>12691</v>
      </c>
      <c r="AJ96" s="368" t="n">
        <v>20174</v>
      </c>
      <c r="AK96" s="368" t="n">
        <v>15243</v>
      </c>
      <c r="AL96" s="368" t="n">
        <v>16802</v>
      </c>
      <c r="AM96" s="368" t="n">
        <v>16018</v>
      </c>
      <c r="AN96" s="368" t="n">
        <v>16327</v>
      </c>
      <c r="AO96" s="368" t="n">
        <v>17938</v>
      </c>
      <c r="AP96" s="368" t="n">
        <v>16148</v>
      </c>
      <c r="AQ96" s="128" t="n">
        <f aca="false">IVA!AE96+IVA!AF96+IVA!AG96</f>
        <v>50547</v>
      </c>
      <c r="AR96" s="128" t="n">
        <f aca="false">IVA!AH96+IVA!AI96+IVA!AJ96</f>
        <v>48743</v>
      </c>
      <c r="AS96" s="128" t="n">
        <f aca="false">IVA!AK96+IVA!AL96+IVA!AM96</f>
        <v>48063</v>
      </c>
      <c r="AT96" s="128" t="n">
        <f aca="false">IVA!AN96+IVA!AO96+IVA!AP96</f>
        <v>50413</v>
      </c>
      <c r="AU96" s="129" t="n">
        <f aca="false">IVA!AQ96+IVA!AR96+IVA!AS96+IVA!AT96</f>
        <v>197766</v>
      </c>
      <c r="AV96" s="130" t="n">
        <f aca="false">IVA!AQ96/IVA!CJ7</f>
        <v>0.000178760379680582</v>
      </c>
      <c r="AW96" s="130" t="n">
        <f aca="false">IVA!AR96/IVA!CK7</f>
        <v>0.000156162941158156</v>
      </c>
      <c r="AX96" s="130" t="n">
        <f aca="false">IVA!AS96/IVA!CL7</f>
        <v>0.000157338690409214</v>
      </c>
      <c r="AY96" s="130" t="n">
        <f aca="false">IVA!AT96/IVA!CM7</f>
        <v>0.000170645493628251</v>
      </c>
      <c r="AZ96" s="271" t="n">
        <f aca="false">IVA!AU96/IVA!CN7</f>
        <v>0.000661539006122823</v>
      </c>
      <c r="BA96" s="272" t="n">
        <v>1997</v>
      </c>
      <c r="BB96" s="369" t="s">
        <v>556</v>
      </c>
      <c r="BC96" s="370"/>
      <c r="BD96" s="370"/>
      <c r="BE96" s="370"/>
      <c r="BF96" s="371" t="n">
        <v>0</v>
      </c>
      <c r="BG96" s="371" t="n">
        <v>0</v>
      </c>
      <c r="BH96" s="371" t="n">
        <v>0</v>
      </c>
      <c r="BI96" s="371" t="n">
        <v>0</v>
      </c>
      <c r="BJ96" s="371" t="n">
        <v>0</v>
      </c>
      <c r="BK96" s="371" t="n">
        <v>0</v>
      </c>
      <c r="BL96" s="371" t="n">
        <v>0</v>
      </c>
      <c r="BM96" s="371" t="n">
        <v>0</v>
      </c>
      <c r="BN96" s="371" t="n">
        <v>0</v>
      </c>
      <c r="BO96" s="371" t="n">
        <v>0</v>
      </c>
      <c r="BP96" s="371" t="n">
        <v>0</v>
      </c>
      <c r="BQ96" s="372" t="n">
        <v>0</v>
      </c>
      <c r="BR96" s="175" t="n">
        <f aca="false">IVA!BF96+IVA!BG96+IVA!BH96</f>
        <v>0</v>
      </c>
      <c r="BS96" s="175" t="n">
        <f aca="false">IVA!BI96+IVA!BJ96+IVA!BK96</f>
        <v>0</v>
      </c>
      <c r="BT96" s="175" t="n">
        <f aca="false">IVA!BL96+IVA!BM96+IVA!BN96</f>
        <v>0</v>
      </c>
      <c r="BU96" s="176" t="n">
        <f aca="false">IVA!BO96+IVA!BP96+IVA!BQ96</f>
        <v>0</v>
      </c>
      <c r="BV96" s="137" t="n">
        <f aca="false">IVA!BR96+IVA!BS96+IVA!BT96+IVA!BU96</f>
        <v>0</v>
      </c>
      <c r="BW96" s="138" t="n">
        <f aca="false">IVA!BR96/IVA!CJ6</f>
        <v>0</v>
      </c>
      <c r="BX96" s="139" t="n">
        <f aca="false">IVA!BS96/IVA!CK6</f>
        <v>0</v>
      </c>
      <c r="BY96" s="138" t="n">
        <f aca="false">IVA!BT96/IVA!CL6</f>
        <v>0</v>
      </c>
      <c r="BZ96" s="138" t="n">
        <f aca="false">IVA!BU96/IVA!CM6</f>
        <v>0</v>
      </c>
      <c r="CA96" s="273" t="n">
        <f aca="false">IVA!BV96/IVA!CN6</f>
        <v>0</v>
      </c>
      <c r="CI96" s="239"/>
      <c r="CJ96" s="26"/>
      <c r="CK96" s="26"/>
      <c r="CL96" s="26"/>
      <c r="CM96" s="26"/>
      <c r="CN96" s="26"/>
      <c r="CO96" s="26"/>
      <c r="CP96" s="26"/>
      <c r="CQ96" s="27"/>
      <c r="EJ96" s="31" t="n">
        <v>2044</v>
      </c>
      <c r="EK96" s="32" t="n">
        <v>12394.473</v>
      </c>
      <c r="EL96" s="33" t="n">
        <v>10913.886</v>
      </c>
    </row>
    <row r="97" customFormat="false" ht="12.75" hidden="false" customHeight="true" outlineLevel="0" collapsed="false">
      <c r="AA97" s="357" t="n">
        <v>1999</v>
      </c>
      <c r="AB97" s="357" t="s">
        <v>554</v>
      </c>
      <c r="AC97" s="358"/>
      <c r="AD97" s="359"/>
      <c r="AE97" s="368" t="n">
        <v>14584</v>
      </c>
      <c r="AF97" s="368" t="n">
        <v>15179</v>
      </c>
      <c r="AG97" s="368" t="n">
        <v>19948</v>
      </c>
      <c r="AH97" s="368" t="n">
        <v>16044</v>
      </c>
      <c r="AI97" s="368" t="n">
        <v>16336</v>
      </c>
      <c r="AJ97" s="368" t="n">
        <v>16191</v>
      </c>
      <c r="AK97" s="368" t="n">
        <v>15289</v>
      </c>
      <c r="AL97" s="368" t="n">
        <v>17010</v>
      </c>
      <c r="AM97" s="368" t="n">
        <v>15596</v>
      </c>
      <c r="AN97" s="368" t="n">
        <v>12955</v>
      </c>
      <c r="AO97" s="368" t="n">
        <v>20791</v>
      </c>
      <c r="AP97" s="368" t="n">
        <v>17071</v>
      </c>
      <c r="AQ97" s="128" t="n">
        <f aca="false">IVA!AE97+IVA!AF97+IVA!AG97</f>
        <v>49711</v>
      </c>
      <c r="AR97" s="128" t="n">
        <f aca="false">IVA!AH97+IVA!AI97+IVA!AJ97</f>
        <v>48571</v>
      </c>
      <c r="AS97" s="128" t="n">
        <f aca="false">IVA!AK97+IVA!AL97+IVA!AM97</f>
        <v>47895</v>
      </c>
      <c r="AT97" s="128" t="n">
        <f aca="false">IVA!AN97+IVA!AO97+IVA!AP97</f>
        <v>50817</v>
      </c>
      <c r="AU97" s="129" t="n">
        <f aca="false">IVA!AQ97+IVA!AR97+IVA!AS97+IVA!AT97</f>
        <v>196994</v>
      </c>
      <c r="AV97" s="130" t="n">
        <f aca="false">IVA!AQ97/IVA!CJ8</f>
        <v>0.000183607514053763</v>
      </c>
      <c r="AW97" s="130" t="n">
        <f aca="false">IVA!AR97/IVA!CK8</f>
        <v>0.000168164748213348</v>
      </c>
      <c r="AX97" s="130" t="n">
        <f aca="false">IVA!AS97/IVA!CL8</f>
        <v>0.000168001334351757</v>
      </c>
      <c r="AY97" s="130" t="n">
        <f aca="false">IVA!AT97/IVA!CM8</f>
        <v>0.00017557684277556</v>
      </c>
      <c r="AZ97" s="271" t="n">
        <f aca="false">IVA!AU97/IVA!CN8</f>
        <v>0.000694807769874193</v>
      </c>
      <c r="BA97" s="266" t="n">
        <v>1998</v>
      </c>
      <c r="BB97" s="369" t="s">
        <v>556</v>
      </c>
      <c r="BC97" s="370"/>
      <c r="BD97" s="370"/>
      <c r="BE97" s="370"/>
      <c r="BF97" s="371" t="n">
        <v>0</v>
      </c>
      <c r="BG97" s="371" t="n">
        <v>0</v>
      </c>
      <c r="BH97" s="371" t="n">
        <v>0</v>
      </c>
      <c r="BI97" s="371" t="n">
        <v>0</v>
      </c>
      <c r="BJ97" s="371" t="n">
        <v>0</v>
      </c>
      <c r="BK97" s="371" t="n">
        <v>0</v>
      </c>
      <c r="BL97" s="371" t="n">
        <v>0</v>
      </c>
      <c r="BM97" s="371" t="n">
        <v>0</v>
      </c>
      <c r="BN97" s="371" t="n">
        <v>0</v>
      </c>
      <c r="BO97" s="371" t="n">
        <v>0</v>
      </c>
      <c r="BP97" s="371" t="n">
        <v>0</v>
      </c>
      <c r="BQ97" s="372" t="n">
        <v>0</v>
      </c>
      <c r="BR97" s="175" t="n">
        <f aca="false">IVA!BF97+IVA!BG97+IVA!BH97</f>
        <v>0</v>
      </c>
      <c r="BS97" s="175" t="n">
        <f aca="false">IVA!BI97+IVA!BJ97+IVA!BK97</f>
        <v>0</v>
      </c>
      <c r="BT97" s="175" t="n">
        <f aca="false">IVA!BL97+IVA!BM97+IVA!BN97</f>
        <v>0</v>
      </c>
      <c r="BU97" s="176" t="n">
        <f aca="false">IVA!BO97+IVA!BP97+IVA!BQ97</f>
        <v>0</v>
      </c>
      <c r="BV97" s="137" t="n">
        <f aca="false">IVA!BR97+IVA!BS97+IVA!BT97+IVA!BU97</f>
        <v>0</v>
      </c>
      <c r="BW97" s="138" t="n">
        <f aca="false">IVA!BR97/IVA!CJ7</f>
        <v>0</v>
      </c>
      <c r="BX97" s="139" t="n">
        <f aca="false">IVA!BS97/IVA!CK7</f>
        <v>0</v>
      </c>
      <c r="BY97" s="138" t="n">
        <f aca="false">IVA!BT97/IVA!CL7</f>
        <v>0</v>
      </c>
      <c r="BZ97" s="138" t="n">
        <f aca="false">IVA!BU97/IVA!CM7</f>
        <v>0</v>
      </c>
      <c r="CA97" s="273" t="n">
        <f aca="false">IVA!BV97/IVA!CN7</f>
        <v>0</v>
      </c>
      <c r="CI97" s="25" t="s">
        <v>557</v>
      </c>
      <c r="CJ97" s="26"/>
      <c r="CK97" s="26"/>
      <c r="CL97" s="26"/>
      <c r="CM97" s="26"/>
      <c r="CN97" s="26"/>
      <c r="CO97" s="26"/>
      <c r="CP97" s="26"/>
      <c r="CQ97" s="27"/>
      <c r="EJ97" s="31" t="n">
        <v>2045</v>
      </c>
      <c r="EK97" s="32" t="n">
        <v>12639.037</v>
      </c>
      <c r="EL97" s="33" t="n">
        <v>11163.808</v>
      </c>
    </row>
    <row r="98" customFormat="false" ht="12.75" hidden="false" customHeight="true" outlineLevel="0" collapsed="false">
      <c r="AA98" s="357" t="n">
        <v>2000</v>
      </c>
      <c r="AB98" s="357" t="s">
        <v>554</v>
      </c>
      <c r="AC98" s="358"/>
      <c r="AD98" s="359"/>
      <c r="AE98" s="368" t="n">
        <v>31046.8391</v>
      </c>
      <c r="AF98" s="368" t="n">
        <v>49270.08454</v>
      </c>
      <c r="AG98" s="368" t="n">
        <v>40197.96808</v>
      </c>
      <c r="AH98" s="368" t="n">
        <v>50831.70567</v>
      </c>
      <c r="AI98" s="368" t="n">
        <v>57176.7896</v>
      </c>
      <c r="AJ98" s="368" t="n">
        <v>47571.9288</v>
      </c>
      <c r="AK98" s="368" t="n">
        <v>41448.2626</v>
      </c>
      <c r="AL98" s="368" t="n">
        <v>39396.0924</v>
      </c>
      <c r="AM98" s="368" t="n">
        <v>28850.157</v>
      </c>
      <c r="AN98" s="368" t="n">
        <v>56198.9819</v>
      </c>
      <c r="AO98" s="368" t="n">
        <v>18664.02942</v>
      </c>
      <c r="AP98" s="368" t="n">
        <v>26601.91615</v>
      </c>
      <c r="AQ98" s="128" t="n">
        <f aca="false">IVA!AE98+IVA!AF98+IVA!AG98</f>
        <v>120514.89172</v>
      </c>
      <c r="AR98" s="128" t="n">
        <f aca="false">IVA!AH98+IVA!AI98+IVA!AJ98</f>
        <v>155580.42407</v>
      </c>
      <c r="AS98" s="128" t="n">
        <f aca="false">IVA!AK98+IVA!AL98+IVA!AM98</f>
        <v>109694.512</v>
      </c>
      <c r="AT98" s="128" t="n">
        <f aca="false">IVA!AN98+IVA!AO98+IVA!AP98</f>
        <v>101464.92747</v>
      </c>
      <c r="AU98" s="129" t="n">
        <f aca="false">IVA!AQ98+IVA!AR98+IVA!AS98+IVA!AT98</f>
        <v>487254.75526</v>
      </c>
      <c r="AV98" s="130" t="n">
        <f aca="false">IVA!AQ98/IVA!CJ9</f>
        <v>0.000445618655692121</v>
      </c>
      <c r="AW98" s="130" t="n">
        <f aca="false">IVA!AR98/IVA!CK9</f>
        <v>0.000533182160478721</v>
      </c>
      <c r="AX98" s="130" t="n">
        <f aca="false">IVA!AS98/IVA!CL9</f>
        <v>0.000381551911836492</v>
      </c>
      <c r="AY98" s="130" t="n">
        <f aca="false">IVA!AT98/IVA!CM9</f>
        <v>0.000353439029336737</v>
      </c>
      <c r="AZ98" s="271" t="n">
        <f aca="false">IVA!AU98/IVA!CN9</f>
        <v>0.00171445582114806</v>
      </c>
      <c r="BA98" s="266" t="n">
        <v>1999</v>
      </c>
      <c r="BB98" s="369" t="s">
        <v>556</v>
      </c>
      <c r="BC98" s="370"/>
      <c r="BD98" s="370"/>
      <c r="BE98" s="370"/>
      <c r="BF98" s="371" t="n">
        <v>0</v>
      </c>
      <c r="BG98" s="371" t="n">
        <v>95490</v>
      </c>
      <c r="BH98" s="371" t="n">
        <v>100975</v>
      </c>
      <c r="BI98" s="371" t="n">
        <v>104753</v>
      </c>
      <c r="BJ98" s="371" t="n">
        <v>82269</v>
      </c>
      <c r="BK98" s="371" t="n">
        <v>50824</v>
      </c>
      <c r="BL98" s="371" t="n">
        <v>49985</v>
      </c>
      <c r="BM98" s="371" t="n">
        <v>52554</v>
      </c>
      <c r="BN98" s="371" t="n">
        <v>50906</v>
      </c>
      <c r="BO98" s="371" t="n">
        <v>52032</v>
      </c>
      <c r="BP98" s="371" t="n">
        <v>50171</v>
      </c>
      <c r="BQ98" s="372" t="n">
        <v>49759</v>
      </c>
      <c r="BR98" s="175" t="n">
        <f aca="false">IVA!BF98+IVA!BG98+IVA!BH98</f>
        <v>196465</v>
      </c>
      <c r="BS98" s="175" t="n">
        <f aca="false">IVA!BI98+IVA!BJ98+IVA!BK98</f>
        <v>237846</v>
      </c>
      <c r="BT98" s="175" t="n">
        <f aca="false">IVA!BL98+IVA!BM98+IVA!BN98</f>
        <v>153445</v>
      </c>
      <c r="BU98" s="176" t="n">
        <f aca="false">IVA!BO98+IVA!BP98+IVA!BQ98</f>
        <v>151962</v>
      </c>
      <c r="BV98" s="137" t="n">
        <f aca="false">IVA!BR98+IVA!BS98+IVA!BT98+IVA!BU98</f>
        <v>739718</v>
      </c>
      <c r="BW98" s="138" t="n">
        <f aca="false">IVA!BR98/IVA!CJ8</f>
        <v>0.000725643222799229</v>
      </c>
      <c r="BX98" s="139" t="n">
        <f aca="false">IVA!BS98/IVA!CK8</f>
        <v>0.000823481351085052</v>
      </c>
      <c r="BY98" s="138" t="n">
        <f aca="false">IVA!BT98/IVA!CL8</f>
        <v>0.000538239163787562</v>
      </c>
      <c r="BZ98" s="138" t="n">
        <f aca="false">IVA!BU98/IVA!CM8</f>
        <v>0.000525040993798525</v>
      </c>
      <c r="CA98" s="273" t="n">
        <f aca="false">IVA!BV98/IVA!CN8</f>
        <v>0.0026090226804664</v>
      </c>
      <c r="CI98" s="239"/>
      <c r="CJ98" s="26"/>
      <c r="CK98" s="26"/>
      <c r="CL98" s="26"/>
      <c r="CM98" s="26"/>
      <c r="CN98" s="26"/>
      <c r="CO98" s="26"/>
      <c r="CP98" s="26"/>
      <c r="CQ98" s="27"/>
      <c r="EJ98" s="31" t="n">
        <v>2046</v>
      </c>
      <c r="EK98" s="32" t="n">
        <v>12882.077</v>
      </c>
      <c r="EL98" s="33" t="n">
        <v>11406.061</v>
      </c>
    </row>
    <row r="99" customFormat="false" ht="12.75" hidden="false" customHeight="true" outlineLevel="0" collapsed="false">
      <c r="AA99" s="357" t="n">
        <v>2001</v>
      </c>
      <c r="AB99" s="357" t="s">
        <v>554</v>
      </c>
      <c r="AC99" s="358"/>
      <c r="AD99" s="359"/>
      <c r="AE99" s="368" t="n">
        <v>40056.8552</v>
      </c>
      <c r="AF99" s="368" t="n">
        <v>23574.36926</v>
      </c>
      <c r="AG99" s="368" t="n">
        <v>22601.23396</v>
      </c>
      <c r="AH99" s="368" t="n">
        <v>17459.56136</v>
      </c>
      <c r="AI99" s="368" t="n">
        <v>15014.27433</v>
      </c>
      <c r="AJ99" s="368" t="n">
        <v>13119.98309</v>
      </c>
      <c r="AK99" s="368" t="n">
        <v>20025.12111</v>
      </c>
      <c r="AL99" s="368" t="n">
        <v>15077.02339</v>
      </c>
      <c r="AM99" s="368" t="n">
        <v>12518.17374</v>
      </c>
      <c r="AN99" s="368" t="n">
        <v>19146.36152</v>
      </c>
      <c r="AO99" s="368" t="n">
        <v>16114.9123</v>
      </c>
      <c r="AP99" s="368" t="n">
        <v>11145.43043</v>
      </c>
      <c r="AQ99" s="128" t="n">
        <f aca="false">IVA!AE99+IVA!AF99+IVA!AG99</f>
        <v>86232.45842</v>
      </c>
      <c r="AR99" s="128" t="n">
        <f aca="false">IVA!AH99+IVA!AI99+IVA!AJ99</f>
        <v>45593.81878</v>
      </c>
      <c r="AS99" s="128" t="n">
        <f aca="false">IVA!AK99+IVA!AL99+IVA!AM99</f>
        <v>47620.31824</v>
      </c>
      <c r="AT99" s="128" t="n">
        <f aca="false">IVA!AN99+IVA!AO99+IVA!AP99</f>
        <v>46406.70425</v>
      </c>
      <c r="AU99" s="129" t="n">
        <f aca="false">IVA!AQ99+IVA!AR99+IVA!AS99+IVA!AT99</f>
        <v>225853.29969</v>
      </c>
      <c r="AV99" s="130" t="n">
        <f aca="false">IVA!AQ99/IVA!CJ10</f>
        <v>0.000327467933589285</v>
      </c>
      <c r="AW99" s="130" t="n">
        <f aca="false">IVA!AR99/IVA!CK10</f>
        <v>0.000158297538664242</v>
      </c>
      <c r="AX99" s="130" t="n">
        <f aca="false">IVA!AS99/IVA!CL10</f>
        <v>0.000175482937822303</v>
      </c>
      <c r="AY99" s="130" t="n">
        <f aca="false">IVA!AT99/IVA!CM10</f>
        <v>0.000184107602071016</v>
      </c>
      <c r="AZ99" s="271" t="n">
        <f aca="false">IVA!AU99/IVA!CN10</f>
        <v>0.000840551046084029</v>
      </c>
      <c r="BA99" s="266" t="n">
        <v>2000</v>
      </c>
      <c r="BB99" s="369" t="s">
        <v>556</v>
      </c>
      <c r="BC99" s="370"/>
      <c r="BD99" s="370"/>
      <c r="BE99" s="370"/>
      <c r="BF99" s="371" t="n">
        <v>48328.66137</v>
      </c>
      <c r="BG99" s="371" t="n">
        <v>50460.43126</v>
      </c>
      <c r="BH99" s="371" t="n">
        <v>46924.79368</v>
      </c>
      <c r="BI99" s="371" t="n">
        <v>48187.19627</v>
      </c>
      <c r="BJ99" s="371" t="n">
        <v>55278.5558</v>
      </c>
      <c r="BK99" s="371" t="n">
        <v>48411.29977</v>
      </c>
      <c r="BL99" s="371" t="n">
        <v>44940.1065</v>
      </c>
      <c r="BM99" s="371" t="n">
        <v>47560.5757</v>
      </c>
      <c r="BN99" s="371" t="n">
        <v>45678.1885</v>
      </c>
      <c r="BO99" s="371" t="n">
        <v>49201.5801</v>
      </c>
      <c r="BP99" s="371" t="n">
        <v>51195.83588</v>
      </c>
      <c r="BQ99" s="372" t="n">
        <v>63967.49178</v>
      </c>
      <c r="BR99" s="175" t="n">
        <f aca="false">IVA!BF99+IVA!BG99+IVA!BH99</f>
        <v>145713.88631</v>
      </c>
      <c r="BS99" s="175" t="n">
        <f aca="false">IVA!BI99+IVA!BJ99+IVA!BK99</f>
        <v>151877.05184</v>
      </c>
      <c r="BT99" s="175" t="n">
        <f aca="false">IVA!BL99+IVA!BM99+IVA!BN99</f>
        <v>138178.8707</v>
      </c>
      <c r="BU99" s="176" t="n">
        <f aca="false">IVA!BO99+IVA!BP99+IVA!BQ99</f>
        <v>164364.90776</v>
      </c>
      <c r="BV99" s="137" t="n">
        <f aca="false">IVA!BR99+IVA!BS99+IVA!BT99+IVA!BU99</f>
        <v>600134.71661</v>
      </c>
      <c r="BW99" s="138" t="n">
        <f aca="false">IVA!BR99/IVA!CJ9</f>
        <v>0.00053879504189407</v>
      </c>
      <c r="BX99" s="139" t="n">
        <f aca="false">IVA!BS99/IVA!CK9</f>
        <v>0.0005204905122945</v>
      </c>
      <c r="BY99" s="138" t="n">
        <f aca="false">IVA!BT99/IVA!CL9</f>
        <v>0.000480629443804741</v>
      </c>
      <c r="BZ99" s="138" t="n">
        <f aca="false">IVA!BU99/IVA!CM9</f>
        <v>0.000572542403609296</v>
      </c>
      <c r="CA99" s="273" t="n">
        <f aca="false">IVA!BV99/IVA!CN9</f>
        <v>0.00211163554025457</v>
      </c>
      <c r="CI99" s="239"/>
      <c r="CJ99" s="26"/>
      <c r="CK99" s="26"/>
      <c r="CL99" s="26"/>
      <c r="CM99" s="26"/>
      <c r="CN99" s="26"/>
      <c r="CO99" s="26"/>
      <c r="CP99" s="26"/>
      <c r="CQ99" s="27"/>
      <c r="EJ99" s="31" t="n">
        <v>2047</v>
      </c>
      <c r="EK99" s="32" t="n">
        <v>13118.717</v>
      </c>
      <c r="EL99" s="33" t="n">
        <v>11633.717</v>
      </c>
    </row>
    <row r="100" customFormat="false" ht="12.75" hidden="false" customHeight="true" outlineLevel="0" collapsed="false">
      <c r="AA100" s="357" t="n">
        <v>2002</v>
      </c>
      <c r="AB100" s="357" t="s">
        <v>554</v>
      </c>
      <c r="AC100" s="358"/>
      <c r="AD100" s="359"/>
      <c r="AE100" s="368" t="n">
        <v>22867.59895</v>
      </c>
      <c r="AF100" s="368" t="n">
        <v>13214.75745</v>
      </c>
      <c r="AG100" s="368" t="n">
        <v>15155.33966</v>
      </c>
      <c r="AH100" s="368" t="n">
        <v>19793.23831</v>
      </c>
      <c r="AI100" s="368" t="n">
        <v>16906.7945</v>
      </c>
      <c r="AJ100" s="368" t="n">
        <v>13243.25234</v>
      </c>
      <c r="AK100" s="368" t="n">
        <v>20689.13542</v>
      </c>
      <c r="AL100" s="368" t="n">
        <v>18094.73271</v>
      </c>
      <c r="AM100" s="368" t="n">
        <v>19195.11182</v>
      </c>
      <c r="AN100" s="368" t="n">
        <v>17625.71288</v>
      </c>
      <c r="AO100" s="368" t="n">
        <v>15122.65927</v>
      </c>
      <c r="AP100" s="368" t="n">
        <v>25725.75867</v>
      </c>
      <c r="AQ100" s="128" t="n">
        <f aca="false">IVA!AE100+IVA!AF100+IVA!AG100</f>
        <v>51237.69606</v>
      </c>
      <c r="AR100" s="128" t="n">
        <f aca="false">IVA!AH100+IVA!AI100+IVA!AJ100</f>
        <v>49943.28515</v>
      </c>
      <c r="AS100" s="128" t="n">
        <f aca="false">IVA!AK100+IVA!AL100+IVA!AM100</f>
        <v>57978.97995</v>
      </c>
      <c r="AT100" s="128" t="n">
        <f aca="false">IVA!AN100+IVA!AO100+IVA!AP100</f>
        <v>58474.13082</v>
      </c>
      <c r="AU100" s="129" t="n">
        <f aca="false">IVA!AQ100+IVA!AR100+IVA!AS100+IVA!AT100</f>
        <v>217634.09198</v>
      </c>
      <c r="AV100" s="130" t="n">
        <f aca="false">IVA!AQ100/IVA!CJ11</f>
        <v>0.000216140827142839</v>
      </c>
      <c r="AW100" s="130" t="n">
        <f aca="false">IVA!AR100/IVA!CK11</f>
        <v>0.000147321760661141</v>
      </c>
      <c r="AX100" s="130" t="n">
        <f aca="false">IVA!AS100/IVA!CL11</f>
        <v>0.00017358652203171</v>
      </c>
      <c r="AY100" s="130" t="n">
        <f aca="false">IVA!AT100/IVA!CM11</f>
        <v>0.0001718566641504</v>
      </c>
      <c r="AZ100" s="271" t="n">
        <f aca="false">IVA!AU100/IVA!CN11</f>
        <v>0.000696250533678235</v>
      </c>
      <c r="BA100" s="266" t="n">
        <v>2001</v>
      </c>
      <c r="BB100" s="369" t="s">
        <v>556</v>
      </c>
      <c r="BC100" s="370"/>
      <c r="BD100" s="370"/>
      <c r="BE100" s="370"/>
      <c r="BF100" s="371" t="n">
        <v>45423.03395</v>
      </c>
      <c r="BG100" s="371" t="n">
        <v>55019.76553</v>
      </c>
      <c r="BH100" s="371" t="n">
        <v>52677.4399</v>
      </c>
      <c r="BI100" s="371" t="n">
        <v>47280.25366</v>
      </c>
      <c r="BJ100" s="371" t="n">
        <v>65167.24956</v>
      </c>
      <c r="BK100" s="371" t="n">
        <v>47518.16741</v>
      </c>
      <c r="BL100" s="371" t="n">
        <v>41203.18603</v>
      </c>
      <c r="BM100" s="371" t="n">
        <v>44355.54726</v>
      </c>
      <c r="BN100" s="371" t="n">
        <v>33345.8704</v>
      </c>
      <c r="BO100" s="371" t="n">
        <v>35811.22728</v>
      </c>
      <c r="BP100" s="371" t="n">
        <v>47754.73435</v>
      </c>
      <c r="BQ100" s="372" t="n">
        <v>34449.72787</v>
      </c>
      <c r="BR100" s="175" t="n">
        <f aca="false">IVA!BF100+IVA!BG100+IVA!BH100</f>
        <v>153120.23938</v>
      </c>
      <c r="BS100" s="175" t="n">
        <f aca="false">IVA!BI100+IVA!BJ100+IVA!BK100</f>
        <v>159965.67063</v>
      </c>
      <c r="BT100" s="175" t="n">
        <f aca="false">IVA!BL100+IVA!BM100+IVA!BN100</f>
        <v>118904.60369</v>
      </c>
      <c r="BU100" s="176" t="n">
        <f aca="false">IVA!BO100+IVA!BP100+IVA!BQ100</f>
        <v>118015.6895</v>
      </c>
      <c r="BV100" s="137" t="n">
        <f aca="false">IVA!BR100+IVA!BS100+IVA!BT100+IVA!BU100</f>
        <v>550006.2032</v>
      </c>
      <c r="BW100" s="138" t="n">
        <f aca="false">IVA!BR100/IVA!CJ10</f>
        <v>0.000581474415773304</v>
      </c>
      <c r="BX100" s="139" t="n">
        <f aca="false">IVA!BS100/IVA!CK10</f>
        <v>0.000555386072258802</v>
      </c>
      <c r="BY100" s="138" t="n">
        <f aca="false">IVA!BT100/IVA!CL10</f>
        <v>0.000438168621027633</v>
      </c>
      <c r="BZ100" s="138" t="n">
        <f aca="false">IVA!BU100/IVA!CM10</f>
        <v>0.000468199281801025</v>
      </c>
      <c r="CA100" s="273" t="n">
        <f aca="false">IVA!BV100/IVA!CN10</f>
        <v>0.00204694060297997</v>
      </c>
      <c r="CI100" s="235"/>
      <c r="CJ100" s="77"/>
      <c r="CK100" s="78"/>
      <c r="CL100" s="78"/>
      <c r="CM100" s="78"/>
      <c r="CN100" s="78"/>
      <c r="CP100" s="63"/>
      <c r="CQ100" s="13"/>
      <c r="CS100" s="77"/>
      <c r="EJ100" s="31" t="n">
        <v>2048</v>
      </c>
      <c r="EK100" s="32" t="n">
        <v>13351.638</v>
      </c>
      <c r="EL100" s="33" t="n">
        <v>11852.098</v>
      </c>
    </row>
    <row r="101" customFormat="false" ht="12.75" hidden="false" customHeight="true" outlineLevel="0" collapsed="false">
      <c r="AA101" s="357" t="n">
        <v>2003</v>
      </c>
      <c r="AB101" s="357" t="s">
        <v>554</v>
      </c>
      <c r="AC101" s="358"/>
      <c r="AD101" s="359"/>
      <c r="AE101" s="368" t="n">
        <v>20409.48373</v>
      </c>
      <c r="AF101" s="368" t="n">
        <v>16143.18521</v>
      </c>
      <c r="AG101" s="368" t="n">
        <v>18558.94812</v>
      </c>
      <c r="AH101" s="368" t="n">
        <v>24314.70476</v>
      </c>
      <c r="AI101" s="368" t="n">
        <v>19110.17911</v>
      </c>
      <c r="AJ101" s="368" t="n">
        <v>19594.12064</v>
      </c>
      <c r="AK101" s="368" t="n">
        <v>19016.00391</v>
      </c>
      <c r="AL101" s="368" t="n">
        <v>18894.05274</v>
      </c>
      <c r="AM101" s="368" t="n">
        <v>28911.84481</v>
      </c>
      <c r="AN101" s="368" t="n">
        <v>18473.28346</v>
      </c>
      <c r="AO101" s="368" t="n">
        <v>17349.56195</v>
      </c>
      <c r="AP101" s="368" t="n">
        <v>35529.3641</v>
      </c>
      <c r="AQ101" s="128" t="n">
        <f aca="false">IVA!AE101+IVA!AF101+IVA!AG101</f>
        <v>55111.61706</v>
      </c>
      <c r="AR101" s="128" t="n">
        <f aca="false">IVA!AH101+IVA!AI101+IVA!AJ101</f>
        <v>63019.00451</v>
      </c>
      <c r="AS101" s="128" t="n">
        <f aca="false">IVA!AK101+IVA!AL101+IVA!AM101</f>
        <v>66821.90146</v>
      </c>
      <c r="AT101" s="128" t="n">
        <f aca="false">IVA!AN101+IVA!AO101+IVA!AP101</f>
        <v>71352.20951</v>
      </c>
      <c r="AU101" s="129" t="n">
        <f aca="false">IVA!AQ101+IVA!AR101+IVA!AS101+IVA!AT101</f>
        <v>256304.73254</v>
      </c>
      <c r="AV101" s="130" t="n">
        <f aca="false">IVA!AQ101/IVA!CJ12</f>
        <v>0.000168350685357494</v>
      </c>
      <c r="AW101" s="130" t="n">
        <f aca="false">IVA!AR101/IVA!CK12</f>
        <v>0.000157895340229997</v>
      </c>
      <c r="AX101" s="130" t="n">
        <f aca="false">IVA!AS101/IVA!CL12</f>
        <v>0.000176830265451739</v>
      </c>
      <c r="AY101" s="130" t="n">
        <f aca="false">IVA!AT101/IVA!CM12</f>
        <v>0.000178706842908932</v>
      </c>
      <c r="AZ101" s="271" t="n">
        <f aca="false">IVA!AU101/IVA!CN12</f>
        <v>0.000681825883738911</v>
      </c>
      <c r="BA101" s="266" t="n">
        <v>2002</v>
      </c>
      <c r="BB101" s="369" t="s">
        <v>556</v>
      </c>
      <c r="BC101" s="370"/>
      <c r="BD101" s="370"/>
      <c r="BE101" s="370"/>
      <c r="BF101" s="371" t="n">
        <v>37336.24212</v>
      </c>
      <c r="BG101" s="371" t="n">
        <v>30813.60531</v>
      </c>
      <c r="BH101" s="371" t="n">
        <v>33889.96008</v>
      </c>
      <c r="BI101" s="371" t="n">
        <v>33624.16204</v>
      </c>
      <c r="BJ101" s="371" t="n">
        <v>36930.91892</v>
      </c>
      <c r="BK101" s="371" t="n">
        <v>40746.09666</v>
      </c>
      <c r="BL101" s="371" t="n">
        <v>53051.38171</v>
      </c>
      <c r="BM101" s="371" t="n">
        <v>51088.66943</v>
      </c>
      <c r="BN101" s="371" t="n">
        <v>69444.88132</v>
      </c>
      <c r="BO101" s="371" t="n">
        <v>45923.22313</v>
      </c>
      <c r="BP101" s="371" t="n">
        <v>55949.43928</v>
      </c>
      <c r="BQ101" s="372" t="n">
        <v>45821.61465</v>
      </c>
      <c r="BR101" s="175" t="n">
        <f aca="false">IVA!BF101+IVA!BG101+IVA!BH101</f>
        <v>102039.80751</v>
      </c>
      <c r="BS101" s="175" t="n">
        <f aca="false">IVA!BI101+IVA!BJ101+IVA!BK101</f>
        <v>111301.17762</v>
      </c>
      <c r="BT101" s="175" t="n">
        <f aca="false">IVA!BL101+IVA!BM101+IVA!BN101</f>
        <v>173584.93246</v>
      </c>
      <c r="BU101" s="176" t="n">
        <f aca="false">IVA!BO101+IVA!BP101+IVA!BQ101</f>
        <v>147694.27706</v>
      </c>
      <c r="BV101" s="137" t="n">
        <f aca="false">IVA!BR101+IVA!BS101+IVA!BT101+IVA!BU101</f>
        <v>534620.19465</v>
      </c>
      <c r="BW101" s="138" t="n">
        <f aca="false">IVA!BR101/IVA!CJ11</f>
        <v>0.000430444186461484</v>
      </c>
      <c r="BX101" s="139" t="n">
        <f aca="false">IVA!BS101/IVA!CK11</f>
        <v>0.000328314114728129</v>
      </c>
      <c r="BY101" s="138" t="n">
        <f aca="false">IVA!BT101/IVA!CL11</f>
        <v>0.000519705671414468</v>
      </c>
      <c r="BZ101" s="138" t="n">
        <f aca="false">IVA!BU101/IVA!CM11</f>
        <v>0.000434076495258568</v>
      </c>
      <c r="CA101" s="273" t="n">
        <f aca="false">IVA!BV101/IVA!CN11</f>
        <v>0.00171034598694414</v>
      </c>
      <c r="CI101" s="235"/>
      <c r="CJ101" s="93" t="s">
        <v>558</v>
      </c>
      <c r="CK101" s="94" t="s">
        <v>559</v>
      </c>
      <c r="CL101" s="94" t="s">
        <v>560</v>
      </c>
      <c r="CM101" s="94" t="s">
        <v>561</v>
      </c>
      <c r="CN101" s="94" t="s">
        <v>562</v>
      </c>
      <c r="CP101" s="63"/>
      <c r="CQ101" s="13"/>
      <c r="CS101" s="93" t="s">
        <v>563</v>
      </c>
      <c r="EJ101" s="31" t="n">
        <v>2049</v>
      </c>
      <c r="EK101" s="32" t="n">
        <v>13584.419</v>
      </c>
      <c r="EL101" s="33" t="n">
        <v>12069.374</v>
      </c>
    </row>
    <row r="102" customFormat="false" ht="12.75" hidden="false" customHeight="true" outlineLevel="0" collapsed="false">
      <c r="AA102" s="357" t="n">
        <v>2004</v>
      </c>
      <c r="AB102" s="357" t="s">
        <v>554</v>
      </c>
      <c r="AC102" s="358"/>
      <c r="AD102" s="359"/>
      <c r="AE102" s="368" t="n">
        <v>26769.03987</v>
      </c>
      <c r="AF102" s="368" t="n">
        <v>20993.7117</v>
      </c>
      <c r="AG102" s="368" t="n">
        <v>36869.75298</v>
      </c>
      <c r="AH102" s="368" t="n">
        <v>14624.99629</v>
      </c>
      <c r="AI102" s="368" t="n">
        <v>34289.5952</v>
      </c>
      <c r="AJ102" s="368" t="n">
        <v>25824.68523</v>
      </c>
      <c r="AK102" s="368" t="n">
        <v>25054.75152</v>
      </c>
      <c r="AL102" s="368" t="n">
        <v>30417.18646</v>
      </c>
      <c r="AM102" s="368" t="n">
        <v>27671.8026</v>
      </c>
      <c r="AN102" s="368" t="n">
        <v>23370.5652</v>
      </c>
      <c r="AO102" s="368" t="n">
        <v>38194.31215</v>
      </c>
      <c r="AP102" s="368" t="n">
        <v>39319.46483</v>
      </c>
      <c r="AQ102" s="128" t="n">
        <f aca="false">IVA!AE102+IVA!AF102+IVA!AG102</f>
        <v>84632.50455</v>
      </c>
      <c r="AR102" s="128" t="n">
        <f aca="false">IVA!AH102+IVA!AI102+IVA!AJ102</f>
        <v>74739.27672</v>
      </c>
      <c r="AS102" s="128" t="n">
        <f aca="false">IVA!AK102+IVA!AL102+IVA!AM102</f>
        <v>83143.74058</v>
      </c>
      <c r="AT102" s="128" t="n">
        <f aca="false">IVA!AN102+IVA!AO102+IVA!AP102</f>
        <v>100884.34218</v>
      </c>
      <c r="AU102" s="129" t="n">
        <f aca="false">IVA!AQ102+IVA!AR102+IVA!AS102+IVA!AT102</f>
        <v>343399.86403</v>
      </c>
      <c r="AV102" s="130" t="n">
        <f aca="false">IVA!AQ102/IVA!CJ13</f>
        <v>0.000215450208494032</v>
      </c>
      <c r="AW102" s="130" t="n">
        <f aca="false">IVA!AR102/IVA!CK13</f>
        <v>0.000157606948990196</v>
      </c>
      <c r="AX102" s="130" t="n">
        <f aca="false">IVA!AS102/IVA!CL13</f>
        <v>0.000183913914361055</v>
      </c>
      <c r="AY102" s="130" t="n">
        <f aca="false">IVA!AT102/IVA!CM13</f>
        <v>0.000213981222397745</v>
      </c>
      <c r="AZ102" s="271" t="n">
        <f aca="false">IVA!AU102/IVA!CN13</f>
        <v>0.000767128130023636</v>
      </c>
      <c r="BA102" s="266" t="n">
        <v>2003</v>
      </c>
      <c r="BB102" s="369" t="s">
        <v>556</v>
      </c>
      <c r="BC102" s="370"/>
      <c r="BD102" s="370"/>
      <c r="BE102" s="370"/>
      <c r="BF102" s="371" t="n">
        <v>50487.24633</v>
      </c>
      <c r="BG102" s="371" t="n">
        <v>47229.13873</v>
      </c>
      <c r="BH102" s="371" t="n">
        <v>57659.48364</v>
      </c>
      <c r="BI102" s="371" t="n">
        <v>44352.45531</v>
      </c>
      <c r="BJ102" s="371" t="n">
        <v>303692.93894</v>
      </c>
      <c r="BK102" s="371" t="n">
        <v>115460.73852</v>
      </c>
      <c r="BL102" s="371" t="n">
        <v>114007.01231</v>
      </c>
      <c r="BM102" s="371" t="n">
        <v>129954.89895</v>
      </c>
      <c r="BN102" s="371" t="n">
        <v>127889.05101</v>
      </c>
      <c r="BO102" s="371" t="n">
        <v>123858.52696</v>
      </c>
      <c r="BP102" s="371" t="n">
        <v>127362.45438</v>
      </c>
      <c r="BQ102" s="372" t="n">
        <v>120814.83112</v>
      </c>
      <c r="BR102" s="175" t="n">
        <f aca="false">IVA!BF102+IVA!BG102+IVA!BH102</f>
        <v>155375.8687</v>
      </c>
      <c r="BS102" s="175" t="n">
        <f aca="false">IVA!BI102+IVA!BJ102+IVA!BK102</f>
        <v>463506.13277</v>
      </c>
      <c r="BT102" s="175" t="n">
        <f aca="false">IVA!BL102+IVA!BM102+IVA!BN102</f>
        <v>371850.96227</v>
      </c>
      <c r="BU102" s="176" t="n">
        <f aca="false">IVA!BO102+IVA!BP102+IVA!BQ102</f>
        <v>372035.81246</v>
      </c>
      <c r="BV102" s="137" t="n">
        <f aca="false">IVA!BR102+IVA!BS102+IVA!BT102+IVA!BU102</f>
        <v>1362768.7762</v>
      </c>
      <c r="BW102" s="138" t="n">
        <f aca="false">IVA!BR102/IVA!CJ12</f>
        <v>0.000474630130253359</v>
      </c>
      <c r="BX102" s="139" t="n">
        <f aca="false">IVA!BS102/IVA!CK12</f>
        <v>0.00116132362136562</v>
      </c>
      <c r="BY102" s="138" t="n">
        <f aca="false">IVA!BT102/IVA!CL12</f>
        <v>0.000984026238852989</v>
      </c>
      <c r="BZ102" s="138" t="n">
        <f aca="false">IVA!BU102/IVA!CM12</f>
        <v>0.000931790983774205</v>
      </c>
      <c r="CA102" s="273" t="n">
        <f aca="false">IVA!BV102/IVA!CN12</f>
        <v>0.00362525894842519</v>
      </c>
      <c r="CI102" s="235"/>
      <c r="CJ102" s="281"/>
      <c r="CK102" s="281"/>
      <c r="CL102" s="281"/>
      <c r="CM102" s="281"/>
      <c r="CN102" s="281"/>
      <c r="CP102" s="63"/>
      <c r="CQ102" s="13"/>
      <c r="CS102" s="373"/>
      <c r="EJ102" s="31" t="n">
        <v>2050</v>
      </c>
      <c r="EK102" s="32" t="n">
        <v>13820.074</v>
      </c>
      <c r="EL102" s="33" t="n">
        <v>12291.46</v>
      </c>
    </row>
    <row r="103" customFormat="false" ht="12.75" hidden="false" customHeight="true" outlineLevel="0" collapsed="false">
      <c r="AA103" s="357" t="n">
        <v>2005</v>
      </c>
      <c r="AB103" s="357" t="s">
        <v>554</v>
      </c>
      <c r="AC103" s="358"/>
      <c r="AD103" s="359"/>
      <c r="AE103" s="368" t="n">
        <v>29476.79687</v>
      </c>
      <c r="AF103" s="368" t="n">
        <v>23860.03131</v>
      </c>
      <c r="AG103" s="368" t="n">
        <v>42791.13624</v>
      </c>
      <c r="AH103" s="368" t="n">
        <v>25253.05555</v>
      </c>
      <c r="AI103" s="368" t="n">
        <v>45737.67761</v>
      </c>
      <c r="AJ103" s="368" t="n">
        <v>27901.86088</v>
      </c>
      <c r="AK103" s="368" t="n">
        <v>23586.61138</v>
      </c>
      <c r="AL103" s="368" t="n">
        <v>44031.7083</v>
      </c>
      <c r="AM103" s="368" t="n">
        <v>22577.01407</v>
      </c>
      <c r="AN103" s="368" t="n">
        <v>31741.02513</v>
      </c>
      <c r="AO103" s="368" t="n">
        <v>36283.89362</v>
      </c>
      <c r="AP103" s="368" t="n">
        <v>38845.20004</v>
      </c>
      <c r="AQ103" s="128" t="n">
        <f aca="false">IVA!AE103+IVA!AF103+IVA!AG103</f>
        <v>96127.96442</v>
      </c>
      <c r="AR103" s="128" t="n">
        <f aca="false">IVA!AH103+IVA!AI103+IVA!AJ103</f>
        <v>98892.59404</v>
      </c>
      <c r="AS103" s="128" t="n">
        <f aca="false">IVA!AK103+IVA!AL103+IVA!AM103</f>
        <v>90195.33375</v>
      </c>
      <c r="AT103" s="128" t="n">
        <f aca="false">IVA!AN103+IVA!AO103+IVA!AP103</f>
        <v>106870.11879</v>
      </c>
      <c r="AU103" s="129" t="n">
        <f aca="false">IVA!AQ103+IVA!AR103+IVA!AS103+IVA!AT103</f>
        <v>392086.011</v>
      </c>
      <c r="AV103" s="130" t="n">
        <f aca="false">IVA!AQ103/IVA!CJ14</f>
        <v>0.000210454336199876</v>
      </c>
      <c r="AW103" s="130" t="n">
        <f aca="false">IVA!AR103/IVA!CK14</f>
        <v>0.000179019689166271</v>
      </c>
      <c r="AX103" s="130" t="n">
        <f aca="false">IVA!AS103/IVA!CL14</f>
        <v>0.000165730734352586</v>
      </c>
      <c r="AY103" s="130" t="n">
        <f aca="false">IVA!AT103/IVA!CM14</f>
        <v>0.0001860710438759</v>
      </c>
      <c r="AZ103" s="271" t="n">
        <f aca="false">IVA!AU103/IVA!CN14</f>
        <v>0.000737088680642285</v>
      </c>
      <c r="BA103" s="266" t="n">
        <v>2004</v>
      </c>
      <c r="BB103" s="369" t="s">
        <v>556</v>
      </c>
      <c r="BC103" s="370"/>
      <c r="BD103" s="370"/>
      <c r="BE103" s="370"/>
      <c r="BF103" s="371" t="n">
        <v>119364.68216</v>
      </c>
      <c r="BG103" s="371" t="n">
        <v>120193.39384</v>
      </c>
      <c r="BH103" s="371" t="n">
        <v>120603.31986</v>
      </c>
      <c r="BI103" s="371" t="n">
        <v>112120.41144</v>
      </c>
      <c r="BJ103" s="371" t="n">
        <v>112820.11114</v>
      </c>
      <c r="BK103" s="371" t="n">
        <v>100113.65128</v>
      </c>
      <c r="BL103" s="371" t="n">
        <v>91332.18446</v>
      </c>
      <c r="BM103" s="371" t="n">
        <v>83723.90889</v>
      </c>
      <c r="BN103" s="371" t="n">
        <v>90054.91029</v>
      </c>
      <c r="BO103" s="371" t="n">
        <v>91098.30086</v>
      </c>
      <c r="BP103" s="371" t="n">
        <v>90297.33861</v>
      </c>
      <c r="BQ103" s="372" t="n">
        <v>91895.45289</v>
      </c>
      <c r="BR103" s="175" t="n">
        <f aca="false">IVA!BF103+IVA!BG103+IVA!BH103</f>
        <v>360161.39586</v>
      </c>
      <c r="BS103" s="175" t="n">
        <f aca="false">IVA!BI103+IVA!BJ103+IVA!BK103</f>
        <v>325054.17386</v>
      </c>
      <c r="BT103" s="175" t="n">
        <f aca="false">IVA!BL103+IVA!BM103+IVA!BN103</f>
        <v>265111.00364</v>
      </c>
      <c r="BU103" s="176" t="n">
        <f aca="false">IVA!BO103+IVA!BP103+IVA!BQ103</f>
        <v>273291.09236</v>
      </c>
      <c r="BV103" s="137" t="n">
        <f aca="false">IVA!BR103+IVA!BS103+IVA!BT103+IVA!BU103</f>
        <v>1223617.66572</v>
      </c>
      <c r="BW103" s="138" t="n">
        <f aca="false">IVA!BR103/IVA!CJ13</f>
        <v>0.000916868149443634</v>
      </c>
      <c r="BX103" s="139" t="n">
        <f aca="false">IVA!BS103/IVA!CK13</f>
        <v>0.000685460160265293</v>
      </c>
      <c r="BY103" s="138" t="n">
        <f aca="false">IVA!BT103/IVA!CL13</f>
        <v>0.000586425413139865</v>
      </c>
      <c r="BZ103" s="138" t="n">
        <f aca="false">IVA!BU103/IVA!CM13</f>
        <v>0.000579665394549218</v>
      </c>
      <c r="CA103" s="273" t="n">
        <f aca="false">IVA!BV103/IVA!CN13</f>
        <v>0.00273346506533755</v>
      </c>
      <c r="CI103" s="53" t="n">
        <v>1997</v>
      </c>
      <c r="CJ103" s="374" t="n">
        <f aca="false">IVA!AQ27+IVA!AQ78+IVA!AQ95+IVA!AQ112+IVA!AQ146+IVA!AQ163+IVA!AQ212+IVA!AQ246</f>
        <v>5337291.856204</v>
      </c>
      <c r="CK103" s="374" t="n">
        <f aca="false">IVA!AR27+IVA!AR78+IVA!AR95+IVA!AR112+IVA!AR146+IVA!AR163+IVA!AR212+IVA!AR246</f>
        <v>5032988.875052</v>
      </c>
      <c r="CL103" s="374" t="n">
        <f aca="false">IVA!AS27+IVA!AS78+IVA!AS95+IVA!AS112+IVA!AS146+IVA!AS163+IVA!AS212+IVA!AS246</f>
        <v>5522799.398789</v>
      </c>
      <c r="CM103" s="374" t="n">
        <f aca="false">IVA!AT27+IVA!AT78+IVA!AT95+IVA!AT112+IVA!AT146+IVA!AT163+IVA!AT212+IVA!AT246</f>
        <v>5401283.849447</v>
      </c>
      <c r="CN103" s="375" t="n">
        <f aca="false">IVA!AU27+IVA!AU78+IVA!AU95+IVA!AU112+IVA!AU146+IVA!AU163+IVA!AU212+IVA!AU246</f>
        <v>21294363.979492</v>
      </c>
      <c r="CP103" s="63"/>
      <c r="CQ103" s="13"/>
      <c r="CS103" s="376"/>
      <c r="EJ103" s="31" t="n">
        <v>2051</v>
      </c>
      <c r="EK103" s="32" t="n">
        <v>14060.36</v>
      </c>
      <c r="EL103" s="33" t="n">
        <v>12520.515</v>
      </c>
    </row>
    <row r="104" customFormat="false" ht="12.75" hidden="false" customHeight="true" outlineLevel="0" collapsed="false">
      <c r="AA104" s="357" t="n">
        <v>2006</v>
      </c>
      <c r="AB104" s="357" t="s">
        <v>554</v>
      </c>
      <c r="AC104" s="358"/>
      <c r="AD104" s="359"/>
      <c r="AE104" s="368" t="n">
        <v>47148.25822</v>
      </c>
      <c r="AF104" s="368" t="n">
        <v>24703.99359</v>
      </c>
      <c r="AG104" s="368" t="n">
        <v>41281.49302</v>
      </c>
      <c r="AH104" s="368" t="n">
        <v>22728.8072</v>
      </c>
      <c r="AI104" s="368" t="n">
        <v>41679.70436</v>
      </c>
      <c r="AJ104" s="368" t="n">
        <v>21937.39253</v>
      </c>
      <c r="AK104" s="368" t="n">
        <v>30925.96446</v>
      </c>
      <c r="AL104" s="368" t="n">
        <v>43577.48456</v>
      </c>
      <c r="AM104" s="368" t="n">
        <v>21030.51024</v>
      </c>
      <c r="AN104" s="368" t="n">
        <v>46565.01841</v>
      </c>
      <c r="AO104" s="368" t="n">
        <v>24158.02588</v>
      </c>
      <c r="AP104" s="368" t="n">
        <v>32506.87362</v>
      </c>
      <c r="AQ104" s="128" t="n">
        <f aca="false">IVA!AE104+IVA!AF104+IVA!AG104</f>
        <v>113133.74483</v>
      </c>
      <c r="AR104" s="128" t="n">
        <f aca="false">IVA!AH104+IVA!AI104+IVA!AJ104</f>
        <v>86345.90409</v>
      </c>
      <c r="AS104" s="128" t="n">
        <f aca="false">IVA!AK104+IVA!AL104+IVA!AM104</f>
        <v>95533.95926</v>
      </c>
      <c r="AT104" s="128" t="n">
        <f aca="false">IVA!AN104+IVA!AO104+IVA!AP104</f>
        <v>103229.91791</v>
      </c>
      <c r="AU104" s="129" t="n">
        <f aca="false">IVA!AQ104+IVA!AR104+IVA!AS104+IVA!AT104</f>
        <v>398243.52609</v>
      </c>
      <c r="AV104" s="130" t="n">
        <f aca="false">IVA!AQ104/IVA!CJ15</f>
        <v>0.000199181232248932</v>
      </c>
      <c r="AW104" s="130" t="n">
        <f aca="false">IVA!AR104/IVA!CK15</f>
        <v>0.000127301554208657</v>
      </c>
      <c r="AX104" s="130" t="n">
        <f aca="false">IVA!AS104/IVA!CL15</f>
        <v>0.000142972695920096</v>
      </c>
      <c r="AY104" s="130" t="n">
        <f aca="false">IVA!AT104/IVA!CM15</f>
        <v>0.000146782289892741</v>
      </c>
      <c r="AZ104" s="271" t="n">
        <f aca="false">IVA!AU104/IVA!CN15</f>
        <v>0.000608526593107364</v>
      </c>
      <c r="BA104" s="266" t="n">
        <v>2005</v>
      </c>
      <c r="BB104" s="369" t="s">
        <v>556</v>
      </c>
      <c r="BC104" s="370"/>
      <c r="BD104" s="370"/>
      <c r="BE104" s="370"/>
      <c r="BF104" s="371" t="n">
        <v>108278.33249</v>
      </c>
      <c r="BG104" s="371" t="n">
        <v>90115.08269</v>
      </c>
      <c r="BH104" s="371" t="n">
        <v>92255.97978</v>
      </c>
      <c r="BI104" s="371" t="n">
        <v>91559.63517</v>
      </c>
      <c r="BJ104" s="371" t="n">
        <v>96903.6454</v>
      </c>
      <c r="BK104" s="371" t="n">
        <v>83092.97637</v>
      </c>
      <c r="BL104" s="371" t="n">
        <v>83226.49</v>
      </c>
      <c r="BM104" s="371" t="n">
        <v>94382.82509</v>
      </c>
      <c r="BN104" s="371" t="n">
        <v>92922.81268</v>
      </c>
      <c r="BO104" s="371" t="n">
        <v>88010.50524</v>
      </c>
      <c r="BP104" s="371" t="n">
        <v>92721.74912</v>
      </c>
      <c r="BQ104" s="372" t="n">
        <v>88718.24889</v>
      </c>
      <c r="BR104" s="175" t="n">
        <f aca="false">IVA!BF104+IVA!BG104+IVA!BH104</f>
        <v>290649.39496</v>
      </c>
      <c r="BS104" s="175" t="n">
        <f aca="false">IVA!BI104+IVA!BJ104+IVA!BK104</f>
        <v>271556.25694</v>
      </c>
      <c r="BT104" s="175" t="n">
        <f aca="false">IVA!BL104+IVA!BM104+IVA!BN104</f>
        <v>270532.12777</v>
      </c>
      <c r="BU104" s="176" t="n">
        <f aca="false">IVA!BO104+IVA!BP104+IVA!BQ104</f>
        <v>269450.50325</v>
      </c>
      <c r="BV104" s="137" t="n">
        <f aca="false">IVA!BR104+IVA!BS104+IVA!BT104+IVA!BU104</f>
        <v>1102188.28292</v>
      </c>
      <c r="BW104" s="138" t="n">
        <f aca="false">IVA!BR104/IVA!CJ14</f>
        <v>0.000636322904081758</v>
      </c>
      <c r="BX104" s="139" t="n">
        <f aca="false">IVA!BS104/IVA!CK14</f>
        <v>0.000491582986375011</v>
      </c>
      <c r="BY104" s="138" t="n">
        <f aca="false">IVA!BT104/IVA!CL14</f>
        <v>0.000497093212444483</v>
      </c>
      <c r="BZ104" s="138" t="n">
        <f aca="false">IVA!BU104/IVA!CM14</f>
        <v>0.000469138960265716</v>
      </c>
      <c r="CA104" s="273" t="n">
        <f aca="false">IVA!BV104/IVA!CN14</f>
        <v>0.00207202114965761</v>
      </c>
      <c r="CI104" s="53" t="n">
        <v>1998</v>
      </c>
      <c r="CJ104" s="377" t="n">
        <f aca="false">IVA!AQ28+IVA!AQ79+IVA!AQ96+IVA!AQ113+IVA!AQ147+IVA!AQ164+IVA!AQ213+IVA!AQ247</f>
        <v>5429519.344495</v>
      </c>
      <c r="CK104" s="377" t="n">
        <f aca="false">IVA!AR28+IVA!AR79+IVA!AR96+IVA!AR113+IVA!AR147+IVA!AR164+IVA!AR213+IVA!AR247</f>
        <v>5380414.421019</v>
      </c>
      <c r="CL104" s="377" t="n">
        <f aca="false">IVA!AS28+IVA!AS79+IVA!AS96+IVA!AS113+IVA!AS147+IVA!AS164+IVA!AS213+IVA!AS247</f>
        <v>5705768.205881</v>
      </c>
      <c r="CM104" s="378" t="n">
        <f aca="false">IVA!AT28+IVA!AT79+IVA!AT96+IVA!AT113+IVA!AT147+IVA!AT164+IVA!AT213+IVA!AT247</f>
        <v>5346046.228443</v>
      </c>
      <c r="CN104" s="376" t="n">
        <f aca="false">IVA!AU28+IVA!AU79+IVA!AU96+IVA!AU113+IVA!AU147+IVA!AU164+IVA!AU213+IVA!AU247</f>
        <v>21861748.199838</v>
      </c>
      <c r="CP104" s="63"/>
      <c r="CQ104" s="13"/>
      <c r="CS104" s="376"/>
      <c r="EJ104" s="31" t="n">
        <v>2052</v>
      </c>
      <c r="EK104" s="32" t="n">
        <v>14301.341</v>
      </c>
      <c r="EL104" s="33" t="n">
        <v>12750.52</v>
      </c>
    </row>
    <row r="105" customFormat="false" ht="12.75" hidden="false" customHeight="true" outlineLevel="0" collapsed="false">
      <c r="AA105" s="357" t="n">
        <v>2007</v>
      </c>
      <c r="AB105" s="357" t="s">
        <v>554</v>
      </c>
      <c r="AC105" s="358"/>
      <c r="AD105" s="359"/>
      <c r="AE105" s="368" t="n">
        <v>52103.4</v>
      </c>
      <c r="AF105" s="368" t="n">
        <v>25839.77774</v>
      </c>
      <c r="AG105" s="368" t="n">
        <v>33795.52808</v>
      </c>
      <c r="AH105" s="368" t="n">
        <v>36622.74677</v>
      </c>
      <c r="AI105" s="368" t="n">
        <v>46452.08308</v>
      </c>
      <c r="AJ105" s="368" t="n">
        <v>23871.58245</v>
      </c>
      <c r="AK105" s="368" t="n">
        <v>48407.19616</v>
      </c>
      <c r="AL105" s="368" t="n">
        <v>34599.1002</v>
      </c>
      <c r="AM105" s="368" t="n">
        <v>25837.18956</v>
      </c>
      <c r="AN105" s="368" t="n">
        <v>51930.48734</v>
      </c>
      <c r="AO105" s="368" t="n">
        <v>28264.03739</v>
      </c>
      <c r="AP105" s="368" t="n">
        <v>39352.0912</v>
      </c>
      <c r="AQ105" s="128" t="n">
        <f aca="false">IVA!AE105+IVA!AF105+IVA!AG105</f>
        <v>111738.70582</v>
      </c>
      <c r="AR105" s="128" t="n">
        <f aca="false">IVA!AH105+IVA!AI105+IVA!AJ105</f>
        <v>106946.4123</v>
      </c>
      <c r="AS105" s="128" t="n">
        <f aca="false">IVA!AK105+IVA!AL105+IVA!AM105</f>
        <v>108843.48592</v>
      </c>
      <c r="AT105" s="128" t="n">
        <f aca="false">IVA!AN105+IVA!AO105+IVA!AP105</f>
        <v>119546.61593</v>
      </c>
      <c r="AU105" s="129" t="n">
        <f aca="false">IVA!AQ105+IVA!AR105+IVA!AS105+IVA!AT105</f>
        <v>447075.21997</v>
      </c>
      <c r="AV105" s="130" t="n">
        <f aca="false">IVA!AQ105/IVA!CJ16</f>
        <v>0.0001640514238607</v>
      </c>
      <c r="AW105" s="130" t="n">
        <f aca="false">IVA!AR105/IVA!CK16</f>
        <v>0.000128060323524879</v>
      </c>
      <c r="AX105" s="130" t="n">
        <f aca="false">IVA!AS105/IVA!CL16</f>
        <v>0.000131538794991438</v>
      </c>
      <c r="AY105" s="130" t="n">
        <f aca="false">IVA!AT105/IVA!CM16</f>
        <v>0.00013193317185326</v>
      </c>
      <c r="AZ105" s="271" t="n">
        <f aca="false">IVA!AU105/IVA!CN16</f>
        <v>0.00055027634046845</v>
      </c>
      <c r="BA105" s="266" t="n">
        <v>2006</v>
      </c>
      <c r="BB105" s="369" t="s">
        <v>556</v>
      </c>
      <c r="BC105" s="370"/>
      <c r="BD105" s="370"/>
      <c r="BE105" s="370"/>
      <c r="BF105" s="371" t="n">
        <v>79627.46523</v>
      </c>
      <c r="BG105" s="371" t="n">
        <v>81930.32187</v>
      </c>
      <c r="BH105" s="371" t="n">
        <v>90753.35184</v>
      </c>
      <c r="BI105" s="371" t="n">
        <v>80282.51005</v>
      </c>
      <c r="BJ105" s="371" t="n">
        <v>96099.86339</v>
      </c>
      <c r="BK105" s="371" t="n">
        <v>90027.37608</v>
      </c>
      <c r="BL105" s="371" t="n">
        <v>86878.82977</v>
      </c>
      <c r="BM105" s="371" t="n">
        <v>94822.5406</v>
      </c>
      <c r="BN105" s="371" t="n">
        <v>92877.36863</v>
      </c>
      <c r="BO105" s="371" t="n">
        <v>91518.85185</v>
      </c>
      <c r="BP105" s="371" t="n">
        <v>96268.42617</v>
      </c>
      <c r="BQ105" s="372" t="n">
        <v>102938.4558</v>
      </c>
      <c r="BR105" s="175" t="n">
        <f aca="false">IVA!BF105+IVA!BG105+IVA!BH105</f>
        <v>252311.13894</v>
      </c>
      <c r="BS105" s="175" t="n">
        <f aca="false">IVA!BI105+IVA!BJ105+IVA!BK105</f>
        <v>266409.74952</v>
      </c>
      <c r="BT105" s="175" t="n">
        <f aca="false">IVA!BL105+IVA!BM105+IVA!BN105</f>
        <v>274578.739</v>
      </c>
      <c r="BU105" s="176" t="n">
        <f aca="false">IVA!BO105+IVA!BP105+IVA!BQ105</f>
        <v>290725.73382</v>
      </c>
      <c r="BV105" s="137" t="n">
        <f aca="false">IVA!BR105+IVA!BS105+IVA!BT105+IVA!BU105</f>
        <v>1084025.36128</v>
      </c>
      <c r="BW105" s="138" t="n">
        <f aca="false">IVA!BR105/IVA!CJ15</f>
        <v>0.000444214444061029</v>
      </c>
      <c r="BX105" s="139" t="n">
        <f aca="false">IVA!BS105/IVA!CK15</f>
        <v>0.000392773409783114</v>
      </c>
      <c r="BY105" s="138" t="n">
        <f aca="false">IVA!BT105/IVA!CL15</f>
        <v>0.000410924689620891</v>
      </c>
      <c r="BZ105" s="138" t="n">
        <f aca="false">IVA!BU105/IVA!CM15</f>
        <v>0.00041338199046183</v>
      </c>
      <c r="CA105" s="273" t="n">
        <f aca="false">IVA!BV105/IVA!CN15</f>
        <v>0.00165641929303484</v>
      </c>
      <c r="CI105" s="53" t="n">
        <v>1999</v>
      </c>
      <c r="CJ105" s="377" t="n">
        <f aca="false">IVA!AQ29+IVA!AQ80+IVA!AQ97+IVA!AQ114+IVA!AQ148+IVA!AQ165+IVA!AQ214+IVA!AQ248</f>
        <v>5539881.011965</v>
      </c>
      <c r="CK105" s="377" t="n">
        <f aca="false">IVA!AR29+IVA!AR80+IVA!AR97+IVA!AR114+IVA!AR148+IVA!AR165+IVA!AR214+IVA!AR248</f>
        <v>4975768.613834</v>
      </c>
      <c r="CL105" s="377" t="n">
        <f aca="false">IVA!AS29+IVA!AS80+IVA!AS97+IVA!AS114+IVA!AS148+IVA!AS165+IVA!AS214+IVA!AS248</f>
        <v>5317706.07929</v>
      </c>
      <c r="CM105" s="378" t="n">
        <f aca="false">IVA!AT29+IVA!AT80+IVA!AT97+IVA!AT114+IVA!AT148+IVA!AT165+IVA!AT214+IVA!AT248</f>
        <v>4839273.769392</v>
      </c>
      <c r="CN105" s="376" t="n">
        <f aca="false">IVA!AU29+IVA!AU80+IVA!AU97+IVA!AU114+IVA!AU148+IVA!AU165+IVA!AU214+IVA!AU248</f>
        <v>20672629.474481</v>
      </c>
      <c r="CP105" s="63"/>
      <c r="CQ105" s="13"/>
      <c r="CS105" s="376"/>
      <c r="EJ105" s="31" t="n">
        <v>2053</v>
      </c>
      <c r="EK105" s="32" t="n">
        <v>14546.629</v>
      </c>
      <c r="EL105" s="33" t="n">
        <v>12985.95</v>
      </c>
    </row>
    <row r="106" customFormat="false" ht="12.75" hidden="false" customHeight="true" outlineLevel="0" collapsed="false">
      <c r="AA106" s="357" t="n">
        <v>2008</v>
      </c>
      <c r="AB106" s="357" t="s">
        <v>554</v>
      </c>
      <c r="AC106" s="358"/>
      <c r="AD106" s="359"/>
      <c r="AE106" s="368" t="n">
        <v>59778.5613</v>
      </c>
      <c r="AF106" s="368" t="n">
        <v>30016.78588</v>
      </c>
      <c r="AG106" s="368" t="n">
        <v>41520.23536</v>
      </c>
      <c r="AH106" s="368" t="n">
        <v>45286.18302</v>
      </c>
      <c r="AI106" s="368" t="n">
        <v>41393.13817</v>
      </c>
      <c r="AJ106" s="368" t="n">
        <v>41701.8994</v>
      </c>
      <c r="AK106" s="368" t="n">
        <v>54963.42907</v>
      </c>
      <c r="AL106" s="368" t="n">
        <v>44155.61889</v>
      </c>
      <c r="AM106" s="368" t="n">
        <v>46156.6687</v>
      </c>
      <c r="AN106" s="368" t="n">
        <v>44752.76791</v>
      </c>
      <c r="AO106" s="368" t="n">
        <v>51598.31624</v>
      </c>
      <c r="AP106" s="368" t="n">
        <v>53774.57194</v>
      </c>
      <c r="AQ106" s="128" t="n">
        <f aca="false">IVA!AE106+IVA!AF106+IVA!AG106</f>
        <v>131315.58254</v>
      </c>
      <c r="AR106" s="128" t="n">
        <f aca="false">IVA!AH106+IVA!AI106+IVA!AJ106</f>
        <v>128381.22059</v>
      </c>
      <c r="AS106" s="128" t="n">
        <f aca="false">IVA!AK106+IVA!AL106+IVA!AM106</f>
        <v>145275.71666</v>
      </c>
      <c r="AT106" s="128" t="n">
        <f aca="false">IVA!AN106+IVA!AO106+IVA!AP106</f>
        <v>150125.65609</v>
      </c>
      <c r="AU106" s="129" t="n">
        <f aca="false">IVA!AQ106+IVA!AR106+IVA!AS106+IVA!AT106</f>
        <v>555098.17588</v>
      </c>
      <c r="AV106" s="130" t="n">
        <f aca="false">IVA!AQ106/IVA!CJ17</f>
        <v>0.000147937383092076</v>
      </c>
      <c r="AW106" s="130" t="n">
        <f aca="false">IVA!AR106/IVA!CK17</f>
        <v>0.000115873505305751</v>
      </c>
      <c r="AX106" s="130" t="n">
        <f aca="false">IVA!AS106/IVA!CL17</f>
        <v>0.000137369966108155</v>
      </c>
      <c r="AY106" s="130" t="n">
        <f aca="false">IVA!AT106/IVA!CM17</f>
        <v>0.000139276518222439</v>
      </c>
      <c r="AZ106" s="271" t="n">
        <f aca="false">IVA!AU106/IVA!CN17</f>
        <v>0.00053749104425238</v>
      </c>
      <c r="BA106" s="266" t="n">
        <v>2007</v>
      </c>
      <c r="BB106" s="369" t="s">
        <v>556</v>
      </c>
      <c r="BC106" s="370"/>
      <c r="BD106" s="370"/>
      <c r="BE106" s="370"/>
      <c r="BF106" s="371" t="n">
        <v>90634.6637</v>
      </c>
      <c r="BG106" s="371" t="n">
        <v>93163.43149</v>
      </c>
      <c r="BH106" s="371" t="n">
        <v>93835.79565</v>
      </c>
      <c r="BI106" s="371" t="n">
        <v>87369.05581</v>
      </c>
      <c r="BJ106" s="371" t="n">
        <v>176625.17779</v>
      </c>
      <c r="BK106" s="371" t="n">
        <v>79296.9273</v>
      </c>
      <c r="BL106" s="371" t="n">
        <v>82971.8239</v>
      </c>
      <c r="BM106" s="371" t="n">
        <v>93819.24169</v>
      </c>
      <c r="BN106" s="371" t="n">
        <v>148543.54142</v>
      </c>
      <c r="BO106" s="371" t="n">
        <v>114097.70657</v>
      </c>
      <c r="BP106" s="371" t="n">
        <v>119011.73152</v>
      </c>
      <c r="BQ106" s="372" t="n">
        <v>119605.24446</v>
      </c>
      <c r="BR106" s="175" t="n">
        <f aca="false">IVA!BF106+IVA!BG106+IVA!BH106</f>
        <v>277633.89084</v>
      </c>
      <c r="BS106" s="175" t="n">
        <f aca="false">IVA!BI106+IVA!BJ106+IVA!BK106</f>
        <v>343291.1609</v>
      </c>
      <c r="BT106" s="175" t="n">
        <f aca="false">IVA!BL106+IVA!BM106+IVA!BN106</f>
        <v>325334.60701</v>
      </c>
      <c r="BU106" s="176" t="n">
        <f aca="false">IVA!BO106+IVA!BP106+IVA!BQ106</f>
        <v>352714.68255</v>
      </c>
      <c r="BV106" s="137" t="n">
        <f aca="false">IVA!BR106+IVA!BS106+IVA!BT106+IVA!BU106</f>
        <v>1298974.3413</v>
      </c>
      <c r="BW106" s="138" t="n">
        <f aca="false">IVA!BR106/IVA!CJ16</f>
        <v>0.000407613769732206</v>
      </c>
      <c r="BX106" s="139" t="n">
        <f aca="false">IVA!BS106/IVA!CK16</f>
        <v>0.000411065468982408</v>
      </c>
      <c r="BY106" s="138" t="n">
        <f aca="false">IVA!BT106/IVA!CL16</f>
        <v>0.000393171183497026</v>
      </c>
      <c r="BZ106" s="138" t="n">
        <f aca="false">IVA!BU106/IVA!CM16</f>
        <v>0.000389260427541382</v>
      </c>
      <c r="CA106" s="273" t="n">
        <f aca="false">IVA!BV106/IVA!CN16</f>
        <v>0.00159882457126777</v>
      </c>
      <c r="CI106" s="53" t="n">
        <v>2000</v>
      </c>
      <c r="CJ106" s="377" t="n">
        <f aca="false">IVA!AQ30+IVA!AQ81+IVA!AQ98+IVA!AQ115+IVA!AQ149+IVA!AQ166+IVA!AQ215+IVA!AQ249</f>
        <v>5207950.85592125</v>
      </c>
      <c r="CK106" s="377" t="n">
        <f aca="false">IVA!AR30+IVA!AR81+IVA!AR98+IVA!AR115+IVA!AR149+IVA!AR166+IVA!AR215+IVA!AR249</f>
        <v>5171234.62622919</v>
      </c>
      <c r="CL106" s="377" t="n">
        <f aca="false">IVA!AS30+IVA!AS81+IVA!AS98+IVA!AS115+IVA!AS149+IVA!AS166+IVA!AS215+IVA!AS249</f>
        <v>5468930.68626537</v>
      </c>
      <c r="CM106" s="378" t="n">
        <f aca="false">IVA!AT30+IVA!AT81+IVA!AT98+IVA!AT115+IVA!AT149+IVA!AT166+IVA!AT215+IVA!AT249</f>
        <v>4932171.55980157</v>
      </c>
      <c r="CN106" s="376" t="n">
        <f aca="false">IVA!AU30+IVA!AU81+IVA!AU98+IVA!AU115+IVA!AU149+IVA!AU166+IVA!AU215+IVA!AU249</f>
        <v>20780287.7282174</v>
      </c>
      <c r="CP106" s="63"/>
      <c r="CQ106" s="13"/>
      <c r="CS106" s="376"/>
      <c r="EJ106" s="31" t="n">
        <v>2054</v>
      </c>
      <c r="EK106" s="32" t="n">
        <v>14800.452</v>
      </c>
      <c r="EL106" s="33" t="n">
        <v>13232.026</v>
      </c>
    </row>
    <row r="107" customFormat="false" ht="12.75" hidden="false" customHeight="true" outlineLevel="0" collapsed="false">
      <c r="AA107" s="357" t="n">
        <v>2009</v>
      </c>
      <c r="AB107" s="357" t="s">
        <v>554</v>
      </c>
      <c r="AC107" s="358"/>
      <c r="AD107" s="359"/>
      <c r="AE107" s="368" t="n">
        <v>51573</v>
      </c>
      <c r="AF107" s="368" t="n">
        <v>55611</v>
      </c>
      <c r="AG107" s="368" t="n">
        <v>49382</v>
      </c>
      <c r="AH107" s="368" t="n">
        <v>51624</v>
      </c>
      <c r="AI107" s="368" t="n">
        <v>59461</v>
      </c>
      <c r="AJ107" s="368" t="n">
        <v>47409</v>
      </c>
      <c r="AK107" s="368" t="n">
        <v>49319</v>
      </c>
      <c r="AL107" s="368" t="n">
        <v>56071</v>
      </c>
      <c r="AM107" s="368" t="n">
        <v>56376</v>
      </c>
      <c r="AN107" s="368" t="n">
        <v>56883</v>
      </c>
      <c r="AO107" s="368" t="n">
        <v>63571</v>
      </c>
      <c r="AP107" s="368" t="n">
        <v>61105</v>
      </c>
      <c r="AQ107" s="128" t="n">
        <f aca="false">IVA!AE107+IVA!AF107+IVA!AG107</f>
        <v>156566</v>
      </c>
      <c r="AR107" s="128" t="n">
        <f aca="false">IVA!AH107+IVA!AI107+IVA!AJ107</f>
        <v>158494</v>
      </c>
      <c r="AS107" s="128" t="n">
        <f aca="false">IVA!AK107+IVA!AL107+IVA!AM107</f>
        <v>161766</v>
      </c>
      <c r="AT107" s="128" t="n">
        <f aca="false">IVA!AN107+IVA!AO107+IVA!AP107</f>
        <v>181559</v>
      </c>
      <c r="AU107" s="129" t="n">
        <f aca="false">IVA!AQ107+IVA!AR107+IVA!AS107+IVA!AT107</f>
        <v>658385</v>
      </c>
      <c r="AV107" s="130" t="n">
        <f aca="false">IVA!AQ107/IVA!CJ18</f>
        <v>0.000157675721729532</v>
      </c>
      <c r="AW107" s="130" t="n">
        <f aca="false">IVA!AR107/IVA!CK18</f>
        <v>0.000132589638888723</v>
      </c>
      <c r="AX107" s="130" t="n">
        <f aca="false">IVA!AS107/IVA!CL18</f>
        <v>0.000138404093795729</v>
      </c>
      <c r="AY107" s="130" t="n">
        <f aca="false">IVA!AT107/IVA!CM18</f>
        <v>0.000148247280137894</v>
      </c>
      <c r="AZ107" s="271" t="n">
        <f aca="false">IVA!AU107/IVA!CN18</f>
        <v>0.000574778653310535</v>
      </c>
      <c r="BA107" s="266" t="n">
        <v>2008</v>
      </c>
      <c r="BB107" s="369" t="s">
        <v>556</v>
      </c>
      <c r="BC107" s="370"/>
      <c r="BD107" s="370"/>
      <c r="BE107" s="370"/>
      <c r="BF107" s="371" t="n">
        <v>105290.9381</v>
      </c>
      <c r="BG107" s="371" t="n">
        <v>95518.45501</v>
      </c>
      <c r="BH107" s="371" t="n">
        <v>96031.81954</v>
      </c>
      <c r="BI107" s="371" t="n">
        <v>97580.18851</v>
      </c>
      <c r="BJ107" s="371" t="n">
        <v>176790.76027</v>
      </c>
      <c r="BK107" s="371" t="n">
        <v>65565.61565</v>
      </c>
      <c r="BL107" s="371" t="n">
        <v>62316.11195</v>
      </c>
      <c r="BM107" s="371" t="n">
        <v>57899.62918</v>
      </c>
      <c r="BN107" s="371" t="n">
        <v>56381.09844</v>
      </c>
      <c r="BO107" s="371" t="n">
        <v>64042.91953</v>
      </c>
      <c r="BP107" s="371" t="n">
        <v>55518.29456</v>
      </c>
      <c r="BQ107" s="372" t="n">
        <v>54814.00323</v>
      </c>
      <c r="BR107" s="175" t="n">
        <f aca="false">IVA!BF107+IVA!BG107+IVA!BH107</f>
        <v>296841.21265</v>
      </c>
      <c r="BS107" s="175" t="n">
        <f aca="false">IVA!BI107+IVA!BJ107+IVA!BK107</f>
        <v>339936.56443</v>
      </c>
      <c r="BT107" s="175" t="n">
        <f aca="false">IVA!BL107+IVA!BM107+IVA!BN107</f>
        <v>176596.83957</v>
      </c>
      <c r="BU107" s="176" t="n">
        <f aca="false">IVA!BO107+IVA!BP107+IVA!BQ107</f>
        <v>174375.21732</v>
      </c>
      <c r="BV107" s="137" t="n">
        <f aca="false">IVA!BR107+IVA!BS107+IVA!BT107+IVA!BU107</f>
        <v>987749.83397</v>
      </c>
      <c r="BW107" s="138" t="n">
        <f aca="false">IVA!BR107/IVA!CJ17</f>
        <v>0.000334415088780061</v>
      </c>
      <c r="BX107" s="139" t="n">
        <f aca="false">IVA!BS107/IVA!CK17</f>
        <v>0.000306817781612263</v>
      </c>
      <c r="BY107" s="138" t="n">
        <f aca="false">IVA!BT107/IVA!CL17</f>
        <v>0.000166986626700411</v>
      </c>
      <c r="BZ107" s="138" t="n">
        <f aca="false">IVA!BU107/IVA!CM17</f>
        <v>0.000161773635267586</v>
      </c>
      <c r="CA107" s="273" t="n">
        <f aca="false">IVA!BV107/IVA!CN17</f>
        <v>0.00095641944576561</v>
      </c>
      <c r="CI107" s="53" t="n">
        <v>2001</v>
      </c>
      <c r="CJ107" s="377" t="n">
        <f aca="false">IVA!AQ31+IVA!AQ82+IVA!AQ99+IVA!AQ116+IVA!AQ150+IVA!AQ167+IVA!AQ216+IVA!AQ250</f>
        <v>5202344.95986652</v>
      </c>
      <c r="CK107" s="377" t="n">
        <f aca="false">IVA!AR31+IVA!AR82+IVA!AR99+IVA!AR116+IVA!AR150+IVA!AR167+IVA!AR216+IVA!AR250</f>
        <v>4847865.91894625</v>
      </c>
      <c r="CL107" s="377" t="n">
        <f aca="false">IVA!AS31+IVA!AS82+IVA!AS99+IVA!AS116+IVA!AS150+IVA!AS167+IVA!AS216+IVA!AS250</f>
        <v>4991239.82698179</v>
      </c>
      <c r="CM107" s="378" t="n">
        <f aca="false">IVA!AT31+IVA!AT82+IVA!AT99+IVA!AT116+IVA!AT150+IVA!AT167+IVA!AT216+IVA!AT250</f>
        <v>3970211.3723884</v>
      </c>
      <c r="CN107" s="376" t="n">
        <f aca="false">IVA!AU31+IVA!AU82+IVA!AU99+IVA!AU116+IVA!AU150+IVA!AU167+IVA!AU216+IVA!AU250</f>
        <v>19011662.078183</v>
      </c>
      <c r="CP107" s="63"/>
      <c r="CQ107" s="13"/>
      <c r="CS107" s="376" t="n">
        <v>16518378800</v>
      </c>
      <c r="EJ107" s="31" t="n">
        <v>2055</v>
      </c>
      <c r="EK107" s="32" t="n">
        <v>15064.129</v>
      </c>
      <c r="EL107" s="33" t="n">
        <v>13490.736</v>
      </c>
    </row>
    <row r="108" customFormat="false" ht="12.75" hidden="false" customHeight="true" outlineLevel="0" collapsed="false">
      <c r="AA108" s="357" t="n">
        <v>2010</v>
      </c>
      <c r="AB108" s="357" t="s">
        <v>554</v>
      </c>
      <c r="AC108" s="358"/>
      <c r="AD108" s="359"/>
      <c r="AE108" s="368" t="n">
        <v>65812</v>
      </c>
      <c r="AF108" s="368" t="n">
        <v>66702</v>
      </c>
      <c r="AG108" s="368" t="n">
        <v>57870</v>
      </c>
      <c r="AH108" s="368" t="n">
        <v>61986</v>
      </c>
      <c r="AI108" s="368" t="n">
        <v>66119</v>
      </c>
      <c r="AJ108" s="368" t="n">
        <v>59132</v>
      </c>
      <c r="AK108" s="368" t="n">
        <v>60227</v>
      </c>
      <c r="AL108" s="368" t="n">
        <v>68324</v>
      </c>
      <c r="AM108" s="368" t="n">
        <v>63716</v>
      </c>
      <c r="AN108" s="368" t="n">
        <v>69963</v>
      </c>
      <c r="AO108" s="368" t="n">
        <v>77262</v>
      </c>
      <c r="AP108" s="368" t="n">
        <v>68890</v>
      </c>
      <c r="AQ108" s="128" t="n">
        <f aca="false">IVA!AE108+IVA!AF108+IVA!AG108</f>
        <v>190384</v>
      </c>
      <c r="AR108" s="128" t="n">
        <f aca="false">IVA!AH108+IVA!AI108+IVA!AJ108</f>
        <v>187237</v>
      </c>
      <c r="AS108" s="128" t="n">
        <f aca="false">IVA!AK108+IVA!AL108+IVA!AM108</f>
        <v>192267</v>
      </c>
      <c r="AT108" s="128" t="n">
        <f aca="false">IVA!AN108+IVA!AO108+IVA!AP108</f>
        <v>216115</v>
      </c>
      <c r="AU108" s="129" t="n">
        <f aca="false">IVA!AQ108+IVA!AR108+IVA!AS108+IVA!AT108</f>
        <v>786003</v>
      </c>
      <c r="AV108" s="130" t="n">
        <f aca="false">IVA!AQ108/IVA!CJ19</f>
        <v>0.000156388180857102</v>
      </c>
      <c r="AW108" s="130" t="n">
        <f aca="false">IVA!AR108/IVA!CK19</f>
        <v>0.000124138950825523</v>
      </c>
      <c r="AX108" s="130" t="n">
        <f aca="false">IVA!AS108/IVA!CL19</f>
        <v>0.000131163574192765</v>
      </c>
      <c r="AY108" s="130" t="n">
        <f aca="false">IVA!AT108/IVA!CM19</f>
        <v>0.000136859743445452</v>
      </c>
      <c r="AZ108" s="271" t="n">
        <f aca="false">IVA!AU108/IVA!CN19</f>
        <v>0.000544830741742571</v>
      </c>
      <c r="BA108" s="266" t="n">
        <v>2009</v>
      </c>
      <c r="BB108" s="369" t="s">
        <v>556</v>
      </c>
      <c r="BC108" s="370"/>
      <c r="BD108" s="370"/>
      <c r="BE108" s="370"/>
      <c r="BF108" s="371" t="n">
        <v>59559</v>
      </c>
      <c r="BG108" s="371" t="n">
        <v>158014</v>
      </c>
      <c r="BH108" s="371" t="n">
        <v>172977</v>
      </c>
      <c r="BI108" s="371" t="n">
        <v>148615</v>
      </c>
      <c r="BJ108" s="371" t="n">
        <v>139457</v>
      </c>
      <c r="BK108" s="371" t="n">
        <v>87134</v>
      </c>
      <c r="BL108" s="371" t="n">
        <v>68580</v>
      </c>
      <c r="BM108" s="371" t="n">
        <v>69714</v>
      </c>
      <c r="BN108" s="371" t="n">
        <v>70084</v>
      </c>
      <c r="BO108" s="371" t="n">
        <v>79995</v>
      </c>
      <c r="BP108" s="371" t="n">
        <v>83568</v>
      </c>
      <c r="BQ108" s="372" t="n">
        <v>74987</v>
      </c>
      <c r="BR108" s="175" t="n">
        <f aca="false">IVA!BF108+IVA!BG108+IVA!BH108</f>
        <v>390550</v>
      </c>
      <c r="BS108" s="175" t="n">
        <f aca="false">IVA!BI108+IVA!BJ108+IVA!BK108</f>
        <v>375206</v>
      </c>
      <c r="BT108" s="175" t="n">
        <f aca="false">IVA!BL108+IVA!BM108+IVA!BN108</f>
        <v>208378</v>
      </c>
      <c r="BU108" s="176" t="n">
        <f aca="false">IVA!BO108+IVA!BP108+IVA!BQ108</f>
        <v>238550</v>
      </c>
      <c r="BV108" s="137" t="n">
        <f aca="false">IVA!BR108+IVA!BS108+IVA!BT108+IVA!BU108</f>
        <v>1212684</v>
      </c>
      <c r="BW108" s="138" t="n">
        <f aca="false">IVA!BR108/IVA!CJ18</f>
        <v>0.000393318173303712</v>
      </c>
      <c r="BX108" s="139" t="n">
        <f aca="false">IVA!BS108/IVA!CK18</f>
        <v>0.000313882090482178</v>
      </c>
      <c r="BY108" s="138" t="n">
        <f aca="false">IVA!BT108/IVA!CL18</f>
        <v>0.000178284486585354</v>
      </c>
      <c r="BZ108" s="138" t="n">
        <f aca="false">IVA!BU108/IVA!CM18</f>
        <v>0.000194781799177649</v>
      </c>
      <c r="CA108" s="273" t="n">
        <f aca="false">IVA!BV108/IVA!CN18</f>
        <v>0.00105868887719379</v>
      </c>
      <c r="CI108" s="53" t="n">
        <v>2002</v>
      </c>
      <c r="CJ108" s="377" t="n">
        <f aca="false">IVA!AQ32+IVA!AQ83+IVA!AQ100+IVA!AQ117+IVA!AQ151+IVA!AQ168+IVA!AQ217+IVA!AQ251</f>
        <v>3801853.96617265</v>
      </c>
      <c r="CK108" s="377" t="n">
        <f aca="false">IVA!AR32+IVA!AR83+IVA!AR100+IVA!AR117+IVA!AR151+IVA!AR168+IVA!AR217+IVA!AR251</f>
        <v>3996687.6154563</v>
      </c>
      <c r="CL108" s="377" t="n">
        <f aca="false">IVA!AS32+IVA!AS83+IVA!AS100+IVA!AS117+IVA!AS151+IVA!AS168+IVA!AS217+IVA!AS251</f>
        <v>4585296.58256315</v>
      </c>
      <c r="CM108" s="378" t="n">
        <f aca="false">IVA!AT32+IVA!AT83+IVA!AT100+IVA!AT117+IVA!AT151+IVA!AT168+IVA!AT217+IVA!AT251</f>
        <v>4501088.28057001</v>
      </c>
      <c r="CN108" s="376" t="n">
        <f aca="false">IVA!AU32+IVA!AU83+IVA!AU100+IVA!AU117+IVA!AU151+IVA!AU168+IVA!AU217+IVA!AU251</f>
        <v>16884926.4447621</v>
      </c>
      <c r="CP108" s="63"/>
      <c r="CQ108" s="13"/>
      <c r="CS108" s="376" t="n">
        <v>15424894000</v>
      </c>
      <c r="EJ108" s="31" t="n">
        <v>2056</v>
      </c>
      <c r="EK108" s="32" t="n">
        <v>15332.592</v>
      </c>
      <c r="EL108" s="33" t="n">
        <v>13758.02</v>
      </c>
    </row>
    <row r="109" customFormat="false" ht="12.75" hidden="false" customHeight="true" outlineLevel="0" collapsed="false">
      <c r="AA109" s="357" t="n">
        <v>2011</v>
      </c>
      <c r="AB109" s="357" t="s">
        <v>554</v>
      </c>
      <c r="AC109" s="358"/>
      <c r="AD109" s="359"/>
      <c r="AE109" s="368" t="n">
        <v>89407</v>
      </c>
      <c r="AF109" s="368" t="n">
        <v>79262</v>
      </c>
      <c r="AG109" s="368" t="n">
        <v>80238</v>
      </c>
      <c r="AH109" s="368" t="n">
        <v>88114</v>
      </c>
      <c r="AI109" s="368" t="n">
        <v>75307</v>
      </c>
      <c r="AJ109" s="368" t="n">
        <v>74495</v>
      </c>
      <c r="AK109" s="368" t="n">
        <v>107141</v>
      </c>
      <c r="AL109" s="368" t="n">
        <v>84911</v>
      </c>
      <c r="AM109" s="368" t="n">
        <v>78406</v>
      </c>
      <c r="AN109" s="368" t="n">
        <v>85617</v>
      </c>
      <c r="AO109" s="368" t="n">
        <v>87028</v>
      </c>
      <c r="AP109" s="368" t="n">
        <v>96342</v>
      </c>
      <c r="AQ109" s="128" t="n">
        <f aca="false">IVA!AE109+IVA!AF109+IVA!AG109</f>
        <v>248907</v>
      </c>
      <c r="AR109" s="128" t="n">
        <f aca="false">IVA!AH109+IVA!AI109+IVA!AJ109</f>
        <v>237916</v>
      </c>
      <c r="AS109" s="128" t="n">
        <f aca="false">IVA!AK109+IVA!AL109+IVA!AM109</f>
        <v>270458</v>
      </c>
      <c r="AT109" s="128" t="n">
        <f aca="false">IVA!AN109+IVA!AO109+IVA!AP109</f>
        <v>268987</v>
      </c>
      <c r="AU109" s="129" t="n">
        <f aca="false">IVA!AQ109+IVA!AR109+IVA!AS109+IVA!AT109</f>
        <v>1026268</v>
      </c>
      <c r="AV109" s="130" t="n">
        <f aca="false">IVA!AQ109/IVA!CJ20</f>
        <v>0.000158784240676712</v>
      </c>
      <c r="AW109" s="130" t="n">
        <f aca="false">IVA!AR109/IVA!CK20</f>
        <v>0.000120388983447551</v>
      </c>
      <c r="AX109" s="130" t="n">
        <f aca="false">IVA!AS109/IVA!CL20</f>
        <v>0.000144987305241249</v>
      </c>
      <c r="AY109" s="130" t="n">
        <f aca="false">IVA!AT109/IVA!CM20</f>
        <v>0.00013731602224788</v>
      </c>
      <c r="AZ109" s="271" t="n">
        <f aca="false">IVA!AU109/IVA!CN20</f>
        <v>0.000557142056355586</v>
      </c>
      <c r="BA109" s="266" t="n">
        <v>2010</v>
      </c>
      <c r="BB109" s="369" t="s">
        <v>556</v>
      </c>
      <c r="BC109" s="370"/>
      <c r="BD109" s="370"/>
      <c r="BE109" s="370"/>
      <c r="BF109" s="371" t="n">
        <v>164153</v>
      </c>
      <c r="BG109" s="371" t="n">
        <v>186697</v>
      </c>
      <c r="BH109" s="371" t="n">
        <v>205998</v>
      </c>
      <c r="BI109" s="371" t="n">
        <v>163648</v>
      </c>
      <c r="BJ109" s="371" t="n">
        <v>134484</v>
      </c>
      <c r="BK109" s="371" t="n">
        <v>103615</v>
      </c>
      <c r="BL109" s="371" t="n">
        <v>115954</v>
      </c>
      <c r="BM109" s="371" t="n">
        <v>122332</v>
      </c>
      <c r="BN109" s="371" t="n">
        <v>113782</v>
      </c>
      <c r="BO109" s="371" t="n">
        <v>115553</v>
      </c>
      <c r="BP109" s="371" t="n">
        <v>112659</v>
      </c>
      <c r="BQ109" s="372" t="n">
        <v>108948</v>
      </c>
      <c r="BR109" s="175" t="n">
        <f aca="false">IVA!BF109+IVA!BG109+IVA!BH109</f>
        <v>556848</v>
      </c>
      <c r="BS109" s="175" t="n">
        <f aca="false">IVA!BI109+IVA!BJ109+IVA!BK109</f>
        <v>401747</v>
      </c>
      <c r="BT109" s="175" t="n">
        <f aca="false">IVA!BL109+IVA!BM109+IVA!BN109</f>
        <v>352068</v>
      </c>
      <c r="BU109" s="176" t="n">
        <f aca="false">IVA!BO109+IVA!BP109+IVA!BQ109</f>
        <v>337160</v>
      </c>
      <c r="BV109" s="137" t="n">
        <f aca="false">IVA!BR109+IVA!BS109+IVA!BT109+IVA!BU109</f>
        <v>1647823</v>
      </c>
      <c r="BW109" s="138" t="n">
        <f aca="false">IVA!BR109/IVA!CJ19</f>
        <v>0.000457414728831812</v>
      </c>
      <c r="BX109" s="139" t="n">
        <f aca="false">IVA!BS109/IVA!CK19</f>
        <v>0.000266360020067087</v>
      </c>
      <c r="BY109" s="138" t="n">
        <f aca="false">IVA!BT109/IVA!CL19</f>
        <v>0.000240179007520264</v>
      </c>
      <c r="BZ109" s="138" t="n">
        <f aca="false">IVA!BU109/IVA!CM19</f>
        <v>0.000213514245193848</v>
      </c>
      <c r="CA109" s="273" t="n">
        <f aca="false">IVA!BV109/IVA!CN19</f>
        <v>0.00114221526807209</v>
      </c>
      <c r="CI109" s="53" t="n">
        <v>2003</v>
      </c>
      <c r="CJ109" s="377" t="n">
        <f aca="false">IVA!AQ33+IVA!AQ84+IVA!AQ101+IVA!AQ118+IVA!AQ152+IVA!AQ169+IVA!AQ218+IVA!AQ252</f>
        <v>4748660.0514564</v>
      </c>
      <c r="CK109" s="377" t="n">
        <f aca="false">IVA!AR33+IVA!AR84+IVA!AR101+IVA!AR118+IVA!AR152+IVA!AR169+IVA!AR218+IVA!AR252</f>
        <v>5141586.77707979</v>
      </c>
      <c r="CL109" s="377" t="n">
        <f aca="false">IVA!AS33+IVA!AS84+IVA!AS101+IVA!AS118+IVA!AS152+IVA!AS169+IVA!AS218+IVA!AS252</f>
        <v>5593108.10524061</v>
      </c>
      <c r="CM109" s="378" t="n">
        <f aca="false">IVA!AT33+IVA!AT84+IVA!AT101+IVA!AT118+IVA!AT152+IVA!AT169+IVA!AT218+IVA!AT252</f>
        <v>5663242.28006361</v>
      </c>
      <c r="CN109" s="376" t="n">
        <f aca="false">IVA!AU33+IVA!AU84+IVA!AU101+IVA!AU118+IVA!AU152+IVA!AU169+IVA!AU218+IVA!AU252</f>
        <v>21146597.2138404</v>
      </c>
      <c r="CP109" s="63"/>
      <c r="CQ109" s="13"/>
      <c r="CS109" s="376" t="n">
        <v>17988915089</v>
      </c>
      <c r="EJ109" s="31" t="n">
        <v>2057</v>
      </c>
      <c r="EK109" s="32" t="n">
        <v>15609.154</v>
      </c>
      <c r="EL109" s="33" t="n">
        <v>14035.725</v>
      </c>
    </row>
    <row r="110" customFormat="false" ht="12.75" hidden="false" customHeight="true" outlineLevel="0" collapsed="false">
      <c r="AA110" s="379" t="n">
        <v>2012</v>
      </c>
      <c r="AB110" s="379" t="s">
        <v>554</v>
      </c>
      <c r="AC110" s="380"/>
      <c r="AD110" s="381"/>
      <c r="AE110" s="382" t="n">
        <v>104250.20995</v>
      </c>
      <c r="AF110" s="382" t="n">
        <v>95987.31337</v>
      </c>
      <c r="AG110" s="382" t="n">
        <v>91603.49381</v>
      </c>
      <c r="AH110" s="382" t="n">
        <v>103066.79135</v>
      </c>
      <c r="AI110" s="382" t="n">
        <v>87149.86417</v>
      </c>
      <c r="AJ110" s="382" t="n">
        <v>96791.87201</v>
      </c>
      <c r="AK110" s="382" t="n">
        <v>98509.86127</v>
      </c>
      <c r="AL110" s="382" t="n">
        <v>89591.38284</v>
      </c>
      <c r="AM110" s="382" t="n">
        <v>106464.69313</v>
      </c>
      <c r="AN110" s="382" t="n">
        <v>96853.23091</v>
      </c>
      <c r="AO110" s="382" t="n">
        <v>104378.09991</v>
      </c>
      <c r="AP110" s="382" t="n">
        <v>122388.35743</v>
      </c>
      <c r="AQ110" s="249" t="n">
        <f aca="false">IVA!AE110+IVA!AF110+IVA!AG110</f>
        <v>291841.01713</v>
      </c>
      <c r="AR110" s="249" t="n">
        <f aca="false">IVA!AH110+IVA!AI110+IVA!AJ110</f>
        <v>287008.52753</v>
      </c>
      <c r="AS110" s="249" t="n">
        <f aca="false">IVA!AK110+IVA!AL110+IVA!AM110</f>
        <v>294565.93724</v>
      </c>
      <c r="AT110" s="249" t="n">
        <f aca="false">IVA!AN110+IVA!AO110+IVA!AP110</f>
        <v>323619.68825</v>
      </c>
      <c r="AU110" s="250" t="n">
        <f aca="false">IVA!AQ110+IVA!AR110+IVA!AS110+IVA!AT110</f>
        <v>1197035.17015</v>
      </c>
      <c r="AV110" s="252" t="n">
        <f aca="false">IVA!AQ110/IVA!CJ21</f>
        <v>0.000155653938472534</v>
      </c>
      <c r="AW110" s="252" t="n">
        <f aca="false">IVA!AR110/IVA!CK21</f>
        <v>0.000126259618235659</v>
      </c>
      <c r="AX110" s="252" t="n">
        <f aca="false">IVA!AS110/IVA!CL21</f>
        <v>0.000134941898026801</v>
      </c>
      <c r="AY110" s="252" t="n">
        <f aca="false">IVA!AT110/IVA!CM21</f>
        <v>0.000139132774598166</v>
      </c>
      <c r="AZ110" s="296" t="n">
        <f aca="false">IVA!AU110/IVA!CN21</f>
        <v>0.000553095738091556</v>
      </c>
      <c r="BA110" s="266" t="n">
        <v>2011</v>
      </c>
      <c r="BB110" s="369" t="s">
        <v>556</v>
      </c>
      <c r="BC110" s="370"/>
      <c r="BD110" s="370"/>
      <c r="BE110" s="370"/>
      <c r="BF110" s="371" t="n">
        <v>91925</v>
      </c>
      <c r="BG110" s="371" t="n">
        <v>119159</v>
      </c>
      <c r="BH110" s="371" t="n">
        <v>106898</v>
      </c>
      <c r="BI110" s="371" t="n">
        <v>104726</v>
      </c>
      <c r="BJ110" s="371" t="n">
        <v>93840</v>
      </c>
      <c r="BK110" s="371" t="n">
        <v>104167</v>
      </c>
      <c r="BL110" s="371" t="n">
        <v>119503</v>
      </c>
      <c r="BM110" s="371" t="n">
        <v>121740</v>
      </c>
      <c r="BN110" s="371" t="n">
        <v>121197</v>
      </c>
      <c r="BO110" s="371" t="n">
        <v>134292</v>
      </c>
      <c r="BP110" s="371" t="n">
        <v>110804</v>
      </c>
      <c r="BQ110" s="372" t="n">
        <v>128706</v>
      </c>
      <c r="BR110" s="175" t="n">
        <f aca="false">IVA!BF110+IVA!BG110+IVA!BH110</f>
        <v>317982</v>
      </c>
      <c r="BS110" s="175" t="n">
        <f aca="false">IVA!BI110+IVA!BJ110+IVA!BK110</f>
        <v>302733</v>
      </c>
      <c r="BT110" s="175" t="n">
        <f aca="false">IVA!BL110+IVA!BM110+IVA!BN110</f>
        <v>362440</v>
      </c>
      <c r="BU110" s="176" t="n">
        <f aca="false">IVA!BO110+IVA!BP110+IVA!BQ110</f>
        <v>373802</v>
      </c>
      <c r="BV110" s="137" t="n">
        <f aca="false">IVA!BR110+IVA!BS110+IVA!BT110+IVA!BU110</f>
        <v>1356957</v>
      </c>
      <c r="BW110" s="138" t="n">
        <f aca="false">IVA!BR110/IVA!CJ20</f>
        <v>0.000202848977404662</v>
      </c>
      <c r="BX110" s="139" t="n">
        <f aca="false">IVA!BS110/IVA!CK20</f>
        <v>0.000153187335555522</v>
      </c>
      <c r="BY110" s="138" t="n">
        <f aca="false">IVA!BT110/IVA!CL20</f>
        <v>0.000194297077223223</v>
      </c>
      <c r="BZ110" s="138" t="n">
        <f aca="false">IVA!BU110/IVA!CM20</f>
        <v>0.000190823362275136</v>
      </c>
      <c r="CA110" s="273" t="n">
        <f aca="false">IVA!BV110/IVA!CN20</f>
        <v>0.000736667043468281</v>
      </c>
      <c r="CI110" s="53" t="n">
        <v>2004</v>
      </c>
      <c r="CJ110" s="377" t="n">
        <f aca="false">IVA!AQ34+IVA!AQ85+IVA!AQ102+IVA!AQ119+IVA!AQ153+IVA!AQ170+IVA!AQ219+IVA!AQ253</f>
        <v>6323502.33635905</v>
      </c>
      <c r="CK110" s="377" t="n">
        <f aca="false">IVA!AR34+IVA!AR85+IVA!AR102+IVA!AR119+IVA!AR153+IVA!AR170+IVA!AR219+IVA!AR253</f>
        <v>7473357.66649041</v>
      </c>
      <c r="CL110" s="377" t="n">
        <f aca="false">IVA!AS34+IVA!AS85+IVA!AS102+IVA!AS119+IVA!AS153+IVA!AS170+IVA!AS219+IVA!AS253</f>
        <v>7399314.61150614</v>
      </c>
      <c r="CM110" s="378" t="n">
        <f aca="false">IVA!AT34+IVA!AT85+IVA!AT102+IVA!AT119+IVA!AT153+IVA!AT170+IVA!AT219+IVA!AT253</f>
        <v>7018841.9815035</v>
      </c>
      <c r="CN110" s="376" t="n">
        <f aca="false">IVA!AU34+IVA!AU85+IVA!AU102+IVA!AU119+IVA!AU153+IVA!AU170+IVA!AU219+IVA!AU253</f>
        <v>28215016.5958591</v>
      </c>
      <c r="CP110" s="63"/>
      <c r="CQ110" s="13"/>
      <c r="CS110" s="383" t="n">
        <v>17534865699</v>
      </c>
      <c r="EJ110" s="31" t="n">
        <v>2058</v>
      </c>
      <c r="EK110" s="32" t="n">
        <v>15883.775</v>
      </c>
      <c r="EL110" s="33" t="n">
        <v>14313.733</v>
      </c>
    </row>
    <row r="111" customFormat="false" ht="12.75" hidden="false" customHeight="true" outlineLevel="0" collapsed="false">
      <c r="AA111" s="384" t="n">
        <v>1996</v>
      </c>
      <c r="AB111" s="384" t="s">
        <v>564</v>
      </c>
      <c r="AC111" s="385"/>
      <c r="AD111" s="386"/>
      <c r="AE111" s="387" t="n">
        <v>0</v>
      </c>
      <c r="AF111" s="387" t="n">
        <v>0</v>
      </c>
      <c r="AG111" s="387" t="n">
        <v>0</v>
      </c>
      <c r="AH111" s="387" t="n">
        <v>0</v>
      </c>
      <c r="AI111" s="387" t="n">
        <v>0</v>
      </c>
      <c r="AJ111" s="387" t="n">
        <v>0</v>
      </c>
      <c r="AK111" s="387" t="n">
        <v>0</v>
      </c>
      <c r="AL111" s="387" t="n">
        <v>0</v>
      </c>
      <c r="AM111" s="387" t="n">
        <v>0</v>
      </c>
      <c r="AN111" s="387" t="n">
        <v>0</v>
      </c>
      <c r="AO111" s="387" t="n">
        <v>1645</v>
      </c>
      <c r="AP111" s="387" t="n">
        <v>136885</v>
      </c>
      <c r="AQ111" s="128" t="n">
        <f aca="false">IVA!AE111+IVA!AF111+IVA!AG111</f>
        <v>0</v>
      </c>
      <c r="AR111" s="128" t="n">
        <f aca="false">IVA!AH111+IVA!AI111+IVA!AJ111</f>
        <v>0</v>
      </c>
      <c r="AS111" s="128" t="n">
        <f aca="false">IVA!AK111+IVA!AL111+IVA!AM111</f>
        <v>0</v>
      </c>
      <c r="AT111" s="128" t="n">
        <f aca="false">IVA!AN111+IVA!AO111+IVA!AP111</f>
        <v>138530</v>
      </c>
      <c r="AU111" s="129" t="n">
        <f aca="false">IVA!AQ111+IVA!AR111+IVA!AS111+IVA!AT111</f>
        <v>138530</v>
      </c>
      <c r="AV111" s="252"/>
      <c r="AW111" s="252"/>
      <c r="AX111" s="252"/>
      <c r="AY111" s="252"/>
      <c r="AZ111" s="296"/>
      <c r="BA111" s="297" t="n">
        <v>2012</v>
      </c>
      <c r="BB111" s="388" t="s">
        <v>556</v>
      </c>
      <c r="BC111" s="389"/>
      <c r="BD111" s="389"/>
      <c r="BE111" s="389"/>
      <c r="BF111" s="390" t="n">
        <v>89038.08137</v>
      </c>
      <c r="BG111" s="390" t="n">
        <v>103963.88286</v>
      </c>
      <c r="BH111" s="390" t="n">
        <v>133126.73103</v>
      </c>
      <c r="BI111" s="390" t="n">
        <v>96847.84325</v>
      </c>
      <c r="BJ111" s="390" t="n">
        <v>131682.02437</v>
      </c>
      <c r="BK111" s="390" t="n">
        <v>103612.17492</v>
      </c>
      <c r="BL111" s="390" t="n">
        <v>112375.45101</v>
      </c>
      <c r="BM111" s="390" t="n">
        <v>124938.58801</v>
      </c>
      <c r="BN111" s="390" t="n">
        <v>122739.7206</v>
      </c>
      <c r="BO111" s="390" t="n">
        <v>125012.75415</v>
      </c>
      <c r="BP111" s="390" t="n">
        <v>157716.76065</v>
      </c>
      <c r="BQ111" s="391" t="n">
        <v>142037.12661</v>
      </c>
      <c r="BR111" s="259" t="n">
        <f aca="false">IVA!BF111+IVA!BG111+IVA!BH111</f>
        <v>326128.69526</v>
      </c>
      <c r="BS111" s="259" t="n">
        <f aca="false">IVA!BI111+IVA!BJ111+IVA!BK111</f>
        <v>332142.04254</v>
      </c>
      <c r="BT111" s="259" t="n">
        <f aca="false">IVA!BL111+IVA!BM111+IVA!BN111</f>
        <v>360053.75962</v>
      </c>
      <c r="BU111" s="260" t="n">
        <f aca="false">IVA!BO111+IVA!BP111+IVA!BQ111</f>
        <v>424766.64141</v>
      </c>
      <c r="BV111" s="261" t="n">
        <f aca="false">IVA!BR111+IVA!BS111+IVA!BT111+IVA!BU111</f>
        <v>1443091.13883</v>
      </c>
      <c r="BW111" s="264" t="n">
        <f aca="false">IVA!BR111/IVA!CJ21</f>
        <v>0.000173941334104916</v>
      </c>
      <c r="BX111" s="263" t="n">
        <f aca="false">IVA!BS111/IVA!CK21</f>
        <v>0.00014611456966807</v>
      </c>
      <c r="BY111" s="264" t="n">
        <f aca="false">IVA!BT111/IVA!CL21</f>
        <v>0.000164942145619581</v>
      </c>
      <c r="BZ111" s="264" t="n">
        <f aca="false">IVA!BU111/IVA!CM21</f>
        <v>0.000182618559753579</v>
      </c>
      <c r="CA111" s="303" t="n">
        <f aca="false">IVA!BV111/IVA!CN21</f>
        <v>0.000666787057279649</v>
      </c>
      <c r="CI111" s="53" t="n">
        <v>2005</v>
      </c>
      <c r="CJ111" s="377" t="n">
        <f aca="false">IVA!AQ35+IVA!AQ86+IVA!AQ103+IVA!AQ120+IVA!AQ154+IVA!AQ171+IVA!AQ220+IVA!AQ254</f>
        <v>7865846.55172239</v>
      </c>
      <c r="CK111" s="377" t="n">
        <f aca="false">IVA!AR35+IVA!AR86+IVA!AR103+IVA!AR120+IVA!AR154+IVA!AR171+IVA!AR220+IVA!AR254</f>
        <v>8552016.31459058</v>
      </c>
      <c r="CL111" s="377" t="n">
        <f aca="false">IVA!AS35+IVA!AS86+IVA!AS103+IVA!AS120+IVA!AS154+IVA!AS171+IVA!AS220+IVA!AS254</f>
        <v>9269061.72105092</v>
      </c>
      <c r="CM111" s="378" t="n">
        <f aca="false">IVA!AT35+IVA!AT86+IVA!AT103+IVA!AT120+IVA!AT154+IVA!AT171+IVA!AT220+IVA!AT254</f>
        <v>9664858.89577479</v>
      </c>
      <c r="CN111" s="376" t="n">
        <f aca="false">IVA!AU35+IVA!AU86+IVA!AU103+IVA!AU120+IVA!AU154+IVA!AU171+IVA!AU220+IVA!AU254</f>
        <v>35351783.4831387</v>
      </c>
      <c r="CP111" s="63"/>
      <c r="CQ111" s="13"/>
      <c r="CS111" s="376"/>
      <c r="EJ111" s="31" t="n">
        <v>2059</v>
      </c>
      <c r="EK111" s="32" t="n">
        <v>16143.688</v>
      </c>
      <c r="EL111" s="33" t="n">
        <v>14579.05</v>
      </c>
    </row>
    <row r="112" customFormat="false" ht="12.75" hidden="false" customHeight="true" outlineLevel="0" collapsed="false">
      <c r="AA112" s="384" t="n">
        <v>1997</v>
      </c>
      <c r="AB112" s="384" t="s">
        <v>564</v>
      </c>
      <c r="AC112" s="385"/>
      <c r="AD112" s="386"/>
      <c r="AE112" s="387" t="n">
        <v>222444</v>
      </c>
      <c r="AF112" s="387" t="n">
        <v>84188</v>
      </c>
      <c r="AG112" s="387" t="n">
        <v>72385</v>
      </c>
      <c r="AH112" s="387" t="n">
        <v>102769</v>
      </c>
      <c r="AI112" s="387" t="n">
        <v>35342</v>
      </c>
      <c r="AJ112" s="387" t="n">
        <v>79099</v>
      </c>
      <c r="AK112" s="387" t="n">
        <v>96313</v>
      </c>
      <c r="AL112" s="387" t="n">
        <v>129343</v>
      </c>
      <c r="AM112" s="387" t="n">
        <v>132145</v>
      </c>
      <c r="AN112" s="387" t="n">
        <v>114512</v>
      </c>
      <c r="AO112" s="387" t="n">
        <v>169900</v>
      </c>
      <c r="AP112" s="387" t="n">
        <v>235165</v>
      </c>
      <c r="AQ112" s="128" t="n">
        <f aca="false">IVA!AE112+IVA!AF112+IVA!AG112</f>
        <v>379017</v>
      </c>
      <c r="AR112" s="128" t="n">
        <f aca="false">IVA!AH112+IVA!AI112+IVA!AJ112</f>
        <v>217210</v>
      </c>
      <c r="AS112" s="128" t="n">
        <f aca="false">IVA!AK112+IVA!AL112+IVA!AM112</f>
        <v>357801</v>
      </c>
      <c r="AT112" s="128" t="n">
        <f aca="false">IVA!AN112+IVA!AO112+IVA!AP112</f>
        <v>519577</v>
      </c>
      <c r="AU112" s="129" t="n">
        <f aca="false">IVA!AQ112+IVA!AR112+IVA!AS112+IVA!AT112</f>
        <v>1473605</v>
      </c>
      <c r="AV112" s="130" t="n">
        <f aca="false">IVA!AQ112/IVA!CJ6</f>
        <v>0.00139724618447246</v>
      </c>
      <c r="AW112" s="130" t="n">
        <f aca="false">IVA!AR112/IVA!CK6</f>
        <v>0.000724341084682355</v>
      </c>
      <c r="AX112" s="130" t="n">
        <f aca="false">IVA!AS112/IVA!CL6</f>
        <v>0.00119960776553165</v>
      </c>
      <c r="AY112" s="130" t="n">
        <f aca="false">IVA!AT112/IVA!CM6</f>
        <v>0.00172023990696669</v>
      </c>
      <c r="AZ112" s="271" t="n">
        <f aca="false">IVA!AU112/IVA!CN6</f>
        <v>0.00503179214998427</v>
      </c>
      <c r="BA112" s="266" t="n">
        <v>1996</v>
      </c>
      <c r="BB112" s="392" t="s">
        <v>565</v>
      </c>
      <c r="BC112" s="393"/>
      <c r="BD112" s="393"/>
      <c r="BE112" s="393"/>
      <c r="BF112" s="394" t="n">
        <v>0</v>
      </c>
      <c r="BG112" s="394" t="n">
        <v>0</v>
      </c>
      <c r="BH112" s="394" t="n">
        <v>0</v>
      </c>
      <c r="BI112" s="394" t="n">
        <v>0</v>
      </c>
      <c r="BJ112" s="394" t="n">
        <v>0</v>
      </c>
      <c r="BK112" s="394" t="n">
        <v>0</v>
      </c>
      <c r="BL112" s="394" t="n">
        <v>0</v>
      </c>
      <c r="BM112" s="394" t="n">
        <v>0</v>
      </c>
      <c r="BN112" s="394" t="n">
        <v>0</v>
      </c>
      <c r="BO112" s="394" t="n">
        <v>0</v>
      </c>
      <c r="BP112" s="394" t="n">
        <v>0</v>
      </c>
      <c r="BQ112" s="395" t="n">
        <v>0</v>
      </c>
      <c r="BR112" s="175" t="n">
        <f aca="false">IVA!BF112+IVA!BG112+IVA!BH112</f>
        <v>0</v>
      </c>
      <c r="BS112" s="175" t="n">
        <f aca="false">IVA!BI112+IVA!BJ112+IVA!BK112</f>
        <v>0</v>
      </c>
      <c r="BT112" s="175" t="n">
        <f aca="false">IVA!BL112+IVA!BM112+IVA!BN112</f>
        <v>0</v>
      </c>
      <c r="BU112" s="176" t="n">
        <f aca="false">IVA!BO112+IVA!BP112+IVA!BQ112</f>
        <v>0</v>
      </c>
      <c r="BV112" s="261"/>
      <c r="BW112" s="264"/>
      <c r="BX112" s="263"/>
      <c r="BY112" s="264"/>
      <c r="BZ112" s="264"/>
      <c r="CA112" s="303"/>
      <c r="CI112" s="53" t="n">
        <v>2006</v>
      </c>
      <c r="CJ112" s="377" t="n">
        <f aca="false">IVA!AQ36+IVA!AQ87+IVA!AQ104+IVA!AQ121+IVA!AQ155+IVA!AQ172+IVA!AQ221+IVA!AQ255</f>
        <v>10596418.657718</v>
      </c>
      <c r="CK112" s="377" t="n">
        <f aca="false">IVA!AR36+IVA!AR87+IVA!AR104+IVA!AR121+IVA!AR155+IVA!AR172+IVA!AR221+IVA!AR255</f>
        <v>11203589.3030282</v>
      </c>
      <c r="CL112" s="377" t="n">
        <f aca="false">IVA!AS36+IVA!AS87+IVA!AS104+IVA!AS121+IVA!AS155+IVA!AS172+IVA!AS221+IVA!AS255</f>
        <v>12324375.6021211</v>
      </c>
      <c r="CM112" s="378" t="n">
        <f aca="false">IVA!AT36+IVA!AT87+IVA!AT104+IVA!AT121+IVA!AT155+IVA!AT172+IVA!AT221+IVA!AT255</f>
        <v>12653784.8819279</v>
      </c>
      <c r="CN112" s="376" t="n">
        <f aca="false">IVA!AU36+IVA!AU87+IVA!AU104+IVA!AU121+IVA!AU155+IVA!AU172+IVA!AU221+IVA!AU255</f>
        <v>46778168.4447952</v>
      </c>
      <c r="CP112" s="63"/>
      <c r="CQ112" s="13"/>
      <c r="CS112" s="376"/>
      <c r="EJ112" s="31" t="n">
        <v>2060</v>
      </c>
      <c r="EK112" s="32" t="n">
        <v>16383.288</v>
      </c>
      <c r="EL112" s="33" t="n">
        <v>14825.767</v>
      </c>
    </row>
    <row r="113" customFormat="false" ht="12.75" hidden="false" customHeight="true" outlineLevel="0" collapsed="false">
      <c r="AA113" s="384" t="n">
        <v>1998</v>
      </c>
      <c r="AB113" s="384" t="s">
        <v>564</v>
      </c>
      <c r="AC113" s="385"/>
      <c r="AD113" s="386"/>
      <c r="AE113" s="387" t="n">
        <v>37098</v>
      </c>
      <c r="AF113" s="387" t="n">
        <v>60064</v>
      </c>
      <c r="AG113" s="387" t="n">
        <v>94876</v>
      </c>
      <c r="AH113" s="387" t="n">
        <v>110014</v>
      </c>
      <c r="AI113" s="387" t="n">
        <v>116915</v>
      </c>
      <c r="AJ113" s="387" t="n">
        <v>119542</v>
      </c>
      <c r="AK113" s="387" t="n">
        <v>144348</v>
      </c>
      <c r="AL113" s="387" t="n">
        <v>132293</v>
      </c>
      <c r="AM113" s="387" t="n">
        <v>111007</v>
      </c>
      <c r="AN113" s="387" t="n">
        <v>120120</v>
      </c>
      <c r="AO113" s="387" t="n">
        <v>132678</v>
      </c>
      <c r="AP113" s="387" t="n">
        <v>188126</v>
      </c>
      <c r="AQ113" s="128" t="n">
        <f aca="false">IVA!AE113+IVA!AF113+IVA!AG113</f>
        <v>192038</v>
      </c>
      <c r="AR113" s="128" t="n">
        <f aca="false">IVA!AH113+IVA!AI113+IVA!AJ113</f>
        <v>346471</v>
      </c>
      <c r="AS113" s="128" t="n">
        <f aca="false">IVA!AK113+IVA!AL113+IVA!AM113</f>
        <v>387648</v>
      </c>
      <c r="AT113" s="128" t="n">
        <f aca="false">IVA!AN113+IVA!AO113+IVA!AP113</f>
        <v>440924</v>
      </c>
      <c r="AU113" s="129" t="n">
        <f aca="false">IVA!AQ113+IVA!AR113+IVA!AS113+IVA!AT113</f>
        <v>1367081</v>
      </c>
      <c r="AV113" s="130" t="n">
        <f aca="false">IVA!AQ113/IVA!CJ7</f>
        <v>0.000679145860151929</v>
      </c>
      <c r="AW113" s="130" t="n">
        <f aca="false">IVA!AR113/IVA!CK7</f>
        <v>0.00111002462683888</v>
      </c>
      <c r="AX113" s="130" t="n">
        <f aca="false">IVA!AS113/IVA!CL7</f>
        <v>0.00126900169901486</v>
      </c>
      <c r="AY113" s="130" t="n">
        <f aca="false">IVA!AT113/IVA!CM7</f>
        <v>0.00149250577494978</v>
      </c>
      <c r="AZ113" s="271" t="n">
        <f aca="false">IVA!AU113/IVA!CN7</f>
        <v>0.00457296707234507</v>
      </c>
      <c r="BA113" s="266" t="n">
        <v>1997</v>
      </c>
      <c r="BB113" s="392" t="s">
        <v>565</v>
      </c>
      <c r="BC113" s="393"/>
      <c r="BD113" s="393"/>
      <c r="BE113" s="393"/>
      <c r="BF113" s="394" t="n">
        <v>0</v>
      </c>
      <c r="BG113" s="394" t="n">
        <v>0</v>
      </c>
      <c r="BH113" s="394" t="n">
        <v>0</v>
      </c>
      <c r="BI113" s="394" t="n">
        <v>0</v>
      </c>
      <c r="BJ113" s="394" t="n">
        <v>0</v>
      </c>
      <c r="BK113" s="394" t="n">
        <v>0</v>
      </c>
      <c r="BL113" s="394" t="n">
        <v>0</v>
      </c>
      <c r="BM113" s="394" t="n">
        <v>0</v>
      </c>
      <c r="BN113" s="394" t="n">
        <v>0</v>
      </c>
      <c r="BO113" s="394" t="n">
        <v>0</v>
      </c>
      <c r="BP113" s="394" t="n">
        <v>0</v>
      </c>
      <c r="BQ113" s="395" t="n">
        <v>0</v>
      </c>
      <c r="BR113" s="175" t="n">
        <f aca="false">IVA!BF113+IVA!BG113+IVA!BH113</f>
        <v>0</v>
      </c>
      <c r="BS113" s="175" t="n">
        <f aca="false">IVA!BI113+IVA!BJ113+IVA!BK113</f>
        <v>0</v>
      </c>
      <c r="BT113" s="175" t="n">
        <f aca="false">IVA!BL113+IVA!BM113+IVA!BN113</f>
        <v>0</v>
      </c>
      <c r="BU113" s="176" t="n">
        <f aca="false">IVA!BO113+IVA!BP113+IVA!BQ113</f>
        <v>0</v>
      </c>
      <c r="BV113" s="137" t="n">
        <f aca="false">IVA!BR113+IVA!BS113+IVA!BT113+IVA!BU113</f>
        <v>0</v>
      </c>
      <c r="BW113" s="138" t="n">
        <f aca="false">IVA!BR113/IVA!CJ6</f>
        <v>0</v>
      </c>
      <c r="BX113" s="139" t="n">
        <f aca="false">IVA!BS113/IVA!CK6</f>
        <v>0</v>
      </c>
      <c r="BY113" s="138" t="n">
        <f aca="false">IVA!BT113/IVA!CL6</f>
        <v>0</v>
      </c>
      <c r="BZ113" s="138" t="n">
        <f aca="false">IVA!BU113/IVA!CM6</f>
        <v>0</v>
      </c>
      <c r="CA113" s="273" t="n">
        <f aca="false">IVA!BV113/IVA!CN6</f>
        <v>0</v>
      </c>
      <c r="CI113" s="53" t="n">
        <v>2007</v>
      </c>
      <c r="CJ113" s="377" t="n">
        <f aca="false">IVA!AQ37+IVA!AQ88+IVA!AQ105+IVA!AQ122+IVA!AQ156+IVA!AQ173+IVA!AQ222+IVA!AQ256</f>
        <v>14553281.153742</v>
      </c>
      <c r="CK113" s="377" t="n">
        <f aca="false">IVA!AR37+IVA!AR88+IVA!AR105+IVA!AR122+IVA!AR156+IVA!AR173+IVA!AR222+IVA!AR256</f>
        <v>15222879.8246842</v>
      </c>
      <c r="CL113" s="377" t="n">
        <f aca="false">IVA!AS37+IVA!AS88+IVA!AS105+IVA!AS122+IVA!AS156+IVA!AS173+IVA!AS222+IVA!AS256</f>
        <v>17129366.622385</v>
      </c>
      <c r="CM113" s="378" t="n">
        <f aca="false">IVA!AT37+IVA!AT88+IVA!AT105+IVA!AT122+IVA!AT156+IVA!AT173+IVA!AT222+IVA!AT256</f>
        <v>16925016.7596434</v>
      </c>
      <c r="CN113" s="376" t="n">
        <f aca="false">IVA!AU37+IVA!AU88+IVA!AU105+IVA!AU122+IVA!AU156+IVA!AU173+IVA!AU222+IVA!AU256</f>
        <v>63830544.3604546</v>
      </c>
      <c r="CP113" s="63"/>
      <c r="CQ113" s="13"/>
      <c r="CS113" s="376"/>
      <c r="EJ113" s="31" t="n">
        <v>2061</v>
      </c>
      <c r="EK113" s="32" t="n">
        <v>16596.257</v>
      </c>
      <c r="EL113" s="33" t="n">
        <v>15048.342</v>
      </c>
    </row>
    <row r="114" customFormat="false" ht="12.75" hidden="false" customHeight="true" outlineLevel="0" collapsed="false">
      <c r="AA114" s="384" t="n">
        <v>1999</v>
      </c>
      <c r="AB114" s="384" t="s">
        <v>564</v>
      </c>
      <c r="AC114" s="385"/>
      <c r="AD114" s="386"/>
      <c r="AE114" s="387" t="n">
        <v>63295</v>
      </c>
      <c r="AF114" s="387" t="n">
        <v>108086</v>
      </c>
      <c r="AG114" s="387" t="n">
        <v>78817</v>
      </c>
      <c r="AH114" s="387" t="n">
        <v>124653</v>
      </c>
      <c r="AI114" s="387" t="n">
        <v>138001</v>
      </c>
      <c r="AJ114" s="387" t="n">
        <v>117286</v>
      </c>
      <c r="AK114" s="387" t="n">
        <v>124393</v>
      </c>
      <c r="AL114" s="387" t="n">
        <v>114177</v>
      </c>
      <c r="AM114" s="387" t="n">
        <v>116984</v>
      </c>
      <c r="AN114" s="387" t="n">
        <v>115526</v>
      </c>
      <c r="AO114" s="387" t="n">
        <v>117067</v>
      </c>
      <c r="AP114" s="387" t="n">
        <v>193082</v>
      </c>
      <c r="AQ114" s="128" t="n">
        <f aca="false">IVA!AE114+IVA!AF114+IVA!AG114</f>
        <v>250198</v>
      </c>
      <c r="AR114" s="128" t="n">
        <f aca="false">IVA!AH114+IVA!AI114+IVA!AJ114</f>
        <v>379940</v>
      </c>
      <c r="AS114" s="128" t="n">
        <f aca="false">IVA!AK114+IVA!AL114+IVA!AM114</f>
        <v>355554</v>
      </c>
      <c r="AT114" s="128" t="n">
        <f aca="false">IVA!AN114+IVA!AO114+IVA!AP114</f>
        <v>425675</v>
      </c>
      <c r="AU114" s="129" t="n">
        <f aca="false">IVA!AQ114+IVA!AR114+IVA!AS114+IVA!AT114</f>
        <v>1411367</v>
      </c>
      <c r="AV114" s="130" t="n">
        <f aca="false">IVA!AQ114/IVA!CJ8</f>
        <v>0.000924105988638798</v>
      </c>
      <c r="AW114" s="130" t="n">
        <f aca="false">IVA!AR114/IVA!CK8</f>
        <v>0.00131544572761894</v>
      </c>
      <c r="AX114" s="130" t="n">
        <f aca="false">IVA!AS114/IVA!CL8</f>
        <v>0.00124717708391491</v>
      </c>
      <c r="AY114" s="130" t="n">
        <f aca="false">IVA!AT114/IVA!CM8</f>
        <v>0.00147074153429928</v>
      </c>
      <c r="AZ114" s="271" t="n">
        <f aca="false">IVA!AU114/IVA!CN8</f>
        <v>0.00497796256608846</v>
      </c>
      <c r="BA114" s="266" t="n">
        <v>1998</v>
      </c>
      <c r="BB114" s="392" t="s">
        <v>565</v>
      </c>
      <c r="BC114" s="393"/>
      <c r="BD114" s="393"/>
      <c r="BE114" s="393"/>
      <c r="BF114" s="394" t="n">
        <v>0</v>
      </c>
      <c r="BG114" s="394" t="n">
        <v>0</v>
      </c>
      <c r="BH114" s="394" t="n">
        <v>0</v>
      </c>
      <c r="BI114" s="394" t="n">
        <v>0</v>
      </c>
      <c r="BJ114" s="394" t="n">
        <v>0</v>
      </c>
      <c r="BK114" s="394" t="n">
        <v>0</v>
      </c>
      <c r="BL114" s="394" t="n">
        <v>0</v>
      </c>
      <c r="BM114" s="394" t="n">
        <v>0</v>
      </c>
      <c r="BN114" s="394" t="n">
        <v>0</v>
      </c>
      <c r="BO114" s="394" t="n">
        <v>0</v>
      </c>
      <c r="BP114" s="394" t="n">
        <v>0</v>
      </c>
      <c r="BQ114" s="395" t="n">
        <v>0</v>
      </c>
      <c r="BR114" s="175" t="n">
        <f aca="false">IVA!BF114+IVA!BG114+IVA!BH114</f>
        <v>0</v>
      </c>
      <c r="BS114" s="175" t="n">
        <f aca="false">IVA!BI114+IVA!BJ114+IVA!BK114</f>
        <v>0</v>
      </c>
      <c r="BT114" s="175" t="n">
        <f aca="false">IVA!BL114+IVA!BM114+IVA!BN114</f>
        <v>0</v>
      </c>
      <c r="BU114" s="176" t="n">
        <f aca="false">IVA!BO114+IVA!BP114+IVA!BQ114</f>
        <v>0</v>
      </c>
      <c r="BV114" s="137" t="n">
        <f aca="false">IVA!BR114+IVA!BS114+IVA!BT114+IVA!BU114</f>
        <v>0</v>
      </c>
      <c r="BW114" s="138" t="n">
        <f aca="false">IVA!BR114/IVA!CJ7</f>
        <v>0</v>
      </c>
      <c r="BX114" s="139" t="n">
        <f aca="false">IVA!BS114/IVA!CK7</f>
        <v>0</v>
      </c>
      <c r="BY114" s="138" t="n">
        <f aca="false">IVA!BT114/IVA!CL7</f>
        <v>0</v>
      </c>
      <c r="BZ114" s="138" t="n">
        <f aca="false">IVA!BU114/IVA!CM7</f>
        <v>0</v>
      </c>
      <c r="CA114" s="273" t="n">
        <f aca="false">IVA!BV114/IVA!CN7</f>
        <v>0</v>
      </c>
      <c r="CI114" s="53" t="n">
        <v>2008</v>
      </c>
      <c r="CJ114" s="377" t="n">
        <f aca="false">IVA!AQ38+IVA!AQ89+IVA!AQ106+IVA!AQ123+IVA!AQ157+IVA!AQ174+IVA!AQ223+IVA!AQ257</f>
        <v>19593754.0299501</v>
      </c>
      <c r="CK114" s="377" t="n">
        <f aca="false">IVA!AR38+IVA!AR89+IVA!AR106+IVA!AR123+IVA!AR157+IVA!AR174+IVA!AR223+IVA!AR257</f>
        <v>21115349.0191878</v>
      </c>
      <c r="CL114" s="377" t="n">
        <f aca="false">IVA!AS38+IVA!AS89+IVA!AS106+IVA!AS123+IVA!AS157+IVA!AS174+IVA!AS223+IVA!AS257</f>
        <v>23718852.4889704</v>
      </c>
      <c r="CM114" s="378" t="n">
        <f aca="false">IVA!AT38+IVA!AT89+IVA!AT106+IVA!AT123+IVA!AT157+IVA!AT174+IVA!AT223+IVA!AT257</f>
        <v>22982257.0330426</v>
      </c>
      <c r="CN114" s="376" t="n">
        <f aca="false">IVA!AU38+IVA!AU89+IVA!AU106+IVA!AU123+IVA!AU157+IVA!AU174+IVA!AU223+IVA!AU257</f>
        <v>87410212.5711509</v>
      </c>
      <c r="CP114" s="63"/>
      <c r="CQ114" s="13"/>
      <c r="CS114" s="376"/>
      <c r="EJ114" s="31" t="n">
        <v>2062</v>
      </c>
      <c r="EK114" s="32" t="n">
        <v>16791.327</v>
      </c>
      <c r="EL114" s="33" t="n">
        <v>15254.736</v>
      </c>
    </row>
    <row r="115" customFormat="false" ht="12.75" hidden="false" customHeight="true" outlineLevel="0" collapsed="false">
      <c r="AA115" s="384" t="n">
        <v>2000</v>
      </c>
      <c r="AB115" s="384" t="s">
        <v>564</v>
      </c>
      <c r="AC115" s="385"/>
      <c r="AD115" s="386"/>
      <c r="AE115" s="387" t="n">
        <v>57943.98599</v>
      </c>
      <c r="AF115" s="387" t="n">
        <v>108139.94775</v>
      </c>
      <c r="AG115" s="387" t="n">
        <v>78502.98823</v>
      </c>
      <c r="AH115" s="387" t="n">
        <v>114941.72248</v>
      </c>
      <c r="AI115" s="387" t="n">
        <v>103591.3824</v>
      </c>
      <c r="AJ115" s="387" t="n">
        <v>120510.85275</v>
      </c>
      <c r="AK115" s="387" t="n">
        <v>117703.9421</v>
      </c>
      <c r="AL115" s="387" t="n">
        <v>125663.4487</v>
      </c>
      <c r="AM115" s="387" t="n">
        <v>124285.6659</v>
      </c>
      <c r="AN115" s="387" t="n">
        <v>105768.6182</v>
      </c>
      <c r="AO115" s="387" t="n">
        <v>89761.76585</v>
      </c>
      <c r="AP115" s="387" t="n">
        <v>177771.94155</v>
      </c>
      <c r="AQ115" s="128" t="n">
        <f aca="false">IVA!AE115+IVA!AF115+IVA!AG115</f>
        <v>244586.92197</v>
      </c>
      <c r="AR115" s="128" t="n">
        <f aca="false">IVA!AH115+IVA!AI115+IVA!AJ115</f>
        <v>339043.95763</v>
      </c>
      <c r="AS115" s="128" t="n">
        <f aca="false">IVA!AK115+IVA!AL115+IVA!AM115</f>
        <v>367653.0567</v>
      </c>
      <c r="AT115" s="128" t="n">
        <f aca="false">IVA!AN115+IVA!AO115+IVA!AP115</f>
        <v>373302.3256</v>
      </c>
      <c r="AU115" s="129" t="n">
        <f aca="false">IVA!AQ115+IVA!AR115+IVA!AS115+IVA!AT115</f>
        <v>1324586.2619</v>
      </c>
      <c r="AV115" s="130" t="n">
        <f aca="false">IVA!AQ115/IVA!CJ9</f>
        <v>0.000904390269223943</v>
      </c>
      <c r="AW115" s="130" t="n">
        <f aca="false">IVA!AR115/IVA!CK9</f>
        <v>0.00116192117939648</v>
      </c>
      <c r="AX115" s="130" t="n">
        <f aca="false">IVA!AS115/IVA!CL9</f>
        <v>0.00127881262351954</v>
      </c>
      <c r="AY115" s="130" t="n">
        <f aca="false">IVA!AT115/IVA!CM9</f>
        <v>0.00130034697603486</v>
      </c>
      <c r="AZ115" s="271" t="n">
        <f aca="false">IVA!AU115/IVA!CN9</f>
        <v>0.00466069259009166</v>
      </c>
      <c r="BA115" s="266" t="n">
        <v>1999</v>
      </c>
      <c r="BB115" s="392" t="s">
        <v>565</v>
      </c>
      <c r="BC115" s="393"/>
      <c r="BD115" s="393"/>
      <c r="BE115" s="393"/>
      <c r="BF115" s="394" t="n">
        <v>0</v>
      </c>
      <c r="BG115" s="394" t="n">
        <v>0</v>
      </c>
      <c r="BH115" s="394" t="n">
        <v>0</v>
      </c>
      <c r="BI115" s="394" t="n">
        <v>0</v>
      </c>
      <c r="BJ115" s="394" t="n">
        <v>0</v>
      </c>
      <c r="BK115" s="394" t="n">
        <v>0</v>
      </c>
      <c r="BL115" s="394" t="n">
        <v>0</v>
      </c>
      <c r="BM115" s="394" t="n">
        <v>0</v>
      </c>
      <c r="BN115" s="394" t="n">
        <v>0</v>
      </c>
      <c r="BO115" s="394" t="n">
        <v>0</v>
      </c>
      <c r="BP115" s="394" t="n">
        <v>0</v>
      </c>
      <c r="BQ115" s="395" t="n">
        <v>0</v>
      </c>
      <c r="BR115" s="175" t="n">
        <f aca="false">IVA!BF115+IVA!BG115+IVA!BH115</f>
        <v>0</v>
      </c>
      <c r="BS115" s="175" t="n">
        <f aca="false">IVA!BI115+IVA!BJ115+IVA!BK115</f>
        <v>0</v>
      </c>
      <c r="BT115" s="175" t="n">
        <f aca="false">IVA!BL115+IVA!BM115+IVA!BN115</f>
        <v>0</v>
      </c>
      <c r="BU115" s="176" t="n">
        <f aca="false">IVA!BO115+IVA!BP115+IVA!BQ115</f>
        <v>0</v>
      </c>
      <c r="BV115" s="137" t="n">
        <f aca="false">IVA!BR115+IVA!BS115+IVA!BT115+IVA!BU115</f>
        <v>0</v>
      </c>
      <c r="BW115" s="138" t="n">
        <f aca="false">IVA!BR115/IVA!CJ8</f>
        <v>0</v>
      </c>
      <c r="BX115" s="139" t="n">
        <f aca="false">IVA!BS115/IVA!CK8</f>
        <v>0</v>
      </c>
      <c r="BY115" s="138" t="n">
        <f aca="false">IVA!BT115/IVA!CL8</f>
        <v>0</v>
      </c>
      <c r="BZ115" s="138" t="n">
        <f aca="false">IVA!BU115/IVA!CM8</f>
        <v>0</v>
      </c>
      <c r="CA115" s="273" t="n">
        <f aca="false">IVA!BV115/IVA!CN8</f>
        <v>0</v>
      </c>
      <c r="CI115" s="53" t="n">
        <v>2009</v>
      </c>
      <c r="CJ115" s="377" t="n">
        <f aca="false">IVA!AQ39+IVA!AQ90+IVA!AQ107+IVA!AQ124+IVA!AQ158+IVA!AQ175+IVA!AQ224+IVA!AQ258</f>
        <v>24555790.606655</v>
      </c>
      <c r="CK115" s="377" t="n">
        <f aca="false">IVA!AR39+IVA!AR90+IVA!AR107+IVA!AR124+IVA!AR158+IVA!AR175+IVA!AR224+IVA!AR258</f>
        <v>24330436.679265</v>
      </c>
      <c r="CL115" s="377" t="n">
        <f aca="false">IVA!AS39+IVA!AS90+IVA!AS107+IVA!AS124+IVA!AS158+IVA!AS175+IVA!AS224+IVA!AS258</f>
        <v>27489756.503337</v>
      </c>
      <c r="CM115" s="378" t="n">
        <f aca="false">IVA!AT39+IVA!AT90+IVA!AT107+IVA!AT124+IVA!AT158+IVA!AT175+IVA!AT224+IVA!AT258</f>
        <v>27096114.310242</v>
      </c>
      <c r="CN115" s="376" t="n">
        <f aca="false">IVA!AU39+IVA!AU90+IVA!AU107+IVA!AU124+IVA!AU158+IVA!AU175+IVA!AU224+IVA!AU258</f>
        <v>103472098.099499</v>
      </c>
      <c r="CP115" s="63"/>
      <c r="CQ115" s="13"/>
      <c r="CS115" s="376"/>
      <c r="EJ115" s="31" t="n">
        <v>2063</v>
      </c>
      <c r="EK115" s="32" t="n">
        <v>16973.513</v>
      </c>
      <c r="EL115" s="33" t="n">
        <v>15447.829</v>
      </c>
    </row>
    <row r="116" customFormat="false" ht="12.75" hidden="false" customHeight="true" outlineLevel="0" collapsed="false">
      <c r="AA116" s="384" t="n">
        <v>2001</v>
      </c>
      <c r="AB116" s="384" t="s">
        <v>564</v>
      </c>
      <c r="AC116" s="385"/>
      <c r="AD116" s="386"/>
      <c r="AE116" s="387" t="n">
        <v>64557.35843</v>
      </c>
      <c r="AF116" s="387" t="n">
        <v>106042.98718</v>
      </c>
      <c r="AG116" s="387" t="n">
        <v>96746.09977</v>
      </c>
      <c r="AH116" s="387" t="n">
        <v>97726.50808</v>
      </c>
      <c r="AI116" s="387" t="n">
        <v>132494.38878</v>
      </c>
      <c r="AJ116" s="387" t="n">
        <v>117523.0757</v>
      </c>
      <c r="AK116" s="387" t="n">
        <v>140646.20213</v>
      </c>
      <c r="AL116" s="387" t="n">
        <v>132009.09457</v>
      </c>
      <c r="AM116" s="387" t="n">
        <v>134489.89548</v>
      </c>
      <c r="AN116" s="387" t="n">
        <v>103161.54565</v>
      </c>
      <c r="AO116" s="387" t="n">
        <v>132676.5242</v>
      </c>
      <c r="AP116" s="387" t="n">
        <v>99070.75684</v>
      </c>
      <c r="AQ116" s="128" t="n">
        <f aca="false">IVA!AE116+IVA!AF116+IVA!AG116</f>
        <v>267346.44538</v>
      </c>
      <c r="AR116" s="128" t="n">
        <f aca="false">IVA!AH116+IVA!AI116+IVA!AJ116</f>
        <v>347743.97256</v>
      </c>
      <c r="AS116" s="128" t="n">
        <f aca="false">IVA!AK116+IVA!AL116+IVA!AM116</f>
        <v>407145.19218</v>
      </c>
      <c r="AT116" s="128" t="n">
        <f aca="false">IVA!AN116+IVA!AO116+IVA!AP116</f>
        <v>334908.82669</v>
      </c>
      <c r="AU116" s="129" t="n">
        <f aca="false">IVA!AQ116+IVA!AR116+IVA!AS116+IVA!AT116</f>
        <v>1357144.43681</v>
      </c>
      <c r="AV116" s="130" t="n">
        <f aca="false">IVA!AQ116/IVA!CJ10</f>
        <v>0.00101524866187422</v>
      </c>
      <c r="AW116" s="130" t="n">
        <f aca="false">IVA!AR116/IVA!CK10</f>
        <v>0.00120733503826883</v>
      </c>
      <c r="AX116" s="130" t="n">
        <f aca="false">IVA!AS116/IVA!CL10</f>
        <v>0.00150034768948601</v>
      </c>
      <c r="AY116" s="130" t="n">
        <f aca="false">IVA!AT116/IVA!CM10</f>
        <v>0.00132867140622927</v>
      </c>
      <c r="AZ116" s="271" t="n">
        <f aca="false">IVA!AU116/IVA!CN10</f>
        <v>0.00505084130988357</v>
      </c>
      <c r="BA116" s="266" t="n">
        <v>2000</v>
      </c>
      <c r="BB116" s="392" t="s">
        <v>565</v>
      </c>
      <c r="BC116" s="393"/>
      <c r="BD116" s="393"/>
      <c r="BE116" s="393"/>
      <c r="BF116" s="394" t="n">
        <v>0</v>
      </c>
      <c r="BG116" s="394" t="n">
        <v>0</v>
      </c>
      <c r="BH116" s="394" t="n">
        <v>0</v>
      </c>
      <c r="BI116" s="394" t="n">
        <v>0</v>
      </c>
      <c r="BJ116" s="394" t="n">
        <v>0</v>
      </c>
      <c r="BK116" s="394" t="n">
        <v>0</v>
      </c>
      <c r="BL116" s="394" t="n">
        <v>0</v>
      </c>
      <c r="BM116" s="394" t="n">
        <v>0</v>
      </c>
      <c r="BN116" s="394" t="n">
        <v>0</v>
      </c>
      <c r="BO116" s="394" t="n">
        <v>0</v>
      </c>
      <c r="BP116" s="394" t="n">
        <v>0</v>
      </c>
      <c r="BQ116" s="395" t="n">
        <v>0</v>
      </c>
      <c r="BR116" s="175" t="n">
        <f aca="false">IVA!BF116+IVA!BG116+IVA!BH116</f>
        <v>0</v>
      </c>
      <c r="BS116" s="175" t="n">
        <f aca="false">IVA!BI116+IVA!BJ116+IVA!BK116</f>
        <v>0</v>
      </c>
      <c r="BT116" s="175" t="n">
        <f aca="false">IVA!BL116+IVA!BM116+IVA!BN116</f>
        <v>0</v>
      </c>
      <c r="BU116" s="176" t="n">
        <f aca="false">IVA!BO116+IVA!BP116+IVA!BQ116</f>
        <v>0</v>
      </c>
      <c r="BV116" s="137" t="n">
        <f aca="false">IVA!BR116+IVA!BS116+IVA!BT116+IVA!BU116</f>
        <v>0</v>
      </c>
      <c r="BW116" s="138" t="n">
        <f aca="false">IVA!BR116/IVA!CJ9</f>
        <v>0</v>
      </c>
      <c r="BX116" s="139" t="n">
        <f aca="false">IVA!BS116/IVA!CK9</f>
        <v>0</v>
      </c>
      <c r="BY116" s="138" t="n">
        <f aca="false">IVA!BT116/IVA!CL9</f>
        <v>0</v>
      </c>
      <c r="BZ116" s="138" t="n">
        <f aca="false">IVA!BU116/IVA!CM9</f>
        <v>0</v>
      </c>
      <c r="CA116" s="273" t="n">
        <f aca="false">IVA!BV116/IVA!CN9</f>
        <v>0</v>
      </c>
      <c r="CI116" s="53" t="n">
        <v>2010</v>
      </c>
      <c r="CJ116" s="377" t="n">
        <f aca="false">IVA!AQ40+IVA!AQ91+IVA!AQ108+IVA!AQ125+IVA!AQ159+IVA!AQ176+IVA!AQ225+IVA!AQ259+IVA!AQ196</f>
        <v>30756442.189347</v>
      </c>
      <c r="CK116" s="377" t="n">
        <f aca="false">IVA!AR40+IVA!AR91+IVA!AR108+IVA!AR125+IVA!AR159+IVA!AR176+IVA!AR225+IVA!AR259+IVA!AR196</f>
        <v>33271206.421469</v>
      </c>
      <c r="CL116" s="377" t="n">
        <f aca="false">IVA!AS40+IVA!AS91+IVA!AS108+IVA!AS125+IVA!AS159+IVA!AS176+IVA!AS225+IVA!AS259+IVA!AS196</f>
        <v>36700530.628006</v>
      </c>
      <c r="CM116" s="377" t="n">
        <f aca="false">IVA!AT40+IVA!AT91+IVA!AT108+IVA!AT125+IVA!AT159+IVA!AT176+IVA!AT225+IVA!AT259+IVA!AT196</f>
        <v>37098425.208839</v>
      </c>
      <c r="CN116" s="378" t="n">
        <f aca="false">IVA!AU40+IVA!AU91+IVA!AU108+IVA!AU125+IVA!AU159+IVA!AU176+IVA!AU225+IVA!AU259+IVA!AU196</f>
        <v>137826604.447661</v>
      </c>
      <c r="CP116" s="63"/>
      <c r="CQ116" s="13"/>
      <c r="CS116" s="376"/>
      <c r="EJ116" s="31" t="n">
        <v>2064</v>
      </c>
      <c r="EK116" s="32" t="n">
        <v>17149.893</v>
      </c>
      <c r="EL116" s="33" t="n">
        <v>15631.406</v>
      </c>
    </row>
    <row r="117" customFormat="false" ht="12.75" hidden="false" customHeight="true" outlineLevel="0" collapsed="false">
      <c r="AA117" s="384" t="n">
        <v>2002</v>
      </c>
      <c r="AB117" s="384" t="s">
        <v>564</v>
      </c>
      <c r="AC117" s="385"/>
      <c r="AD117" s="386"/>
      <c r="AE117" s="387" t="n">
        <v>140938.35918</v>
      </c>
      <c r="AF117" s="387" t="n">
        <v>110916.41313</v>
      </c>
      <c r="AG117" s="387" t="n">
        <v>100075.61823</v>
      </c>
      <c r="AH117" s="387" t="n">
        <v>91119.59574</v>
      </c>
      <c r="AI117" s="387" t="n">
        <v>143243.32487</v>
      </c>
      <c r="AJ117" s="387" t="n">
        <v>120302.19994</v>
      </c>
      <c r="AK117" s="387" t="n">
        <v>117485.29037</v>
      </c>
      <c r="AL117" s="387" t="n">
        <v>119910.51093</v>
      </c>
      <c r="AM117" s="387" t="n">
        <v>108536.17022</v>
      </c>
      <c r="AN117" s="387" t="n">
        <v>104012.03914</v>
      </c>
      <c r="AO117" s="387" t="n">
        <v>119116.23767</v>
      </c>
      <c r="AP117" s="387" t="n">
        <v>180831.02671</v>
      </c>
      <c r="AQ117" s="128" t="n">
        <f aca="false">IVA!AE117+IVA!AF117+IVA!AG117</f>
        <v>351930.39054</v>
      </c>
      <c r="AR117" s="128" t="n">
        <f aca="false">IVA!AH117+IVA!AI117+IVA!AJ117</f>
        <v>354665.12055</v>
      </c>
      <c r="AS117" s="128" t="n">
        <f aca="false">IVA!AK117+IVA!AL117+IVA!AM117</f>
        <v>345931.97152</v>
      </c>
      <c r="AT117" s="128" t="n">
        <f aca="false">IVA!AN117+IVA!AO117+IVA!AP117</f>
        <v>403959.30352</v>
      </c>
      <c r="AU117" s="129" t="n">
        <f aca="false">IVA!AQ117+IVA!AR117+IVA!AS117+IVA!AT117</f>
        <v>1456486.78613</v>
      </c>
      <c r="AV117" s="130" t="n">
        <f aca="false">IVA!AQ117/IVA!CJ11</f>
        <v>0.0014845813055088</v>
      </c>
      <c r="AW117" s="130" t="n">
        <f aca="false">IVA!AR117/IVA!CK11</f>
        <v>0.0010461844840121</v>
      </c>
      <c r="AX117" s="130" t="n">
        <f aca="false">IVA!AS117/IVA!CL11</f>
        <v>0.00103570514430428</v>
      </c>
      <c r="AY117" s="130" t="n">
        <f aca="false">IVA!AT117/IVA!CM11</f>
        <v>0.00118724463932898</v>
      </c>
      <c r="AZ117" s="271" t="n">
        <f aca="false">IVA!AU117/IVA!CN11</f>
        <v>0.00465956272251455</v>
      </c>
      <c r="BA117" s="266" t="n">
        <v>2001</v>
      </c>
      <c r="BB117" s="392" t="s">
        <v>565</v>
      </c>
      <c r="BC117" s="393"/>
      <c r="BD117" s="393"/>
      <c r="BE117" s="393"/>
      <c r="BF117" s="394" t="n">
        <v>0</v>
      </c>
      <c r="BG117" s="394" t="n">
        <v>0</v>
      </c>
      <c r="BH117" s="394" t="n">
        <v>0</v>
      </c>
      <c r="BI117" s="394" t="n">
        <v>55345.280754</v>
      </c>
      <c r="BJ117" s="394" t="n">
        <v>90047.781708</v>
      </c>
      <c r="BK117" s="394" t="n">
        <v>82454.923977</v>
      </c>
      <c r="BL117" s="394" t="n">
        <v>87547.637949</v>
      </c>
      <c r="BM117" s="394" t="n">
        <v>129495.838086</v>
      </c>
      <c r="BN117" s="394" t="n">
        <v>113142.392754</v>
      </c>
      <c r="BO117" s="394" t="n">
        <v>121960.707303</v>
      </c>
      <c r="BP117" s="394" t="n">
        <v>110589.411951</v>
      </c>
      <c r="BQ117" s="395" t="n">
        <v>89340.487542</v>
      </c>
      <c r="BR117" s="175" t="n">
        <f aca="false">IVA!BF117+IVA!BG117+IVA!BH117</f>
        <v>0</v>
      </c>
      <c r="BS117" s="175" t="n">
        <f aca="false">IVA!BI117+IVA!BJ117+IVA!BK117</f>
        <v>227847.986439</v>
      </c>
      <c r="BT117" s="175" t="n">
        <f aca="false">IVA!BL117+IVA!BM117+IVA!BN117</f>
        <v>330185.868789</v>
      </c>
      <c r="BU117" s="176" t="n">
        <f aca="false">IVA!BO117+IVA!BP117+IVA!BQ117</f>
        <v>321890.606796</v>
      </c>
      <c r="BV117" s="137" t="n">
        <f aca="false">IVA!BR117+IVA!BS117+IVA!BT117+IVA!BU117</f>
        <v>879924.462024</v>
      </c>
      <c r="BW117" s="138" t="n">
        <f aca="false">IVA!BR117/IVA!CJ10</f>
        <v>0</v>
      </c>
      <c r="BX117" s="139" t="n">
        <f aca="false">IVA!BS117/IVA!CK10</f>
        <v>0.000791067219373135</v>
      </c>
      <c r="BY117" s="138" t="n">
        <f aca="false">IVA!BT117/IVA!CL10</f>
        <v>0.00121674924536378</v>
      </c>
      <c r="BZ117" s="138" t="n">
        <f aca="false">IVA!BU117/IVA!CM10</f>
        <v>0.00127702470373978</v>
      </c>
      <c r="CA117" s="273" t="n">
        <f aca="false">IVA!BV117/IVA!CN10</f>
        <v>0.00327478689948026</v>
      </c>
      <c r="CI117" s="53" t="n">
        <v>2011</v>
      </c>
      <c r="CJ117" s="377" t="n">
        <f aca="false">IVA!AQ41+IVA!AQ92+IVA!AQ109+IVA!AQ126+IVA!AQ160+IVA!AQ177+IVA!AQ226+IVA!AQ260+IVA!AQ197</f>
        <v>41588568.219901</v>
      </c>
      <c r="CK117" s="377" t="n">
        <f aca="false">IVA!AR41+IVA!AR92+IVA!AR109+IVA!AR126+IVA!AR160+IVA!AR177+IVA!AR226+IVA!AR260+IVA!AR197</f>
        <v>44999336.979051</v>
      </c>
      <c r="CL117" s="377" t="n">
        <f aca="false">IVA!AS41+IVA!AS92+IVA!AS109+IVA!AS126+IVA!AS160+IVA!AS177+IVA!AS226+IVA!AS260+IVA!AS197</f>
        <v>49458875.491515</v>
      </c>
      <c r="CM117" s="377" t="n">
        <f aca="false">IVA!AT41+IVA!AT92+IVA!AT109+IVA!AT126+IVA!AT160+IVA!AT177+IVA!AT226+IVA!AT260+IVA!AT197</f>
        <v>48642979.960937</v>
      </c>
      <c r="CN117" s="378" t="n">
        <f aca="false">IVA!AU41+IVA!AU92+IVA!AU109+IVA!AU126+IVA!AU160+IVA!AU177+IVA!AU226+IVA!AU260+IVA!AU197</f>
        <v>184689760.651404</v>
      </c>
      <c r="CP117" s="63"/>
      <c r="CQ117" s="13"/>
      <c r="CS117" s="376"/>
      <c r="EJ117" s="31" t="n">
        <v>2065</v>
      </c>
      <c r="EK117" s="32" t="n">
        <v>17324.612</v>
      </c>
      <c r="EL117" s="33" t="n">
        <v>15807.701</v>
      </c>
    </row>
    <row r="118" customFormat="false" ht="12.75" hidden="false" customHeight="true" outlineLevel="0" collapsed="false">
      <c r="AA118" s="384" t="n">
        <v>2003</v>
      </c>
      <c r="AB118" s="384" t="s">
        <v>564</v>
      </c>
      <c r="AC118" s="385"/>
      <c r="AD118" s="386"/>
      <c r="AE118" s="387" t="n">
        <v>70456.44104</v>
      </c>
      <c r="AF118" s="387" t="n">
        <v>116072.15543</v>
      </c>
      <c r="AG118" s="387" t="n">
        <v>104366.03255</v>
      </c>
      <c r="AH118" s="387" t="n">
        <v>128298.10861</v>
      </c>
      <c r="AI118" s="387" t="n">
        <v>134193.81916</v>
      </c>
      <c r="AJ118" s="387" t="n">
        <v>130995.16439</v>
      </c>
      <c r="AK118" s="387" t="n">
        <v>103339.31846</v>
      </c>
      <c r="AL118" s="387" t="n">
        <v>140268.25081</v>
      </c>
      <c r="AM118" s="387" t="n">
        <v>126430.48571</v>
      </c>
      <c r="AN118" s="387" t="n">
        <v>137436.16349</v>
      </c>
      <c r="AO118" s="387" t="n">
        <v>129874.73434</v>
      </c>
      <c r="AP118" s="387" t="n">
        <v>207050.49249</v>
      </c>
      <c r="AQ118" s="128" t="n">
        <f aca="false">IVA!AE118+IVA!AF118+IVA!AG118</f>
        <v>290894.62902</v>
      </c>
      <c r="AR118" s="128" t="n">
        <f aca="false">IVA!AH118+IVA!AI118+IVA!AJ118</f>
        <v>393487.09216</v>
      </c>
      <c r="AS118" s="128" t="n">
        <f aca="false">IVA!AK118+IVA!AL118+IVA!AM118</f>
        <v>370038.05498</v>
      </c>
      <c r="AT118" s="128" t="n">
        <f aca="false">IVA!AN118+IVA!AO118+IVA!AP118</f>
        <v>474361.39032</v>
      </c>
      <c r="AU118" s="129" t="n">
        <f aca="false">IVA!AQ118+IVA!AR118+IVA!AS118+IVA!AT118</f>
        <v>1528781.16648</v>
      </c>
      <c r="AV118" s="130" t="n">
        <f aca="false">IVA!AQ118/IVA!CJ12</f>
        <v>0.000888602308820205</v>
      </c>
      <c r="AW118" s="130" t="n">
        <f aca="false">IVA!AR118/IVA!CK12</f>
        <v>0.000985889554679597</v>
      </c>
      <c r="AX118" s="130" t="n">
        <f aca="false">IVA!AS118/IVA!CL12</f>
        <v>0.000979228756735213</v>
      </c>
      <c r="AY118" s="130" t="n">
        <f aca="false">IVA!AT118/IVA!CM12</f>
        <v>0.00118807289983218</v>
      </c>
      <c r="AZ118" s="271" t="n">
        <f aca="false">IVA!AU118/IVA!CN12</f>
        <v>0.00406688772208275</v>
      </c>
      <c r="BA118" s="266" t="n">
        <v>2002</v>
      </c>
      <c r="BB118" s="392" t="s">
        <v>565</v>
      </c>
      <c r="BC118" s="393"/>
      <c r="BD118" s="393"/>
      <c r="BE118" s="393"/>
      <c r="BF118" s="394" t="n">
        <v>113452.716306</v>
      </c>
      <c r="BG118" s="394" t="n">
        <v>85972.116693</v>
      </c>
      <c r="BH118" s="394" t="n">
        <v>93851.480853</v>
      </c>
      <c r="BI118" s="394" t="n">
        <v>97737.267006</v>
      </c>
      <c r="BJ118" s="394" t="n">
        <v>151994.866002</v>
      </c>
      <c r="BK118" s="394" t="n">
        <v>121548.24915</v>
      </c>
      <c r="BL118" s="394" t="n">
        <v>141707.829639</v>
      </c>
      <c r="BM118" s="394" t="n">
        <v>129130.45515</v>
      </c>
      <c r="BN118" s="394" t="n">
        <v>125952.438108</v>
      </c>
      <c r="BO118" s="394" t="n">
        <v>138776.527464</v>
      </c>
      <c r="BP118" s="394" t="n">
        <v>131021.143887</v>
      </c>
      <c r="BQ118" s="395" t="n">
        <v>126055.489221</v>
      </c>
      <c r="BR118" s="175" t="n">
        <f aca="false">IVA!BF118+IVA!BG118+IVA!BH118</f>
        <v>293276.313852</v>
      </c>
      <c r="BS118" s="175" t="n">
        <f aca="false">IVA!BI118+IVA!BJ118+IVA!BK118</f>
        <v>371280.382158</v>
      </c>
      <c r="BT118" s="175" t="n">
        <f aca="false">IVA!BL118+IVA!BM118+IVA!BN118</f>
        <v>396790.722897</v>
      </c>
      <c r="BU118" s="176" t="n">
        <f aca="false">IVA!BO118+IVA!BP118+IVA!BQ118</f>
        <v>395853.160572</v>
      </c>
      <c r="BV118" s="137" t="n">
        <f aca="false">IVA!BR118+IVA!BS118+IVA!BT118+IVA!BU118</f>
        <v>1457200.579479</v>
      </c>
      <c r="BW118" s="138" t="n">
        <f aca="false">IVA!BR118/IVA!CJ11</f>
        <v>0.00123715525739379</v>
      </c>
      <c r="BX118" s="139" t="n">
        <f aca="false">IVA!BS118/IVA!CK11</f>
        <v>0.00109519586935818</v>
      </c>
      <c r="BY118" s="138" t="n">
        <f aca="false">IVA!BT118/IVA!CL11</f>
        <v>0.00118797401440206</v>
      </c>
      <c r="BZ118" s="138" t="n">
        <f aca="false">IVA!BU118/IVA!CM11</f>
        <v>0.00116342051972884</v>
      </c>
      <c r="CA118" s="273" t="n">
        <f aca="false">IVA!BV118/IVA!CN11</f>
        <v>0.00466184627559052</v>
      </c>
      <c r="CI118" s="233" t="n">
        <v>2012</v>
      </c>
      <c r="CJ118" s="396" t="n">
        <f aca="false">IVA!AQ42+IVA!AQ93+IVA!AQ110+IVA!AQ127+IVA!AQ161+IVA!AQ178+IVA!AQ227+IVA!AQ261+IVA!AQ198</f>
        <v>54510660.5071087</v>
      </c>
      <c r="CK118" s="396" t="n">
        <f aca="false">IVA!AR42+IVA!AR93+IVA!AR110+IVA!AR127+IVA!AR161+IVA!AR178+IVA!AR227+IVA!AR261+IVA!AR198</f>
        <v>56628500.2021841</v>
      </c>
      <c r="CL118" s="396" t="n">
        <f aca="false">IVA!AS42+IVA!AS93+IVA!AS110+IVA!AS127+IVA!AS161+IVA!AS178+IVA!AS227+IVA!AS261+IVA!AS198</f>
        <v>64130757.491053</v>
      </c>
      <c r="CM118" s="396" t="n">
        <f aca="false">IVA!AT42+IVA!AT93+IVA!AT110+IVA!AT127+IVA!AT161+IVA!AT178+IVA!AT227+IVA!AT261+IVA!AT198</f>
        <v>64642829.5405238</v>
      </c>
      <c r="CN118" s="397" t="n">
        <f aca="false">IVA!AU42+IVA!AU93+IVA!AU110+IVA!AU127+IVA!AU161+IVA!AU178+IVA!AU227+IVA!AU261+IVA!AU198</f>
        <v>239912747.74087</v>
      </c>
      <c r="CO118" s="398"/>
      <c r="CQ118" s="365"/>
      <c r="CS118" s="399"/>
      <c r="EJ118" s="31" t="n">
        <v>2066</v>
      </c>
      <c r="EK118" s="32" t="n">
        <v>17482.685</v>
      </c>
      <c r="EL118" s="33" t="n">
        <v>15962.498</v>
      </c>
    </row>
    <row r="119" customFormat="false" ht="12.75" hidden="false" customHeight="true" outlineLevel="0" collapsed="false">
      <c r="AA119" s="384" t="n">
        <v>2004</v>
      </c>
      <c r="AB119" s="384" t="s">
        <v>564</v>
      </c>
      <c r="AC119" s="385"/>
      <c r="AD119" s="386"/>
      <c r="AE119" s="387" t="n">
        <v>63950.05241</v>
      </c>
      <c r="AF119" s="387" t="n">
        <v>112985.20282</v>
      </c>
      <c r="AG119" s="387" t="n">
        <v>113687.32378</v>
      </c>
      <c r="AH119" s="387" t="n">
        <v>163347.0572</v>
      </c>
      <c r="AI119" s="387" t="n">
        <v>171090.1398</v>
      </c>
      <c r="AJ119" s="387" t="n">
        <v>126811.03015</v>
      </c>
      <c r="AK119" s="387" t="n">
        <v>122016.13582</v>
      </c>
      <c r="AL119" s="387" t="n">
        <v>150630.10774</v>
      </c>
      <c r="AM119" s="387" t="n">
        <v>89424.96845</v>
      </c>
      <c r="AN119" s="387" t="n">
        <v>136847.76257</v>
      </c>
      <c r="AO119" s="387" t="n">
        <v>142073.98616</v>
      </c>
      <c r="AP119" s="387" t="n">
        <v>284672.78021</v>
      </c>
      <c r="AQ119" s="128" t="n">
        <f aca="false">IVA!AE119+IVA!AF119+IVA!AG119</f>
        <v>290622.57901</v>
      </c>
      <c r="AR119" s="128" t="n">
        <f aca="false">IVA!AH119+IVA!AI119+IVA!AJ119</f>
        <v>461248.22715</v>
      </c>
      <c r="AS119" s="128" t="n">
        <f aca="false">IVA!AK119+IVA!AL119+IVA!AM119</f>
        <v>362071.21201</v>
      </c>
      <c r="AT119" s="128" t="n">
        <f aca="false">IVA!AN119+IVA!AO119+IVA!AP119</f>
        <v>563594.52894</v>
      </c>
      <c r="AU119" s="129" t="n">
        <f aca="false">IVA!AQ119+IVA!AR119+IVA!AS119+IVA!AT119</f>
        <v>1677536.54711</v>
      </c>
      <c r="AV119" s="130" t="n">
        <f aca="false">IVA!AQ119/IVA!CJ13</f>
        <v>0.000739842163170128</v>
      </c>
      <c r="AW119" s="130" t="n">
        <f aca="false">IVA!AR119/IVA!CK13</f>
        <v>0.00097266027982306</v>
      </c>
      <c r="AX119" s="130" t="n">
        <f aca="false">IVA!AS119/IVA!CL13</f>
        <v>0.000800901347638291</v>
      </c>
      <c r="AY119" s="130" t="n">
        <f aca="false">IVA!AT119/IVA!CM13</f>
        <v>0.00119541490416905</v>
      </c>
      <c r="AZ119" s="271" t="n">
        <f aca="false">IVA!AU119/IVA!CN13</f>
        <v>0.00374748393703026</v>
      </c>
      <c r="BA119" s="266" t="n">
        <v>2003</v>
      </c>
      <c r="BB119" s="392" t="s">
        <v>565</v>
      </c>
      <c r="BC119" s="393"/>
      <c r="BD119" s="393"/>
      <c r="BE119" s="393"/>
      <c r="BF119" s="394" t="n">
        <v>154716.728586</v>
      </c>
      <c r="BG119" s="394" t="n">
        <v>118405.311555</v>
      </c>
      <c r="BH119" s="394" t="n">
        <v>126271.301241</v>
      </c>
      <c r="BI119" s="394" t="n">
        <v>138512.197824</v>
      </c>
      <c r="BJ119" s="394" t="n">
        <v>148260.89271</v>
      </c>
      <c r="BK119" s="394" t="n">
        <v>141884.778351</v>
      </c>
      <c r="BL119" s="394" t="n">
        <v>155488.9581</v>
      </c>
      <c r="BM119" s="394" t="n">
        <v>141026.185605</v>
      </c>
      <c r="BN119" s="394" t="n">
        <v>155078.719698</v>
      </c>
      <c r="BO119" s="394" t="n">
        <v>166880.988969</v>
      </c>
      <c r="BP119" s="394" t="n">
        <v>152335.245537</v>
      </c>
      <c r="BQ119" s="395" t="n">
        <v>171209.822073</v>
      </c>
      <c r="BR119" s="175" t="n">
        <f aca="false">IVA!BF119+IVA!BG119+IVA!BH119</f>
        <v>399393.341382</v>
      </c>
      <c r="BS119" s="175" t="n">
        <f aca="false">IVA!BI119+IVA!BJ119+IVA!BK119</f>
        <v>428657.868885</v>
      </c>
      <c r="BT119" s="175" t="n">
        <f aca="false">IVA!BL119+IVA!BM119+IVA!BN119</f>
        <v>451593.863403</v>
      </c>
      <c r="BU119" s="176" t="n">
        <f aca="false">IVA!BO119+IVA!BP119+IVA!BQ119</f>
        <v>490426.056579</v>
      </c>
      <c r="BV119" s="137" t="n">
        <f aca="false">IVA!BR119+IVA!BS119+IVA!BT119+IVA!BU119</f>
        <v>1770071.130249</v>
      </c>
      <c r="BW119" s="138" t="n">
        <f aca="false">IVA!BR119/IVA!CJ12</f>
        <v>0.00122003574447248</v>
      </c>
      <c r="BX119" s="139" t="n">
        <f aca="false">IVA!BS119/IVA!CK12</f>
        <v>0.00107401061911605</v>
      </c>
      <c r="BY119" s="138" t="n">
        <f aca="false">IVA!BT119/IVA!CL12</f>
        <v>0.00119504924279551</v>
      </c>
      <c r="BZ119" s="138" t="n">
        <f aca="false">IVA!BU119/IVA!CM12</f>
        <v>0.00122830803493517</v>
      </c>
      <c r="CA119" s="273" t="n">
        <f aca="false">IVA!BV119/IVA!CN12</f>
        <v>0.00470877108160462</v>
      </c>
      <c r="CI119" s="239"/>
      <c r="CJ119" s="26"/>
      <c r="CK119" s="26"/>
      <c r="CL119" s="26"/>
      <c r="CM119" s="26"/>
      <c r="CN119" s="26"/>
      <c r="CO119" s="26"/>
      <c r="CP119" s="26"/>
      <c r="CQ119" s="27"/>
      <c r="EJ119" s="31" t="n">
        <v>2067</v>
      </c>
      <c r="EK119" s="32" t="n">
        <v>17635.868</v>
      </c>
      <c r="EL119" s="33" t="n">
        <v>16106.481</v>
      </c>
    </row>
    <row r="120" customFormat="false" ht="12.75" hidden="false" customHeight="true" outlineLevel="0" collapsed="false">
      <c r="AA120" s="384" t="n">
        <v>2005</v>
      </c>
      <c r="AB120" s="384" t="s">
        <v>564</v>
      </c>
      <c r="AC120" s="385"/>
      <c r="AD120" s="386"/>
      <c r="AE120" s="387" t="n">
        <v>71794.95564</v>
      </c>
      <c r="AF120" s="387" t="n">
        <v>148553.37438</v>
      </c>
      <c r="AG120" s="387" t="n">
        <v>128482.50571</v>
      </c>
      <c r="AH120" s="387" t="n">
        <v>169773.50294</v>
      </c>
      <c r="AI120" s="387" t="n">
        <v>163080.65821</v>
      </c>
      <c r="AJ120" s="387" t="n">
        <v>156480.8317</v>
      </c>
      <c r="AK120" s="387" t="n">
        <v>127436.72893</v>
      </c>
      <c r="AL120" s="387" t="n">
        <v>155286.17953</v>
      </c>
      <c r="AM120" s="387" t="n">
        <v>162126.4177</v>
      </c>
      <c r="AN120" s="387" t="n">
        <v>168542.72967</v>
      </c>
      <c r="AO120" s="387" t="n">
        <v>162410.51395</v>
      </c>
      <c r="AP120" s="387" t="n">
        <v>297680.67002</v>
      </c>
      <c r="AQ120" s="128" t="n">
        <f aca="false">IVA!AE120+IVA!AF120+IVA!AG120</f>
        <v>348830.83573</v>
      </c>
      <c r="AR120" s="128" t="n">
        <f aca="false">IVA!AH120+IVA!AI120+IVA!AJ120</f>
        <v>489334.99285</v>
      </c>
      <c r="AS120" s="128" t="n">
        <f aca="false">IVA!AK120+IVA!AL120+IVA!AM120</f>
        <v>444849.32616</v>
      </c>
      <c r="AT120" s="128" t="n">
        <f aca="false">IVA!AN120+IVA!AO120+IVA!AP120</f>
        <v>628633.91364</v>
      </c>
      <c r="AU120" s="129" t="n">
        <f aca="false">IVA!AQ120+IVA!AR120+IVA!AS120+IVA!AT120</f>
        <v>1911649.06838</v>
      </c>
      <c r="AV120" s="130" t="n">
        <f aca="false">IVA!AQ120/IVA!CJ14</f>
        <v>0.000763700369840881</v>
      </c>
      <c r="AW120" s="130" t="n">
        <f aca="false">IVA!AR120/IVA!CK14</f>
        <v>0.000885815557459782</v>
      </c>
      <c r="AX120" s="130" t="n">
        <f aca="false">IVA!AS120/IVA!CL14</f>
        <v>0.000817394896559711</v>
      </c>
      <c r="AY120" s="130" t="n">
        <f aca="false">IVA!AT120/IVA!CM14</f>
        <v>0.00109451144858026</v>
      </c>
      <c r="AZ120" s="271" t="n">
        <f aca="false">IVA!AU120/IVA!CN14</f>
        <v>0.0035937392565206</v>
      </c>
      <c r="BA120" s="266" t="n">
        <v>2004</v>
      </c>
      <c r="BB120" s="392" t="s">
        <v>565</v>
      </c>
      <c r="BC120" s="393"/>
      <c r="BD120" s="393"/>
      <c r="BE120" s="393"/>
      <c r="BF120" s="394" t="n">
        <v>182068.657944</v>
      </c>
      <c r="BG120" s="394" t="n">
        <v>154327.237584</v>
      </c>
      <c r="BH120" s="394" t="n">
        <v>182176.471695</v>
      </c>
      <c r="BI120" s="394" t="n">
        <v>171541.439169</v>
      </c>
      <c r="BJ120" s="394" t="n">
        <v>201041.288091</v>
      </c>
      <c r="BK120" s="394" t="n">
        <v>195622.134006</v>
      </c>
      <c r="BL120" s="394" t="n">
        <v>201906.593445</v>
      </c>
      <c r="BM120" s="394" t="n">
        <v>195714.168942</v>
      </c>
      <c r="BN120" s="394" t="n">
        <v>199524.967227</v>
      </c>
      <c r="BO120" s="394" t="n">
        <v>193286.798289</v>
      </c>
      <c r="BP120" s="394" t="n">
        <v>205996.890591</v>
      </c>
      <c r="BQ120" s="395" t="n">
        <v>221352.091218</v>
      </c>
      <c r="BR120" s="175" t="n">
        <f aca="false">IVA!BF120+IVA!BG120+IVA!BH120</f>
        <v>518572.367223</v>
      </c>
      <c r="BS120" s="175" t="n">
        <f aca="false">IVA!BI120+IVA!BJ120+IVA!BK120</f>
        <v>568204.861266</v>
      </c>
      <c r="BT120" s="175" t="n">
        <f aca="false">IVA!BL120+IVA!BM120+IVA!BN120</f>
        <v>597145.729614</v>
      </c>
      <c r="BU120" s="176" t="n">
        <f aca="false">IVA!BO120+IVA!BP120+IVA!BQ120</f>
        <v>620635.780098</v>
      </c>
      <c r="BV120" s="137" t="n">
        <f aca="false">IVA!BR120+IVA!BS120+IVA!BT120+IVA!BU120</f>
        <v>2304558.738201</v>
      </c>
      <c r="BW120" s="138" t="n">
        <f aca="false">IVA!BR120/IVA!CJ13</f>
        <v>0.00132013728332277</v>
      </c>
      <c r="BX120" s="139" t="n">
        <f aca="false">IVA!BS120/IVA!CK13</f>
        <v>0.00119820579641183</v>
      </c>
      <c r="BY120" s="138" t="n">
        <f aca="false">IVA!BT120/IVA!CL13</f>
        <v>0.00132088606804535</v>
      </c>
      <c r="BZ120" s="138" t="n">
        <f aca="false">IVA!BU120/IVA!CM13</f>
        <v>0.00131640252609464</v>
      </c>
      <c r="CA120" s="273" t="n">
        <f aca="false">IVA!BV120/IVA!CN13</f>
        <v>0.0051482019084647</v>
      </c>
      <c r="CI120" s="239"/>
      <c r="CJ120" s="26"/>
      <c r="CK120" s="26"/>
      <c r="CL120" s="26"/>
      <c r="CM120" s="26"/>
      <c r="CN120" s="26"/>
      <c r="CO120" s="26"/>
      <c r="CP120" s="26"/>
      <c r="CQ120" s="27"/>
      <c r="EJ120" s="31" t="n">
        <v>2068</v>
      </c>
      <c r="EK120" s="32" t="n">
        <v>17790.394</v>
      </c>
      <c r="EL120" s="33" t="n">
        <v>16248.315</v>
      </c>
    </row>
    <row r="121" customFormat="false" ht="12.75" hidden="false" customHeight="true" outlineLevel="0" collapsed="false">
      <c r="AA121" s="384" t="n">
        <v>2006</v>
      </c>
      <c r="AB121" s="384" t="s">
        <v>564</v>
      </c>
      <c r="AC121" s="385"/>
      <c r="AD121" s="386"/>
      <c r="AE121" s="387" t="n">
        <v>50993.77833</v>
      </c>
      <c r="AF121" s="387" t="n">
        <v>172495.10666</v>
      </c>
      <c r="AG121" s="387" t="n">
        <v>136176.99366</v>
      </c>
      <c r="AH121" s="387" t="n">
        <v>163777.68248</v>
      </c>
      <c r="AI121" s="387" t="n">
        <v>192305.40105</v>
      </c>
      <c r="AJ121" s="387" t="n">
        <v>177883.09615</v>
      </c>
      <c r="AK121" s="387" t="n">
        <v>162935.86623</v>
      </c>
      <c r="AL121" s="387" t="n">
        <v>179528.14003</v>
      </c>
      <c r="AM121" s="387" t="n">
        <v>158475.04203</v>
      </c>
      <c r="AN121" s="387" t="n">
        <v>150607.65471</v>
      </c>
      <c r="AO121" s="387" t="n">
        <v>184812.66679</v>
      </c>
      <c r="AP121" s="387" t="n">
        <v>277055.94952</v>
      </c>
      <c r="AQ121" s="128" t="n">
        <f aca="false">IVA!AE121+IVA!AF121+IVA!AG121</f>
        <v>359665.87865</v>
      </c>
      <c r="AR121" s="128" t="n">
        <f aca="false">IVA!AH121+IVA!AI121+IVA!AJ121</f>
        <v>533966.17968</v>
      </c>
      <c r="AS121" s="128" t="n">
        <f aca="false">IVA!AK121+IVA!AL121+IVA!AM121</f>
        <v>500939.04829</v>
      </c>
      <c r="AT121" s="128" t="n">
        <f aca="false">IVA!AN121+IVA!AO121+IVA!AP121</f>
        <v>612476.27102</v>
      </c>
      <c r="AU121" s="129" t="n">
        <f aca="false">IVA!AQ121+IVA!AR121+IVA!AS121+IVA!AT121</f>
        <v>2007047.37764</v>
      </c>
      <c r="AV121" s="130" t="n">
        <f aca="false">IVA!AQ121/IVA!CJ15</f>
        <v>0.000633221264045043</v>
      </c>
      <c r="AW121" s="130" t="n">
        <f aca="false">IVA!AR121/IVA!CK15</f>
        <v>0.000787237394576026</v>
      </c>
      <c r="AX121" s="130" t="n">
        <f aca="false">IVA!AS121/IVA!CL15</f>
        <v>0.000749687407288853</v>
      </c>
      <c r="AY121" s="130" t="n">
        <f aca="false">IVA!AT121/IVA!CM15</f>
        <v>0.000870878049555961</v>
      </c>
      <c r="AZ121" s="271" t="n">
        <f aca="false">IVA!AU121/IVA!CN15</f>
        <v>0.00306682123602011</v>
      </c>
      <c r="BA121" s="266" t="n">
        <v>2005</v>
      </c>
      <c r="BB121" s="392" t="s">
        <v>565</v>
      </c>
      <c r="BC121" s="393"/>
      <c r="BD121" s="393"/>
      <c r="BE121" s="393"/>
      <c r="BF121" s="394" t="n">
        <v>206516.6484</v>
      </c>
      <c r="BG121" s="394" t="n">
        <v>194424.113223</v>
      </c>
      <c r="BH121" s="394" t="n">
        <v>217165.17138</v>
      </c>
      <c r="BI121" s="394" t="n">
        <v>225246.92991</v>
      </c>
      <c r="BJ121" s="394" t="n">
        <v>231938.927334</v>
      </c>
      <c r="BK121" s="394" t="n">
        <v>241990.024668</v>
      </c>
      <c r="BL121" s="394" t="n">
        <v>239755.673475</v>
      </c>
      <c r="BM121" s="394" t="n">
        <v>242608.887291</v>
      </c>
      <c r="BN121" s="394" t="n">
        <v>244484.081049</v>
      </c>
      <c r="BO121" s="394" t="n">
        <v>238332.120024</v>
      </c>
      <c r="BP121" s="394" t="n">
        <v>256337.104344</v>
      </c>
      <c r="BQ121" s="395" t="n">
        <v>291487.683972</v>
      </c>
      <c r="BR121" s="175" t="n">
        <f aca="false">IVA!BF121+IVA!BG121+IVA!BH121</f>
        <v>618105.933003</v>
      </c>
      <c r="BS121" s="175" t="n">
        <f aca="false">IVA!BI121+IVA!BJ121+IVA!BK121</f>
        <v>699175.881912</v>
      </c>
      <c r="BT121" s="175" t="n">
        <f aca="false">IVA!BL121+IVA!BM121+IVA!BN121</f>
        <v>726848.641815</v>
      </c>
      <c r="BU121" s="176" t="n">
        <f aca="false">IVA!BO121+IVA!BP121+IVA!BQ121</f>
        <v>786156.90834</v>
      </c>
      <c r="BV121" s="137" t="n">
        <f aca="false">IVA!BR121+IVA!BS121+IVA!BT121+IVA!BU121</f>
        <v>2830287.36507</v>
      </c>
      <c r="BW121" s="138" t="n">
        <f aca="false">IVA!BR121/IVA!CJ14</f>
        <v>0.00135322821632834</v>
      </c>
      <c r="BX121" s="139" t="n">
        <f aca="false">IVA!BS121/IVA!CK14</f>
        <v>0.00126567869179175</v>
      </c>
      <c r="BY121" s="138" t="n">
        <f aca="false">IVA!BT121/IVA!CL14</f>
        <v>0.00133555866099536</v>
      </c>
      <c r="BZ121" s="138" t="n">
        <f aca="false">IVA!BU121/IVA!CM14</f>
        <v>0.00136877396826438</v>
      </c>
      <c r="CA121" s="273" t="n">
        <f aca="false">IVA!BV121/IVA!CN14</f>
        <v>0.00532070188996867</v>
      </c>
      <c r="CI121" s="25" t="s">
        <v>566</v>
      </c>
      <c r="CJ121" s="26"/>
      <c r="CK121" s="26"/>
      <c r="CL121" s="26"/>
      <c r="CM121" s="26"/>
      <c r="CN121" s="26"/>
      <c r="CO121" s="26"/>
      <c r="CP121" s="26"/>
      <c r="CQ121" s="27"/>
      <c r="EJ121" s="31" t="n">
        <v>2069</v>
      </c>
      <c r="EK121" s="32" t="n">
        <v>17946.976</v>
      </c>
      <c r="EL121" s="33" t="n">
        <v>16392.327</v>
      </c>
    </row>
    <row r="122" customFormat="false" ht="12.75" hidden="false" customHeight="true" outlineLevel="0" collapsed="false">
      <c r="AA122" s="384" t="n">
        <v>2007</v>
      </c>
      <c r="AB122" s="384" t="s">
        <v>564</v>
      </c>
      <c r="AC122" s="385"/>
      <c r="AD122" s="386"/>
      <c r="AE122" s="387" t="n">
        <v>91520.3285</v>
      </c>
      <c r="AF122" s="387" t="n">
        <v>157802.06372</v>
      </c>
      <c r="AG122" s="387" t="n">
        <v>144240.03131</v>
      </c>
      <c r="AH122" s="387" t="n">
        <v>171566.08272</v>
      </c>
      <c r="AI122" s="387" t="n">
        <v>184852.19498</v>
      </c>
      <c r="AJ122" s="387" t="n">
        <v>162748.16385</v>
      </c>
      <c r="AK122" s="387" t="n">
        <v>167497.64621</v>
      </c>
      <c r="AL122" s="387" t="n">
        <v>224777.16239</v>
      </c>
      <c r="AM122" s="387" t="n">
        <v>237447.55387</v>
      </c>
      <c r="AN122" s="387" t="n">
        <v>176313.77909</v>
      </c>
      <c r="AO122" s="387" t="n">
        <v>223146.74532</v>
      </c>
      <c r="AP122" s="387" t="n">
        <v>229477.96216</v>
      </c>
      <c r="AQ122" s="128" t="n">
        <f aca="false">IVA!AE122+IVA!AF122+IVA!AG122</f>
        <v>393562.42353</v>
      </c>
      <c r="AR122" s="128" t="n">
        <f aca="false">IVA!AH122+IVA!AI122+IVA!AJ122</f>
        <v>519166.44155</v>
      </c>
      <c r="AS122" s="128" t="n">
        <f aca="false">IVA!AK122+IVA!AL122+IVA!AM122</f>
        <v>629722.36247</v>
      </c>
      <c r="AT122" s="128" t="n">
        <f aca="false">IVA!AN122+IVA!AO122+IVA!AP122</f>
        <v>628938.48657</v>
      </c>
      <c r="AU122" s="129" t="n">
        <f aca="false">IVA!AQ122+IVA!AR122+IVA!AS122+IVA!AT122</f>
        <v>2171389.71412</v>
      </c>
      <c r="AV122" s="130" t="n">
        <f aca="false">IVA!AQ122/IVA!CJ16</f>
        <v>0.000577816572013742</v>
      </c>
      <c r="AW122" s="130" t="n">
        <f aca="false">IVA!AR122/IVA!CK16</f>
        <v>0.000621662952859555</v>
      </c>
      <c r="AX122" s="130" t="n">
        <f aca="false">IVA!AS122/IVA!CL16</f>
        <v>0.00076102781933452</v>
      </c>
      <c r="AY122" s="130" t="n">
        <f aca="false">IVA!AT122/IVA!CM16</f>
        <v>0.00069410454481084</v>
      </c>
      <c r="AZ122" s="271" t="n">
        <f aca="false">IVA!AU122/IVA!CN16</f>
        <v>0.00267262494596987</v>
      </c>
      <c r="BA122" s="266" t="n">
        <v>2006</v>
      </c>
      <c r="BB122" s="392" t="s">
        <v>565</v>
      </c>
      <c r="BC122" s="393"/>
      <c r="BD122" s="393"/>
      <c r="BE122" s="393"/>
      <c r="BF122" s="394" t="n">
        <v>267747.402609</v>
      </c>
      <c r="BG122" s="394" t="n">
        <v>237691.574889</v>
      </c>
      <c r="BH122" s="394" t="n">
        <v>273170.314029</v>
      </c>
      <c r="BI122" s="394" t="n">
        <v>252155.112315</v>
      </c>
      <c r="BJ122" s="394" t="n">
        <v>304530.060069</v>
      </c>
      <c r="BK122" s="394" t="n">
        <v>306229.74264</v>
      </c>
      <c r="BL122" s="394" t="n">
        <v>296164.266462</v>
      </c>
      <c r="BM122" s="394" t="n">
        <v>301470.608268</v>
      </c>
      <c r="BN122" s="394" t="n">
        <v>281171.090022</v>
      </c>
      <c r="BO122" s="394" t="n">
        <v>287096.376123</v>
      </c>
      <c r="BP122" s="394" t="n">
        <v>337214.286213</v>
      </c>
      <c r="BQ122" s="395" t="n">
        <v>361064.64525</v>
      </c>
      <c r="BR122" s="175" t="n">
        <f aca="false">IVA!BF122+IVA!BG122+IVA!BH122</f>
        <v>778609.291527</v>
      </c>
      <c r="BS122" s="175" t="n">
        <f aca="false">IVA!BI122+IVA!BJ122+IVA!BK122</f>
        <v>862914.915024</v>
      </c>
      <c r="BT122" s="175" t="n">
        <f aca="false">IVA!BL122+IVA!BM122+IVA!BN122</f>
        <v>878805.964752</v>
      </c>
      <c r="BU122" s="176" t="n">
        <f aca="false">IVA!BO122+IVA!BP122+IVA!BQ122</f>
        <v>985375.307586</v>
      </c>
      <c r="BV122" s="137" t="n">
        <f aca="false">IVA!BR122+IVA!BS122+IVA!BT122+IVA!BU122</f>
        <v>3505705.478889</v>
      </c>
      <c r="BW122" s="138" t="n">
        <f aca="false">IVA!BR122/IVA!CJ15</f>
        <v>0.00137080548654915</v>
      </c>
      <c r="BX122" s="139" t="n">
        <f aca="false">IVA!BS122/IVA!CK15</f>
        <v>0.00127221332604135</v>
      </c>
      <c r="BY122" s="138" t="n">
        <f aca="false">IVA!BT122/IVA!CL15</f>
        <v>0.0013151894775899</v>
      </c>
      <c r="BZ122" s="138" t="n">
        <f aca="false">IVA!BU122/IVA!CM15</f>
        <v>0.00140110199619975</v>
      </c>
      <c r="CA122" s="273" t="n">
        <f aca="false">IVA!BV122/IVA!CN15</f>
        <v>0.00535681027247643</v>
      </c>
      <c r="CI122" s="239"/>
      <c r="CJ122" s="26"/>
      <c r="CK122" s="26"/>
      <c r="CL122" s="26"/>
      <c r="CM122" s="26"/>
      <c r="CN122" s="26"/>
      <c r="CO122" s="26"/>
      <c r="CP122" s="26"/>
      <c r="CQ122" s="27"/>
      <c r="EJ122" s="31" t="n">
        <v>2070</v>
      </c>
      <c r="EK122" s="32" t="n">
        <v>18101.698</v>
      </c>
      <c r="EL122" s="33" t="n">
        <v>16536.846</v>
      </c>
    </row>
    <row r="123" customFormat="false" ht="12.75" hidden="false" customHeight="true" outlineLevel="0" collapsed="false">
      <c r="AA123" s="384" t="n">
        <v>2008</v>
      </c>
      <c r="AB123" s="384" t="s">
        <v>564</v>
      </c>
      <c r="AC123" s="385"/>
      <c r="AD123" s="386"/>
      <c r="AE123" s="387" t="n">
        <v>153351.08616</v>
      </c>
      <c r="AF123" s="387" t="n">
        <v>217610.79157</v>
      </c>
      <c r="AG123" s="387" t="n">
        <v>196814.7983</v>
      </c>
      <c r="AH123" s="387" t="n">
        <v>210950.91367</v>
      </c>
      <c r="AI123" s="387" t="n">
        <v>200632.4851</v>
      </c>
      <c r="AJ123" s="387" t="n">
        <v>273575.62809</v>
      </c>
      <c r="AK123" s="387" t="n">
        <v>203292.12955</v>
      </c>
      <c r="AL123" s="387" t="n">
        <v>179226.63557</v>
      </c>
      <c r="AM123" s="387" t="n">
        <v>199563.62365</v>
      </c>
      <c r="AN123" s="387" t="n">
        <v>194372.84271</v>
      </c>
      <c r="AO123" s="387" t="n">
        <v>138709.67142</v>
      </c>
      <c r="AP123" s="387" t="n">
        <v>343784.0026</v>
      </c>
      <c r="AQ123" s="128" t="n">
        <f aca="false">IVA!AE123+IVA!AF123+IVA!AG123</f>
        <v>567776.67603</v>
      </c>
      <c r="AR123" s="128" t="n">
        <f aca="false">IVA!AH123+IVA!AI123+IVA!AJ123</f>
        <v>685159.02686</v>
      </c>
      <c r="AS123" s="128" t="n">
        <f aca="false">IVA!AK123+IVA!AL123+IVA!AM123</f>
        <v>582082.38877</v>
      </c>
      <c r="AT123" s="128" t="n">
        <f aca="false">IVA!AN123+IVA!AO123+IVA!AP123</f>
        <v>676866.51673</v>
      </c>
      <c r="AU123" s="129" t="n">
        <f aca="false">IVA!AQ123+IVA!AR123+IVA!AS123+IVA!AT123</f>
        <v>2511884.60839</v>
      </c>
      <c r="AV123" s="130" t="n">
        <f aca="false">IVA!AQ123/IVA!CJ17</f>
        <v>0.000639645303382103</v>
      </c>
      <c r="AW123" s="130" t="n">
        <f aca="false">IVA!AR123/IVA!CK17</f>
        <v>0.000618406475411947</v>
      </c>
      <c r="AX123" s="130" t="n">
        <f aca="false">IVA!AS123/IVA!CL17</f>
        <v>0.000550406082006305</v>
      </c>
      <c r="AY123" s="130" t="n">
        <f aca="false">IVA!AT123/IVA!CM17</f>
        <v>0.000627951372249051</v>
      </c>
      <c r="AZ123" s="271" t="n">
        <f aca="false">IVA!AU123/IVA!CN17</f>
        <v>0.00243221026454407</v>
      </c>
      <c r="BA123" s="266" t="n">
        <v>2007</v>
      </c>
      <c r="BB123" s="392" t="s">
        <v>565</v>
      </c>
      <c r="BC123" s="393"/>
      <c r="BD123" s="393"/>
      <c r="BE123" s="393"/>
      <c r="BF123" s="394" t="n">
        <v>318621.094647</v>
      </c>
      <c r="BG123" s="394" t="n">
        <v>338282.830002</v>
      </c>
      <c r="BH123" s="394" t="n">
        <v>307444.577322</v>
      </c>
      <c r="BI123" s="394" t="n">
        <v>315227.702877</v>
      </c>
      <c r="BJ123" s="394" t="n">
        <v>384099.622962</v>
      </c>
      <c r="BK123" s="394" t="n">
        <v>396959.950665</v>
      </c>
      <c r="BL123" s="394" t="n">
        <v>370753.807329</v>
      </c>
      <c r="BM123" s="394" t="n">
        <v>409098.463671</v>
      </c>
      <c r="BN123" s="394" t="n">
        <v>410128.369305</v>
      </c>
      <c r="BO123" s="394" t="n">
        <v>395036.829354</v>
      </c>
      <c r="BP123" s="394" t="n">
        <v>451490.313132</v>
      </c>
      <c r="BQ123" s="395" t="n">
        <v>422344.700301</v>
      </c>
      <c r="BR123" s="175" t="n">
        <f aca="false">IVA!BF123+IVA!BG123+IVA!BH123</f>
        <v>964348.501971</v>
      </c>
      <c r="BS123" s="175" t="n">
        <f aca="false">IVA!BI123+IVA!BJ123+IVA!BK123</f>
        <v>1096287.276504</v>
      </c>
      <c r="BT123" s="175" t="n">
        <f aca="false">IVA!BL123+IVA!BM123+IVA!BN123</f>
        <v>1189980.640305</v>
      </c>
      <c r="BU123" s="176" t="n">
        <f aca="false">IVA!BO123+IVA!BP123+IVA!BQ123</f>
        <v>1268871.842787</v>
      </c>
      <c r="BV123" s="137" t="n">
        <f aca="false">IVA!BR123+IVA!BS123+IVA!BT123+IVA!BU123</f>
        <v>4519488.261567</v>
      </c>
      <c r="BW123" s="138" t="n">
        <f aca="false">IVA!BR123/IVA!CJ16</f>
        <v>0.00141582761036381</v>
      </c>
      <c r="BX123" s="139" t="n">
        <f aca="false">IVA!BS123/IVA!CK16</f>
        <v>0.00131272195379023</v>
      </c>
      <c r="BY123" s="138" t="n">
        <f aca="false">IVA!BT123/IVA!CL16</f>
        <v>0.00143810737193687</v>
      </c>
      <c r="BZ123" s="138" t="n">
        <f aca="false">IVA!BU123/IVA!CM16</f>
        <v>0.00140034316815964</v>
      </c>
      <c r="CA123" s="273" t="n">
        <f aca="false">IVA!BV123/IVA!CN16</f>
        <v>0.00556274951121668</v>
      </c>
      <c r="CI123" s="239"/>
      <c r="CJ123" s="26"/>
      <c r="CK123" s="26"/>
      <c r="CL123" s="26"/>
      <c r="CM123" s="26"/>
      <c r="CN123" s="26"/>
      <c r="CO123" s="26"/>
      <c r="CP123" s="26"/>
      <c r="CQ123" s="27"/>
      <c r="EJ123" s="31" t="n">
        <v>2071</v>
      </c>
      <c r="EK123" s="32" t="n">
        <v>18244.916</v>
      </c>
      <c r="EL123" s="33" t="n">
        <v>16672.207</v>
      </c>
    </row>
    <row r="124" customFormat="false" ht="12.75" hidden="false" customHeight="true" outlineLevel="0" collapsed="false">
      <c r="AA124" s="384" t="n">
        <v>2009</v>
      </c>
      <c r="AB124" s="384" t="s">
        <v>564</v>
      </c>
      <c r="AC124" s="385"/>
      <c r="AD124" s="386"/>
      <c r="AE124" s="387" t="n">
        <v>148950</v>
      </c>
      <c r="AF124" s="387" t="n">
        <v>244545</v>
      </c>
      <c r="AG124" s="387" t="n">
        <v>175544</v>
      </c>
      <c r="AH124" s="387" t="n">
        <v>209580</v>
      </c>
      <c r="AI124" s="387" t="n">
        <v>216825</v>
      </c>
      <c r="AJ124" s="387" t="n">
        <v>206601</v>
      </c>
      <c r="AK124" s="387" t="n">
        <v>197734</v>
      </c>
      <c r="AL124" s="387" t="n">
        <v>182829</v>
      </c>
      <c r="AM124" s="387" t="n">
        <v>242406</v>
      </c>
      <c r="AN124" s="387" t="n">
        <v>259464</v>
      </c>
      <c r="AO124" s="387" t="n">
        <v>328363</v>
      </c>
      <c r="AP124" s="387" t="n">
        <v>437347</v>
      </c>
      <c r="AQ124" s="128" t="n">
        <f aca="false">IVA!AE124+IVA!AF124+IVA!AG124</f>
        <v>569039</v>
      </c>
      <c r="AR124" s="128" t="n">
        <f aca="false">IVA!AH124+IVA!AI124+IVA!AJ124</f>
        <v>633006</v>
      </c>
      <c r="AS124" s="128" t="n">
        <f aca="false">IVA!AK124+IVA!AL124+IVA!AM124</f>
        <v>622969</v>
      </c>
      <c r="AT124" s="128" t="n">
        <f aca="false">IVA!AN124+IVA!AO124+IVA!AP124</f>
        <v>1025174</v>
      </c>
      <c r="AU124" s="129" t="n">
        <f aca="false">IVA!AQ124+IVA!AR124+IVA!AS124+IVA!AT124</f>
        <v>2850188</v>
      </c>
      <c r="AV124" s="130" t="n">
        <f aca="false">IVA!AQ124/IVA!CJ18</f>
        <v>0.000573072282725824</v>
      </c>
      <c r="AW124" s="130" t="n">
        <f aca="false">IVA!AR124/IVA!CK18</f>
        <v>0.000529547092977621</v>
      </c>
      <c r="AX124" s="130" t="n">
        <f aca="false">IVA!AS124/IVA!CL18</f>
        <v>0.000533001124512142</v>
      </c>
      <c r="AY124" s="130" t="n">
        <f aca="false">IVA!AT124/IVA!CM18</f>
        <v>0.000837079170782422</v>
      </c>
      <c r="AZ124" s="271" t="n">
        <f aca="false">IVA!AU124/IVA!CN18</f>
        <v>0.00248825113014702</v>
      </c>
      <c r="BA124" s="266" t="n">
        <v>2008</v>
      </c>
      <c r="BB124" s="392" t="s">
        <v>565</v>
      </c>
      <c r="BC124" s="393"/>
      <c r="BD124" s="393"/>
      <c r="BE124" s="393"/>
      <c r="BF124" s="394" t="n">
        <v>473898.350748</v>
      </c>
      <c r="BG124" s="394" t="n">
        <v>451529.494986</v>
      </c>
      <c r="BH124" s="394" t="n">
        <v>382273.061115</v>
      </c>
      <c r="BI124" s="394" t="n">
        <v>481518.158595</v>
      </c>
      <c r="BJ124" s="394" t="n">
        <v>505751.518278</v>
      </c>
      <c r="BK124" s="394" t="n">
        <v>458348.591859</v>
      </c>
      <c r="BL124" s="394" t="n">
        <v>519797.240091</v>
      </c>
      <c r="BM124" s="394" t="n">
        <v>523580.053992</v>
      </c>
      <c r="BN124" s="394" t="n">
        <v>505339.945968</v>
      </c>
      <c r="BO124" s="394" t="n">
        <v>524154.154059</v>
      </c>
      <c r="BP124" s="394" t="n">
        <v>512074.996941</v>
      </c>
      <c r="BQ124" s="395" t="n">
        <v>510281.500674</v>
      </c>
      <c r="BR124" s="175" t="n">
        <f aca="false">IVA!BF124+IVA!BG124+IVA!BH124</f>
        <v>1307700.906849</v>
      </c>
      <c r="BS124" s="175" t="n">
        <f aca="false">IVA!BI124+IVA!BJ124+IVA!BK124</f>
        <v>1445618.268732</v>
      </c>
      <c r="BT124" s="175" t="n">
        <f aca="false">IVA!BL124+IVA!BM124+IVA!BN124</f>
        <v>1548717.240051</v>
      </c>
      <c r="BU124" s="176" t="n">
        <f aca="false">IVA!BO124+IVA!BP124+IVA!BQ124</f>
        <v>1546510.651674</v>
      </c>
      <c r="BV124" s="137" t="n">
        <f aca="false">IVA!BR124+IVA!BS124+IVA!BT124+IVA!BU124</f>
        <v>5848547.067306</v>
      </c>
      <c r="BW124" s="138" t="n">
        <f aca="false">IVA!BR124/IVA!CJ17</f>
        <v>0.00147322843400894</v>
      </c>
      <c r="BX124" s="139" t="n">
        <f aca="false">IVA!BS124/IVA!CK17</f>
        <v>0.0013047769398218</v>
      </c>
      <c r="BY124" s="138" t="n">
        <f aca="false">IVA!BT124/IVA!CL17</f>
        <v>0.00146443768902431</v>
      </c>
      <c r="BZ124" s="138" t="n">
        <f aca="false">IVA!BU124/IVA!CM17</f>
        <v>0.00143474889348655</v>
      </c>
      <c r="CA124" s="273" t="n">
        <f aca="false">IVA!BV124/IVA!CN17</f>
        <v>0.00566303729170435</v>
      </c>
      <c r="CI124" s="235"/>
      <c r="CJ124" s="77"/>
      <c r="CK124" s="78"/>
      <c r="CL124" s="78"/>
      <c r="CM124" s="78"/>
      <c r="CN124" s="78"/>
      <c r="EJ124" s="31" t="n">
        <v>2072</v>
      </c>
      <c r="EK124" s="32" t="n">
        <v>18396.545</v>
      </c>
      <c r="EL124" s="33" t="n">
        <v>16817.965</v>
      </c>
    </row>
    <row r="125" customFormat="false" ht="12.75" hidden="false" customHeight="true" outlineLevel="0" collapsed="false">
      <c r="AA125" s="384" t="n">
        <v>2010</v>
      </c>
      <c r="AB125" s="384" t="s">
        <v>564</v>
      </c>
      <c r="AC125" s="385"/>
      <c r="AD125" s="386"/>
      <c r="AE125" s="387" t="n">
        <v>131993</v>
      </c>
      <c r="AF125" s="387" t="n">
        <v>310924</v>
      </c>
      <c r="AG125" s="387" t="n">
        <v>246304</v>
      </c>
      <c r="AH125" s="387" t="n">
        <v>235479</v>
      </c>
      <c r="AI125" s="387" t="n">
        <v>384698</v>
      </c>
      <c r="AJ125" s="387" t="n">
        <v>288049</v>
      </c>
      <c r="AK125" s="387" t="n">
        <v>227821</v>
      </c>
      <c r="AL125" s="387" t="n">
        <v>298926</v>
      </c>
      <c r="AM125" s="387" t="n">
        <v>320192</v>
      </c>
      <c r="AN125" s="387" t="n">
        <v>340085</v>
      </c>
      <c r="AO125" s="387" t="n">
        <v>341358</v>
      </c>
      <c r="AP125" s="387" t="n">
        <v>514396</v>
      </c>
      <c r="AQ125" s="128" t="n">
        <f aca="false">IVA!AE125+IVA!AF125+IVA!AG125</f>
        <v>689221</v>
      </c>
      <c r="AR125" s="128" t="n">
        <f aca="false">IVA!AH125+IVA!AI125+IVA!AJ125</f>
        <v>908226</v>
      </c>
      <c r="AS125" s="128" t="n">
        <f aca="false">IVA!AK125+IVA!AL125+IVA!AM125</f>
        <v>846939</v>
      </c>
      <c r="AT125" s="128" t="n">
        <f aca="false">IVA!AN125+IVA!AO125+IVA!AP125</f>
        <v>1195839</v>
      </c>
      <c r="AU125" s="129" t="n">
        <f aca="false">IVA!AQ125+IVA!AR125+IVA!AS125+IVA!AT125</f>
        <v>3640225</v>
      </c>
      <c r="AV125" s="130" t="n">
        <f aca="false">IVA!AQ125/IVA!CJ19</f>
        <v>0.000566150613489121</v>
      </c>
      <c r="AW125" s="130" t="n">
        <f aca="false">IVA!AR125/IVA!CK19</f>
        <v>0.00060215781470789</v>
      </c>
      <c r="AX125" s="130" t="n">
        <f aca="false">IVA!AS125/IVA!CL19</f>
        <v>0.00057777749880763</v>
      </c>
      <c r="AY125" s="130" t="n">
        <f aca="false">IVA!AT125/IVA!CM19</f>
        <v>0.000757292269125538</v>
      </c>
      <c r="AZ125" s="271" t="n">
        <f aca="false">IVA!AU125/IVA!CN19</f>
        <v>0.00252328106490669</v>
      </c>
      <c r="BA125" s="266" t="n">
        <v>2009</v>
      </c>
      <c r="BB125" s="392" t="s">
        <v>565</v>
      </c>
      <c r="BC125" s="393"/>
      <c r="BD125" s="393"/>
      <c r="BE125" s="393"/>
      <c r="BF125" s="394" t="n">
        <v>508417.5</v>
      </c>
      <c r="BG125" s="394" t="n">
        <v>455738.7</v>
      </c>
      <c r="BH125" s="394" t="n">
        <v>429488.7</v>
      </c>
      <c r="BI125" s="394" t="n">
        <v>500436.3</v>
      </c>
      <c r="BJ125" s="394" t="n">
        <v>515154</v>
      </c>
      <c r="BK125" s="394" t="n">
        <v>512405.1</v>
      </c>
      <c r="BL125" s="394" t="n">
        <v>533752.8</v>
      </c>
      <c r="BM125" s="394" t="n">
        <v>507649.2</v>
      </c>
      <c r="BN125" s="394" t="n">
        <v>540745.8</v>
      </c>
      <c r="BO125" s="394" t="n">
        <v>530837.4</v>
      </c>
      <c r="BP125" s="394" t="n">
        <v>523606.5</v>
      </c>
      <c r="BQ125" s="395" t="n">
        <v>610208.7</v>
      </c>
      <c r="BR125" s="175" t="n">
        <f aca="false">IVA!BF125+IVA!BG125+IVA!BH125</f>
        <v>1393644.9</v>
      </c>
      <c r="BS125" s="175" t="n">
        <f aca="false">IVA!BI125+IVA!BJ125+IVA!BK125</f>
        <v>1527995.4</v>
      </c>
      <c r="BT125" s="175" t="n">
        <f aca="false">IVA!BL125+IVA!BM125+IVA!BN125</f>
        <v>1582147.8</v>
      </c>
      <c r="BU125" s="176" t="n">
        <f aca="false">IVA!BO125+IVA!BP125+IVA!BQ125</f>
        <v>1664652.6</v>
      </c>
      <c r="BV125" s="137" t="n">
        <f aca="false">IVA!BR125+IVA!BS125+IVA!BT125+IVA!BU125</f>
        <v>6168440.7</v>
      </c>
      <c r="BW125" s="138" t="n">
        <f aca="false">IVA!BR125/IVA!CJ18</f>
        <v>0.00140352289412888</v>
      </c>
      <c r="BX125" s="139" t="n">
        <f aca="false">IVA!BS125/IVA!CK18</f>
        <v>0.00127825885086899</v>
      </c>
      <c r="BY125" s="138" t="n">
        <f aca="false">IVA!BT125/IVA!CL18</f>
        <v>0.00135365733534801</v>
      </c>
      <c r="BZ125" s="138" t="n">
        <f aca="false">IVA!BU125/IVA!CM18</f>
        <v>0.00135922879242821</v>
      </c>
      <c r="CA125" s="273" t="n">
        <f aca="false">IVA!BV125/IVA!CN18</f>
        <v>0.00538512882063215</v>
      </c>
      <c r="CI125" s="235"/>
      <c r="CJ125" s="93" t="s">
        <v>558</v>
      </c>
      <c r="CK125" s="94" t="s">
        <v>559</v>
      </c>
      <c r="CL125" s="94" t="s">
        <v>560</v>
      </c>
      <c r="CM125" s="94" t="s">
        <v>561</v>
      </c>
      <c r="CN125" s="94" t="s">
        <v>562</v>
      </c>
      <c r="EJ125" s="31" t="n">
        <v>2073</v>
      </c>
      <c r="EK125" s="32" t="n">
        <v>18545.706</v>
      </c>
      <c r="EL125" s="33" t="n">
        <v>16963.044</v>
      </c>
    </row>
    <row r="126" customFormat="false" ht="12.75" hidden="false" customHeight="true" outlineLevel="0" collapsed="false">
      <c r="AA126" s="384" t="n">
        <v>2011</v>
      </c>
      <c r="AB126" s="384" t="s">
        <v>564</v>
      </c>
      <c r="AC126" s="385"/>
      <c r="AD126" s="386"/>
      <c r="AE126" s="387" t="n">
        <v>136705</v>
      </c>
      <c r="AF126" s="387" t="n">
        <v>332772</v>
      </c>
      <c r="AG126" s="387" t="n">
        <v>228070</v>
      </c>
      <c r="AH126" s="387" t="n">
        <v>303387</v>
      </c>
      <c r="AI126" s="387" t="n">
        <v>412368</v>
      </c>
      <c r="AJ126" s="387" t="n">
        <v>349446</v>
      </c>
      <c r="AK126" s="387" t="n">
        <v>289540</v>
      </c>
      <c r="AL126" s="387" t="n">
        <v>310604</v>
      </c>
      <c r="AM126" s="387" t="n">
        <v>364774</v>
      </c>
      <c r="AN126" s="387" t="n">
        <v>366367</v>
      </c>
      <c r="AO126" s="387" t="n">
        <v>330674</v>
      </c>
      <c r="AP126" s="387" t="n">
        <v>602781</v>
      </c>
      <c r="AQ126" s="128" t="n">
        <f aca="false">IVA!AE126+IVA!AF126+IVA!AG126</f>
        <v>697547</v>
      </c>
      <c r="AR126" s="128" t="n">
        <f aca="false">IVA!AH126+IVA!AI126+IVA!AJ126</f>
        <v>1065201</v>
      </c>
      <c r="AS126" s="128" t="n">
        <f aca="false">IVA!AK126+IVA!AL126+IVA!AM126</f>
        <v>964918</v>
      </c>
      <c r="AT126" s="128" t="n">
        <f aca="false">IVA!AN126+IVA!AO126+IVA!AP126</f>
        <v>1299822</v>
      </c>
      <c r="AU126" s="129" t="n">
        <f aca="false">IVA!AQ126+IVA!AR126+IVA!AS126+IVA!AT126</f>
        <v>4027488</v>
      </c>
      <c r="AV126" s="130" t="n">
        <f aca="false">IVA!AQ126/IVA!CJ20</f>
        <v>0.000444983350132051</v>
      </c>
      <c r="AW126" s="130" t="n">
        <f aca="false">IVA!AR126/IVA!CK20</f>
        <v>0.000539007320051258</v>
      </c>
      <c r="AX126" s="130" t="n">
        <f aca="false">IVA!AS126/IVA!CL20</f>
        <v>0.000517273885774412</v>
      </c>
      <c r="AY126" s="130" t="n">
        <f aca="false">IVA!AT126/IVA!CM20</f>
        <v>0.000663550233543939</v>
      </c>
      <c r="AZ126" s="271" t="n">
        <f aca="false">IVA!AU126/IVA!CN20</f>
        <v>0.00218644929615602</v>
      </c>
      <c r="BA126" s="266" t="n">
        <v>2010</v>
      </c>
      <c r="BB126" s="392" t="s">
        <v>565</v>
      </c>
      <c r="BC126" s="393"/>
      <c r="BD126" s="393"/>
      <c r="BE126" s="393"/>
      <c r="BF126" s="394" t="n">
        <v>583465.5</v>
      </c>
      <c r="BG126" s="394" t="n">
        <v>540616.2</v>
      </c>
      <c r="BH126" s="394" t="n">
        <v>545902.2</v>
      </c>
      <c r="BI126" s="394" t="n">
        <v>622359</v>
      </c>
      <c r="BJ126" s="394" t="n">
        <v>670904.4</v>
      </c>
      <c r="BK126" s="394" t="n">
        <v>656787.9</v>
      </c>
      <c r="BL126" s="394" t="n">
        <v>730894.5</v>
      </c>
      <c r="BM126" s="394" t="n">
        <v>666619.8</v>
      </c>
      <c r="BN126" s="394" t="n">
        <v>753512.1</v>
      </c>
      <c r="BO126" s="394" t="n">
        <v>737330.7</v>
      </c>
      <c r="BP126" s="394" t="n">
        <v>691116.9</v>
      </c>
      <c r="BQ126" s="395" t="n">
        <v>865911.3</v>
      </c>
      <c r="BR126" s="175" t="n">
        <f aca="false">IVA!BF126+IVA!BG126+IVA!BH126</f>
        <v>1669983.9</v>
      </c>
      <c r="BS126" s="175" t="n">
        <f aca="false">IVA!BI126+IVA!BJ126+IVA!BK126</f>
        <v>1950051.3</v>
      </c>
      <c r="BT126" s="175" t="n">
        <f aca="false">IVA!BL126+IVA!BM126+IVA!BN126</f>
        <v>2151026.4</v>
      </c>
      <c r="BU126" s="176" t="n">
        <f aca="false">IVA!BO126+IVA!BP126+IVA!BQ126</f>
        <v>2294358.9</v>
      </c>
      <c r="BV126" s="137" t="n">
        <f aca="false">IVA!BR126+IVA!BS126+IVA!BT126+IVA!BU126</f>
        <v>8065420.5</v>
      </c>
      <c r="BW126" s="138" t="n">
        <f aca="false">IVA!BR126/IVA!CJ19</f>
        <v>0.00137178410045828</v>
      </c>
      <c r="BX126" s="139" t="n">
        <f aca="false">IVA!BS126/IVA!CK19</f>
        <v>0.00129289255028625</v>
      </c>
      <c r="BY126" s="138" t="n">
        <f aca="false">IVA!BT126/IVA!CL19</f>
        <v>0.00146741932212495</v>
      </c>
      <c r="BZ126" s="138" t="n">
        <f aca="false">IVA!BU126/IVA!CM19</f>
        <v>0.00145295500277995</v>
      </c>
      <c r="CA126" s="273" t="n">
        <f aca="false">IVA!BV126/IVA!CN19</f>
        <v>0.00559067717741629</v>
      </c>
      <c r="CI126" s="235"/>
      <c r="CJ126" s="281"/>
      <c r="CK126" s="281"/>
      <c r="CL126" s="281"/>
      <c r="CM126" s="281"/>
      <c r="CN126" s="281"/>
      <c r="EJ126" s="31" t="n">
        <v>2074</v>
      </c>
      <c r="EK126" s="32" t="n">
        <v>18684.123</v>
      </c>
      <c r="EL126" s="33" t="n">
        <v>17098.75</v>
      </c>
    </row>
    <row r="127" customFormat="false" ht="12.75" hidden="false" customHeight="true" outlineLevel="0" collapsed="false">
      <c r="AA127" s="400" t="n">
        <v>2012</v>
      </c>
      <c r="AB127" s="400" t="s">
        <v>564</v>
      </c>
      <c r="AC127" s="401"/>
      <c r="AD127" s="402"/>
      <c r="AE127" s="403" t="n">
        <v>160786.74215</v>
      </c>
      <c r="AF127" s="403" t="n">
        <v>429566.74187</v>
      </c>
      <c r="AG127" s="403" t="n">
        <v>318511.47319</v>
      </c>
      <c r="AH127" s="403" t="n">
        <v>430471.05297</v>
      </c>
      <c r="AI127" s="403" t="n">
        <v>499338.50795</v>
      </c>
      <c r="AJ127" s="403" t="n">
        <v>359589.50917</v>
      </c>
      <c r="AK127" s="403" t="n">
        <v>554242.62278</v>
      </c>
      <c r="AL127" s="403" t="n">
        <v>519201.84511</v>
      </c>
      <c r="AM127" s="403" t="n">
        <v>587472.5845</v>
      </c>
      <c r="AN127" s="403" t="n">
        <v>481885.58903</v>
      </c>
      <c r="AO127" s="403" t="n">
        <v>526811.37381</v>
      </c>
      <c r="AP127" s="403" t="n">
        <v>922152.32235</v>
      </c>
      <c r="AQ127" s="249" t="n">
        <f aca="false">IVA!AE127+IVA!AF127+IVA!AG127</f>
        <v>908864.95721</v>
      </c>
      <c r="AR127" s="249" t="n">
        <f aca="false">IVA!AH127+IVA!AI127+IVA!AJ127</f>
        <v>1289399.07009</v>
      </c>
      <c r="AS127" s="249" t="n">
        <f aca="false">IVA!AK127+IVA!AL127+IVA!AM127</f>
        <v>1660917.05239</v>
      </c>
      <c r="AT127" s="249" t="n">
        <f aca="false">IVA!AN127+IVA!AO127+IVA!AP127</f>
        <v>1930849.28519</v>
      </c>
      <c r="AU127" s="250" t="n">
        <f aca="false">IVA!AQ127+IVA!AR127+IVA!AS127+IVA!AT127</f>
        <v>5790030.36488</v>
      </c>
      <c r="AV127" s="252" t="n">
        <f aca="false">IVA!AQ127/IVA!CJ21</f>
        <v>0.000484744781664431</v>
      </c>
      <c r="AW127" s="252" t="n">
        <f aca="false">IVA!AR127/IVA!CK21</f>
        <v>0.000567227168279729</v>
      </c>
      <c r="AX127" s="252" t="n">
        <f aca="false">IVA!AS127/IVA!CL21</f>
        <v>0.000760873105745342</v>
      </c>
      <c r="AY127" s="252" t="n">
        <f aca="false">IVA!AT127/IVA!CM21</f>
        <v>0.000830123840215304</v>
      </c>
      <c r="AZ127" s="296" t="n">
        <f aca="false">IVA!AU127/IVA!CN21</f>
        <v>0.00267531079962716</v>
      </c>
      <c r="BA127" s="266" t="n">
        <v>2011</v>
      </c>
      <c r="BB127" s="392" t="s">
        <v>565</v>
      </c>
      <c r="BC127" s="393"/>
      <c r="BD127" s="393"/>
      <c r="BE127" s="393"/>
      <c r="BF127" s="394" t="n">
        <v>798552.3</v>
      </c>
      <c r="BG127" s="394" t="n">
        <v>785827.2</v>
      </c>
      <c r="BH127" s="394" t="n">
        <v>731175.6</v>
      </c>
      <c r="BI127" s="394" t="n">
        <v>806261.7</v>
      </c>
      <c r="BJ127" s="394" t="n">
        <v>885406.5</v>
      </c>
      <c r="BK127" s="394" t="n">
        <v>952731.9</v>
      </c>
      <c r="BL127" s="394" t="n">
        <v>987843.6</v>
      </c>
      <c r="BM127" s="394" t="n">
        <v>874647.6</v>
      </c>
      <c r="BN127" s="394" t="n">
        <v>1062715.2</v>
      </c>
      <c r="BO127" s="394" t="n">
        <v>943637.4</v>
      </c>
      <c r="BP127" s="394" t="n">
        <v>1005294.9</v>
      </c>
      <c r="BQ127" s="395" t="n">
        <v>1019733.9</v>
      </c>
      <c r="BR127" s="175" t="n">
        <f aca="false">IVA!BF127+IVA!BG127+IVA!BH127</f>
        <v>2315555.1</v>
      </c>
      <c r="BS127" s="175" t="n">
        <f aca="false">IVA!BI127+IVA!BJ127+IVA!BK127</f>
        <v>2644400.1</v>
      </c>
      <c r="BT127" s="175" t="n">
        <f aca="false">IVA!BL127+IVA!BM127+IVA!BN127</f>
        <v>2925206.4</v>
      </c>
      <c r="BU127" s="176" t="n">
        <f aca="false">IVA!BO127+IVA!BP127+IVA!BQ127</f>
        <v>2968666.2</v>
      </c>
      <c r="BV127" s="137" t="n">
        <f aca="false">IVA!BR127+IVA!BS127+IVA!BT127+IVA!BU127</f>
        <v>10853827.8</v>
      </c>
      <c r="BW127" s="138" t="n">
        <f aca="false">IVA!BR127/IVA!CJ20</f>
        <v>0.00147715274499547</v>
      </c>
      <c r="BX127" s="139" t="n">
        <f aca="false">IVA!BS127/IVA!CK20</f>
        <v>0.00133810521304831</v>
      </c>
      <c r="BY127" s="138" t="n">
        <f aca="false">IVA!BT127/IVA!CL20</f>
        <v>0.00156814660025015</v>
      </c>
      <c r="BZ127" s="138" t="n">
        <f aca="false">IVA!BU127/IVA!CM20</f>
        <v>0.00151548377418139</v>
      </c>
      <c r="CA127" s="273" t="n">
        <f aca="false">IVA!BV127/IVA!CN20</f>
        <v>0.00589234385152945</v>
      </c>
      <c r="CI127" s="53" t="n">
        <v>1997</v>
      </c>
      <c r="CJ127" s="374" t="n">
        <f aca="false">IVA!BF181+IVA!BG181+IVA!BH181</f>
        <v>858969.87188318</v>
      </c>
      <c r="CK127" s="374" t="n">
        <f aca="false">IVA!BG181+IVA!BH181+IVA!BI181</f>
        <v>839390.740624926</v>
      </c>
      <c r="CL127" s="374" t="n">
        <f aca="false">IVA!BH181+IVA!BI181+IVA!BJ181</f>
        <v>933697.859165308</v>
      </c>
      <c r="CM127" s="374" t="n">
        <f aca="false">IVA!BI181+IVA!BJ181+IVA!BK181</f>
        <v>957865.689300838</v>
      </c>
      <c r="CN127" s="375" t="n">
        <f aca="false">IVA!BJ181+IVA!BK181+IVA!BL181</f>
        <v>951301.571998422</v>
      </c>
      <c r="EJ127" s="31" t="n">
        <v>2075</v>
      </c>
      <c r="EK127" s="32" t="n">
        <v>18814.368</v>
      </c>
      <c r="EL127" s="33" t="n">
        <v>17227.651</v>
      </c>
    </row>
    <row r="128" customFormat="false" ht="12.75" hidden="false" customHeight="true" outlineLevel="0" collapsed="false">
      <c r="AA128" s="404" t="n">
        <v>1996</v>
      </c>
      <c r="AB128" s="404" t="s">
        <v>567</v>
      </c>
      <c r="AC128" s="405"/>
      <c r="AD128" s="406"/>
      <c r="AE128" s="407" t="n">
        <v>137341</v>
      </c>
      <c r="AF128" s="408" t="n">
        <v>180193</v>
      </c>
      <c r="AG128" s="407" t="n">
        <v>115787</v>
      </c>
      <c r="AH128" s="407" t="n">
        <v>175358</v>
      </c>
      <c r="AI128" s="407" t="n">
        <v>173767</v>
      </c>
      <c r="AJ128" s="407" t="n">
        <v>165025</v>
      </c>
      <c r="AK128" s="407" t="n">
        <v>13566</v>
      </c>
      <c r="AL128" s="407" t="n">
        <v>169106</v>
      </c>
      <c r="AM128" s="407" t="n">
        <v>197211</v>
      </c>
      <c r="AN128" s="407" t="n">
        <v>212825</v>
      </c>
      <c r="AO128" s="407" t="n">
        <v>231215</v>
      </c>
      <c r="AP128" s="407" t="n">
        <v>30627</v>
      </c>
      <c r="AQ128" s="155" t="n">
        <f aca="false">IVA!AE128+IVA!AF128+IVA!AG128</f>
        <v>433321</v>
      </c>
      <c r="AR128" s="155" t="n">
        <f aca="false">IVA!AH128+IVA!AI128+IVA!AJ128</f>
        <v>514150</v>
      </c>
      <c r="AS128" s="155" t="n">
        <f aca="false">IVA!AK128+IVA!AL128+IVA!AM128</f>
        <v>379883</v>
      </c>
      <c r="AT128" s="155" t="n">
        <f aca="false">IVA!AN128+IVA!AO128+IVA!AP128</f>
        <v>474667</v>
      </c>
      <c r="AU128" s="409" t="n">
        <f aca="false">IVA!AQ128+IVA!AR128+IVA!AS128+IVA!AT128</f>
        <v>1802021</v>
      </c>
      <c r="AV128" s="252"/>
      <c r="AW128" s="252"/>
      <c r="AX128" s="252"/>
      <c r="AY128" s="252"/>
      <c r="AZ128" s="296"/>
      <c r="BA128" s="297" t="n">
        <v>2012</v>
      </c>
      <c r="BB128" s="410" t="s">
        <v>565</v>
      </c>
      <c r="BC128" s="411"/>
      <c r="BD128" s="411"/>
      <c r="BE128" s="411"/>
      <c r="BF128" s="412" t="n">
        <v>976039.10082</v>
      </c>
      <c r="BG128" s="412" t="n">
        <v>962931.49896</v>
      </c>
      <c r="BH128" s="412" t="n">
        <v>1012421.337561</v>
      </c>
      <c r="BI128" s="412" t="n">
        <v>950215.816191</v>
      </c>
      <c r="BJ128" s="412" t="n">
        <v>1099632.260634</v>
      </c>
      <c r="BK128" s="412" t="n">
        <v>1125920.745903</v>
      </c>
      <c r="BL128" s="412" t="n">
        <v>1076815.307016</v>
      </c>
      <c r="BM128" s="412" t="n">
        <v>1164675.893889</v>
      </c>
      <c r="BN128" s="412" t="n">
        <v>1175860.778361</v>
      </c>
      <c r="BO128" s="412" t="n">
        <v>1101451.294137</v>
      </c>
      <c r="BP128" s="412" t="n">
        <v>1231962.587538</v>
      </c>
      <c r="BQ128" s="413" t="n">
        <v>1301441.757882</v>
      </c>
      <c r="BR128" s="259" t="n">
        <f aca="false">IVA!BF128+IVA!BG128+IVA!BH128</f>
        <v>2951391.937341</v>
      </c>
      <c r="BS128" s="259" t="n">
        <f aca="false">IVA!BI128+IVA!BJ128+IVA!BK128</f>
        <v>3175768.822728</v>
      </c>
      <c r="BT128" s="259" t="n">
        <f aca="false">IVA!BL128+IVA!BM128+IVA!BN128</f>
        <v>3417351.979266</v>
      </c>
      <c r="BU128" s="260" t="n">
        <f aca="false">IVA!BO128+IVA!BP128+IVA!BQ128</f>
        <v>3634855.639557</v>
      </c>
      <c r="BV128" s="261" t="n">
        <f aca="false">IVA!BR128+IVA!BS128+IVA!BT128+IVA!BU128</f>
        <v>13179368.378892</v>
      </c>
      <c r="BW128" s="264" t="n">
        <f aca="false">IVA!BR128/IVA!CJ21</f>
        <v>0.00157413026976455</v>
      </c>
      <c r="BX128" s="263" t="n">
        <f aca="false">IVA!BS128/IVA!CK21</f>
        <v>0.00139707123900851</v>
      </c>
      <c r="BY128" s="264" t="n">
        <f aca="false">IVA!BT128/IVA!CL21</f>
        <v>0.0015655033525892</v>
      </c>
      <c r="BZ128" s="264" t="n">
        <f aca="false">IVA!BU128/IVA!CM21</f>
        <v>0.00156272182675324</v>
      </c>
      <c r="CA128" s="303" t="n">
        <f aca="false">IVA!BV128/IVA!CN21</f>
        <v>0.00608958923085806</v>
      </c>
      <c r="CI128" s="53" t="n">
        <v>1998</v>
      </c>
      <c r="CJ128" s="377" t="n">
        <f aca="false">IVA!BF182+IVA!BG182+IVA!BH182</f>
        <v>919322.075134305</v>
      </c>
      <c r="CK128" s="377" t="n">
        <f aca="false">IVA!BG182+IVA!BH182+IVA!BI182</f>
        <v>909021.46093474</v>
      </c>
      <c r="CL128" s="377" t="n">
        <f aca="false">IVA!BH182+IVA!BI182+IVA!BJ182</f>
        <v>978151.777437348</v>
      </c>
      <c r="CM128" s="377" t="n">
        <f aca="false">IVA!BI182+IVA!BJ182+IVA!BK182</f>
        <v>1025905.89673556</v>
      </c>
      <c r="CN128" s="378" t="n">
        <f aca="false">IVA!BJ182+IVA!BK182+IVA!BL182</f>
        <v>1046133.29798735</v>
      </c>
      <c r="EJ128" s="31" t="n">
        <v>2076</v>
      </c>
      <c r="EK128" s="32" t="n">
        <v>18934.394</v>
      </c>
      <c r="EL128" s="33" t="n">
        <v>17348.38</v>
      </c>
    </row>
    <row r="129" customFormat="false" ht="12.75" hidden="false" customHeight="true" outlineLevel="0" collapsed="false">
      <c r="AA129" s="404" t="n">
        <v>1997</v>
      </c>
      <c r="AB129" s="404" t="s">
        <v>567</v>
      </c>
      <c r="AC129" s="405"/>
      <c r="AD129" s="406"/>
      <c r="AE129" s="407" t="n">
        <v>138954</v>
      </c>
      <c r="AF129" s="408" t="n">
        <v>232738</v>
      </c>
      <c r="AG129" s="407" t="n">
        <v>193306</v>
      </c>
      <c r="AH129" s="407" t="n">
        <v>233489</v>
      </c>
      <c r="AI129" s="407" t="n">
        <v>225636</v>
      </c>
      <c r="AJ129" s="407" t="n">
        <v>211683</v>
      </c>
      <c r="AK129" s="407" t="n">
        <v>203243</v>
      </c>
      <c r="AL129" s="407" t="n">
        <v>170402</v>
      </c>
      <c r="AM129" s="407" t="n">
        <v>194590</v>
      </c>
      <c r="AN129" s="407" t="n">
        <v>197511</v>
      </c>
      <c r="AO129" s="407" t="n">
        <v>193197</v>
      </c>
      <c r="AP129" s="407" t="n">
        <v>249070</v>
      </c>
      <c r="AQ129" s="155" t="n">
        <f aca="false">IVA!AE129+IVA!AF129+IVA!AG129</f>
        <v>564998</v>
      </c>
      <c r="AR129" s="155" t="n">
        <f aca="false">IVA!AH129+IVA!AI129+IVA!AJ129</f>
        <v>670808</v>
      </c>
      <c r="AS129" s="155" t="n">
        <f aca="false">IVA!AK129+IVA!AL129+IVA!AM129</f>
        <v>568235</v>
      </c>
      <c r="AT129" s="155" t="n">
        <f aca="false">IVA!AN129+IVA!AO129+IVA!AP129</f>
        <v>639778</v>
      </c>
      <c r="AU129" s="409" t="n">
        <f aca="false">IVA!AQ129+IVA!AR129+IVA!AS129+IVA!AT129</f>
        <v>2443819</v>
      </c>
      <c r="AV129" s="130" t="n">
        <f aca="false">IVA!AQ129/IVA!CJ6</f>
        <v>0.00208286514782865</v>
      </c>
      <c r="AW129" s="130" t="n">
        <f aca="false">IVA!AR129/IVA!CK6</f>
        <v>0.00223697709282999</v>
      </c>
      <c r="AX129" s="130" t="n">
        <f aca="false">IVA!AS129/IVA!CL6</f>
        <v>0.00190513474989416</v>
      </c>
      <c r="AY129" s="130" t="n">
        <f aca="false">IVA!AT129/IVA!CM6</f>
        <v>0.00211820701686051</v>
      </c>
      <c r="AZ129" s="271" t="n">
        <f aca="false">IVA!AU129/IVA!CN6</f>
        <v>0.00834469838266184</v>
      </c>
      <c r="BA129" s="297" t="n">
        <v>1996</v>
      </c>
      <c r="BB129" s="410"/>
      <c r="BC129" s="411"/>
      <c r="BD129" s="411"/>
      <c r="BE129" s="411"/>
      <c r="BF129" s="412"/>
      <c r="BG129" s="412"/>
      <c r="BH129" s="412"/>
      <c r="BI129" s="412"/>
      <c r="BJ129" s="412"/>
      <c r="BK129" s="412"/>
      <c r="BL129" s="412"/>
      <c r="BM129" s="412"/>
      <c r="BN129" s="412"/>
      <c r="BO129" s="412"/>
      <c r="BP129" s="412"/>
      <c r="BQ129" s="413"/>
      <c r="BR129" s="259"/>
      <c r="BS129" s="259"/>
      <c r="BT129" s="259"/>
      <c r="BU129" s="260"/>
      <c r="BV129" s="261"/>
      <c r="BW129" s="264"/>
      <c r="BX129" s="263"/>
      <c r="BY129" s="264"/>
      <c r="BZ129" s="264"/>
      <c r="CA129" s="303"/>
      <c r="CI129" s="53" t="n">
        <v>1999</v>
      </c>
      <c r="CJ129" s="377" t="n">
        <f aca="false">IVA!BF183+IVA!BG183+IVA!BH183</f>
        <v>903485.713039089</v>
      </c>
      <c r="CK129" s="377" t="n">
        <f aca="false">IVA!BG183+IVA!BH183+IVA!BI183</f>
        <v>888108.17040914</v>
      </c>
      <c r="CL129" s="377" t="n">
        <f aca="false">IVA!BH183+IVA!BI183+IVA!BJ183</f>
        <v>922907.795915972</v>
      </c>
      <c r="CM129" s="377" t="n">
        <f aca="false">IVA!BI183+IVA!BJ183+IVA!BK183</f>
        <v>919115.417868341</v>
      </c>
      <c r="CN129" s="378" t="n">
        <f aca="false">IVA!BJ183+IVA!BK183+IVA!BL183</f>
        <v>910398.231440228</v>
      </c>
      <c r="EJ129" s="31" t="n">
        <v>2077</v>
      </c>
      <c r="EK129" s="32" t="n">
        <v>19047.841</v>
      </c>
      <c r="EL129" s="33" t="n">
        <v>17463.971</v>
      </c>
    </row>
    <row r="130" customFormat="false" ht="12.75" hidden="false" customHeight="true" outlineLevel="0" collapsed="false">
      <c r="AA130" s="404" t="n">
        <v>1998</v>
      </c>
      <c r="AB130" s="404" t="s">
        <v>567</v>
      </c>
      <c r="AC130" s="405"/>
      <c r="AD130" s="406"/>
      <c r="AE130" s="407" t="n">
        <v>151466</v>
      </c>
      <c r="AF130" s="408" t="n">
        <v>229826</v>
      </c>
      <c r="AG130" s="407" t="n">
        <v>189709</v>
      </c>
      <c r="AH130" s="407" t="n">
        <v>172160</v>
      </c>
      <c r="AI130" s="407" t="n">
        <v>201791</v>
      </c>
      <c r="AJ130" s="407" t="n">
        <v>191932</v>
      </c>
      <c r="AK130" s="407" t="n">
        <v>188410</v>
      </c>
      <c r="AL130" s="407" t="n">
        <v>187487</v>
      </c>
      <c r="AM130" s="407" t="n">
        <v>195567</v>
      </c>
      <c r="AN130" s="407" t="n">
        <v>192385</v>
      </c>
      <c r="AO130" s="407" t="n">
        <v>198531</v>
      </c>
      <c r="AP130" s="407" t="n">
        <v>226091</v>
      </c>
      <c r="AQ130" s="155" t="n">
        <f aca="false">IVA!AE130+IVA!AF130+IVA!AG130</f>
        <v>571001</v>
      </c>
      <c r="AR130" s="155" t="n">
        <f aca="false">IVA!AH130+IVA!AI130+IVA!AJ130</f>
        <v>565883</v>
      </c>
      <c r="AS130" s="155" t="n">
        <f aca="false">IVA!AK130+IVA!AL130+IVA!AM130</f>
        <v>571464</v>
      </c>
      <c r="AT130" s="155" t="n">
        <f aca="false">IVA!AN130+IVA!AO130+IVA!AP130</f>
        <v>617007</v>
      </c>
      <c r="AU130" s="409" t="n">
        <f aca="false">IVA!AQ130+IVA!AR130+IVA!AS130+IVA!AT130</f>
        <v>2325355</v>
      </c>
      <c r="AV130" s="130" t="n">
        <f aca="false">IVA!AQ130/IVA!CJ7</f>
        <v>0.00201935536348333</v>
      </c>
      <c r="AW130" s="130" t="n">
        <f aca="false">IVA!AR130/IVA!CK7</f>
        <v>0.00181297732251607</v>
      </c>
      <c r="AX130" s="130" t="n">
        <f aca="false">IVA!AS130/IVA!CL7</f>
        <v>0.0018707404318501</v>
      </c>
      <c r="AY130" s="130" t="n">
        <f aca="false">IVA!AT130/IVA!CM7</f>
        <v>0.00208853795820694</v>
      </c>
      <c r="AZ130" s="271" t="n">
        <f aca="false">IVA!AU130/IVA!CN7</f>
        <v>0.00777845046965978</v>
      </c>
      <c r="BA130" s="272" t="n">
        <v>1997</v>
      </c>
      <c r="BB130" s="414" t="s">
        <v>568</v>
      </c>
      <c r="BC130" s="415"/>
      <c r="BD130" s="415"/>
      <c r="BE130" s="415"/>
      <c r="BF130" s="416" t="n">
        <v>10464.972</v>
      </c>
      <c r="BG130" s="416" t="n">
        <v>9381.516</v>
      </c>
      <c r="BH130" s="416" t="n">
        <v>11666.988</v>
      </c>
      <c r="BI130" s="416" t="n">
        <v>3225.06</v>
      </c>
      <c r="BJ130" s="416" t="n">
        <v>8726.7</v>
      </c>
      <c r="BK130" s="416" t="n">
        <v>9232.176</v>
      </c>
      <c r="BL130" s="416" t="n">
        <v>10443.768</v>
      </c>
      <c r="BM130" s="416" t="n">
        <v>10182.252</v>
      </c>
      <c r="BN130" s="416" t="n">
        <v>9606.096</v>
      </c>
      <c r="BO130" s="416" t="n">
        <v>8401.116</v>
      </c>
      <c r="BP130" s="416" t="n">
        <v>10457.904</v>
      </c>
      <c r="BQ130" s="417" t="n">
        <v>10501.908</v>
      </c>
      <c r="BR130" s="175" t="n">
        <f aca="false">IVA!BF130+IVA!BG130+IVA!BH130</f>
        <v>31513.476</v>
      </c>
      <c r="BS130" s="175" t="n">
        <f aca="false">IVA!BI130+IVA!BJ130+IVA!BK130</f>
        <v>21183.936</v>
      </c>
      <c r="BT130" s="175" t="n">
        <f aca="false">IVA!BL130+IVA!BM130+IVA!BN130</f>
        <v>30232.116</v>
      </c>
      <c r="BU130" s="176" t="n">
        <f aca="false">IVA!BO130+IVA!BP130+IVA!BQ130</f>
        <v>29360.928</v>
      </c>
      <c r="BV130" s="137" t="n">
        <f aca="false">IVA!BR130+IVA!BS130+IVA!BT130+IVA!BU130</f>
        <v>112290.456</v>
      </c>
      <c r="BW130" s="138" t="n">
        <f aca="false">IVA!BR130/IVA!CJ6</f>
        <v>0.000116174430435744</v>
      </c>
      <c r="BX130" s="139" t="n">
        <f aca="false">IVA!BS130/IVA!CK6</f>
        <v>7.06431342023001E-005</v>
      </c>
      <c r="BY130" s="138" t="n">
        <f aca="false">IVA!BT130/IVA!CL6</f>
        <v>0.000101359921079186</v>
      </c>
      <c r="BZ130" s="138" t="n">
        <f aca="false">IVA!BU130/IVA!CM6</f>
        <v>9.72095378570945E-005</v>
      </c>
      <c r="CA130" s="273" t="n">
        <f aca="false">IVA!BV130/IVA!CN6</f>
        <v>0.000383428554476236</v>
      </c>
      <c r="CI130" s="53" t="n">
        <v>2000</v>
      </c>
      <c r="CJ130" s="377" t="n">
        <f aca="false">IVA!BF184+IVA!BG184+IVA!BH184</f>
        <v>897102.556031242</v>
      </c>
      <c r="CK130" s="377" t="n">
        <f aca="false">IVA!BG184+IVA!BH184+IVA!BI184</f>
        <v>881102.100064408</v>
      </c>
      <c r="CL130" s="377" t="n">
        <f aca="false">IVA!BH184+IVA!BI184+IVA!BJ184</f>
        <v>953711.194910986</v>
      </c>
      <c r="CM130" s="377" t="n">
        <f aca="false">IVA!BI184+IVA!BJ184+IVA!BK184</f>
        <v>1029577.92502289</v>
      </c>
      <c r="CN130" s="378" t="n">
        <f aca="false">IVA!BJ184+IVA!BK184+IVA!BL184</f>
        <v>1040116.96189384</v>
      </c>
      <c r="EJ130" s="31" t="n">
        <v>2078</v>
      </c>
      <c r="EK130" s="32" t="n">
        <v>19159.449</v>
      </c>
      <c r="EL130" s="33" t="n">
        <v>17579.165</v>
      </c>
    </row>
    <row r="131" customFormat="false" ht="12.75" hidden="false" customHeight="true" outlineLevel="0" collapsed="false">
      <c r="AA131" s="404" t="n">
        <v>1999</v>
      </c>
      <c r="AB131" s="404" t="s">
        <v>567</v>
      </c>
      <c r="AC131" s="405"/>
      <c r="AD131" s="406"/>
      <c r="AE131" s="407" t="n">
        <v>153548</v>
      </c>
      <c r="AF131" s="408" t="n">
        <v>208524</v>
      </c>
      <c r="AG131" s="407" t="n">
        <v>178243</v>
      </c>
      <c r="AH131" s="407" t="n">
        <v>170981</v>
      </c>
      <c r="AI131" s="407" t="n">
        <v>189280</v>
      </c>
      <c r="AJ131" s="407" t="n">
        <v>168507</v>
      </c>
      <c r="AK131" s="407" t="n">
        <v>169822</v>
      </c>
      <c r="AL131" s="407" t="n">
        <v>178933</v>
      </c>
      <c r="AM131" s="407" t="n">
        <v>179500</v>
      </c>
      <c r="AN131" s="407" t="n">
        <v>175736</v>
      </c>
      <c r="AO131" s="407" t="n">
        <v>177882</v>
      </c>
      <c r="AP131" s="407" t="n">
        <v>225555</v>
      </c>
      <c r="AQ131" s="155" t="n">
        <f aca="false">IVA!AE131+IVA!AF131+IVA!AG131</f>
        <v>540315</v>
      </c>
      <c r="AR131" s="155" t="n">
        <f aca="false">IVA!AH131+IVA!AI131+IVA!AJ131</f>
        <v>528768</v>
      </c>
      <c r="AS131" s="155" t="n">
        <f aca="false">IVA!AK131+IVA!AL131+IVA!AM131</f>
        <v>528255</v>
      </c>
      <c r="AT131" s="155" t="n">
        <f aca="false">IVA!AN131+IVA!AO131+IVA!AP131</f>
        <v>579173</v>
      </c>
      <c r="AU131" s="409" t="n">
        <f aca="false">IVA!AQ131+IVA!AR131+IVA!AS131+IVA!AT131</f>
        <v>2176511</v>
      </c>
      <c r="AV131" s="130" t="n">
        <f aca="false">IVA!AQ131/IVA!CJ8</f>
        <v>0.00199565275202588</v>
      </c>
      <c r="AW131" s="130" t="n">
        <f aca="false">IVA!AR131/IVA!CK8</f>
        <v>0.00183072486840452</v>
      </c>
      <c r="AX131" s="130" t="n">
        <f aca="false">IVA!AS131/IVA!CL8</f>
        <v>0.00185296053613085</v>
      </c>
      <c r="AY131" s="130" t="n">
        <f aca="false">IVA!AT131/IVA!CM8</f>
        <v>0.00200108953225986</v>
      </c>
      <c r="AZ131" s="271" t="n">
        <f aca="false">IVA!AU131/IVA!CN8</f>
        <v>0.00767666403046107</v>
      </c>
      <c r="BA131" s="266" t="n">
        <v>1998</v>
      </c>
      <c r="BB131" s="414" t="s">
        <v>568</v>
      </c>
      <c r="BC131" s="415"/>
      <c r="BD131" s="415"/>
      <c r="BE131" s="415"/>
      <c r="BF131" s="416" t="n">
        <v>11015.364</v>
      </c>
      <c r="BG131" s="416" t="n">
        <v>8918.448</v>
      </c>
      <c r="BH131" s="416" t="n">
        <v>7338.18</v>
      </c>
      <c r="BI131" s="416" t="n">
        <v>6809.904</v>
      </c>
      <c r="BJ131" s="416" t="n">
        <v>8864.868</v>
      </c>
      <c r="BK131" s="416" t="n">
        <v>7200.012</v>
      </c>
      <c r="BL131" s="416" t="n">
        <v>8237.64</v>
      </c>
      <c r="BM131" s="416" t="n">
        <v>8877.18</v>
      </c>
      <c r="BN131" s="416" t="n">
        <v>9889.5</v>
      </c>
      <c r="BO131" s="416" t="n">
        <v>8713.02</v>
      </c>
      <c r="BP131" s="416" t="n">
        <v>8750.412</v>
      </c>
      <c r="BQ131" s="417" t="n">
        <v>7501.656</v>
      </c>
      <c r="BR131" s="175" t="n">
        <f aca="false">IVA!BF131+IVA!BG131+IVA!BH131</f>
        <v>27271.992</v>
      </c>
      <c r="BS131" s="175" t="n">
        <f aca="false">IVA!BI131+IVA!BJ131+IVA!BK131</f>
        <v>22874.784</v>
      </c>
      <c r="BT131" s="175" t="n">
        <f aca="false">IVA!BL131+IVA!BM131+IVA!BN131</f>
        <v>27004.32</v>
      </c>
      <c r="BU131" s="176" t="n">
        <f aca="false">IVA!BO131+IVA!BP131+IVA!BQ131</f>
        <v>24965.088</v>
      </c>
      <c r="BV131" s="137" t="n">
        <f aca="false">IVA!BR131+IVA!BS131+IVA!BT131+IVA!BU131</f>
        <v>102116.184</v>
      </c>
      <c r="BW131" s="138" t="n">
        <f aca="false">IVA!BR131/IVA!CJ7</f>
        <v>9.64478929425245E-005</v>
      </c>
      <c r="BX131" s="139" t="n">
        <f aca="false">IVA!BS131/IVA!CK7</f>
        <v>7.32862882423636E-005</v>
      </c>
      <c r="BY131" s="138" t="n">
        <f aca="false">IVA!BT131/IVA!CL7</f>
        <v>8.84011473314473E-005</v>
      </c>
      <c r="BZ131" s="138" t="n">
        <f aca="false">IVA!BU131/IVA!CM7</f>
        <v>8.4505579220295E-005</v>
      </c>
      <c r="CA131" s="273" t="n">
        <f aca="false">IVA!BV131/IVA!CN7</f>
        <v>0.000341584695409804</v>
      </c>
      <c r="CI131" s="53" t="n">
        <v>2001</v>
      </c>
      <c r="CJ131" s="377" t="n">
        <f aca="false">IVA!BF185+IVA!BG185+IVA!BH185</f>
        <v>892407.07194323</v>
      </c>
      <c r="CK131" s="377" t="n">
        <f aca="false">IVA!BG185+IVA!BH185+IVA!BI185</f>
        <v>846707.14227343</v>
      </c>
      <c r="CL131" s="377" t="n">
        <f aca="false">IVA!BH185+IVA!BI185+IVA!BJ185</f>
        <v>934225.115953921</v>
      </c>
      <c r="CM131" s="377" t="n">
        <f aca="false">IVA!BI185+IVA!BJ185+IVA!BK185</f>
        <v>1020034.22371782</v>
      </c>
      <c r="CN131" s="378" t="n">
        <f aca="false">IVA!BJ185+IVA!BK185+IVA!BL185</f>
        <v>1011568.1249216</v>
      </c>
      <c r="EJ131" s="31" t="n">
        <v>2079</v>
      </c>
      <c r="EK131" s="32" t="n">
        <v>19269.874</v>
      </c>
      <c r="EL131" s="33" t="n">
        <v>17694.348</v>
      </c>
    </row>
    <row r="132" customFormat="false" ht="12.75" hidden="false" customHeight="true" outlineLevel="0" collapsed="false">
      <c r="AA132" s="404" t="n">
        <v>2000</v>
      </c>
      <c r="AB132" s="404" t="s">
        <v>567</v>
      </c>
      <c r="AC132" s="405"/>
      <c r="AD132" s="406"/>
      <c r="AE132" s="407" t="n">
        <v>161086.20055</v>
      </c>
      <c r="AF132" s="408" t="n">
        <v>198917.21423</v>
      </c>
      <c r="AG132" s="407" t="n">
        <v>181194.23008</v>
      </c>
      <c r="AH132" s="407" t="n">
        <v>199011.51286</v>
      </c>
      <c r="AI132" s="407" t="n">
        <v>162268.8907</v>
      </c>
      <c r="AJ132" s="407" t="n">
        <v>178058.47805</v>
      </c>
      <c r="AK132" s="407" t="n">
        <v>171152.9386</v>
      </c>
      <c r="AL132" s="407" t="n">
        <v>172232.994</v>
      </c>
      <c r="AM132" s="407" t="n">
        <v>198705.165</v>
      </c>
      <c r="AN132" s="407" t="n">
        <v>172177.7926</v>
      </c>
      <c r="AO132" s="407" t="n">
        <v>161892.07263</v>
      </c>
      <c r="AP132" s="407" t="n">
        <v>196917.46465</v>
      </c>
      <c r="AQ132" s="155" t="n">
        <f aca="false">IVA!AE132+IVA!AF132+IVA!AG132</f>
        <v>541197.64486</v>
      </c>
      <c r="AR132" s="155" t="n">
        <f aca="false">IVA!AH132+IVA!AI132+IVA!AJ132</f>
        <v>539338.88161</v>
      </c>
      <c r="AS132" s="155" t="n">
        <f aca="false">IVA!AK132+IVA!AL132+IVA!AM132</f>
        <v>542091.0976</v>
      </c>
      <c r="AT132" s="155" t="n">
        <f aca="false">IVA!AN132+IVA!AO132+IVA!AP132</f>
        <v>530987.32988</v>
      </c>
      <c r="AU132" s="409" t="n">
        <f aca="false">IVA!AQ132+IVA!AR132+IVA!AS132+IVA!AT132</f>
        <v>2153614.95395</v>
      </c>
      <c r="AV132" s="130" t="n">
        <f aca="false">IVA!AQ132/IVA!CJ9</f>
        <v>0.00200114495000813</v>
      </c>
      <c r="AW132" s="130" t="n">
        <f aca="false">IVA!AR132/IVA!CK9</f>
        <v>0.0018483422438649</v>
      </c>
      <c r="AX132" s="130" t="n">
        <f aca="false">IVA!AS132/IVA!CL9</f>
        <v>0.00188556283179256</v>
      </c>
      <c r="AY132" s="130" t="n">
        <f aca="false">IVA!AT132/IVA!CM9</f>
        <v>0.00184962086055185</v>
      </c>
      <c r="AZ132" s="271" t="n">
        <f aca="false">IVA!AU132/IVA!CN9</f>
        <v>0.00757771505450139</v>
      </c>
      <c r="BA132" s="266" t="n">
        <v>1999</v>
      </c>
      <c r="BB132" s="414" t="s">
        <v>568</v>
      </c>
      <c r="BC132" s="415"/>
      <c r="BD132" s="415"/>
      <c r="BE132" s="415"/>
      <c r="BF132" s="416" t="n">
        <v>8507.592</v>
      </c>
      <c r="BG132" s="416" t="n">
        <v>7788.936</v>
      </c>
      <c r="BH132" s="416" t="n">
        <v>7336.356</v>
      </c>
      <c r="BI132" s="416" t="n">
        <v>6368.952</v>
      </c>
      <c r="BJ132" s="416" t="n">
        <v>9134.82</v>
      </c>
      <c r="BK132" s="416" t="n">
        <v>7047.252</v>
      </c>
      <c r="BL132" s="416" t="n">
        <v>8432.808</v>
      </c>
      <c r="BM132" s="416" t="n">
        <v>8159.892</v>
      </c>
      <c r="BN132" s="416" t="n">
        <v>9179.28</v>
      </c>
      <c r="BO132" s="416" t="n">
        <v>7716.888</v>
      </c>
      <c r="BP132" s="416" t="n">
        <v>8482.74</v>
      </c>
      <c r="BQ132" s="417" t="n">
        <v>7455.828</v>
      </c>
      <c r="BR132" s="175" t="n">
        <f aca="false">IVA!BF132+IVA!BG132+IVA!BH132</f>
        <v>23632.884</v>
      </c>
      <c r="BS132" s="175" t="n">
        <f aca="false">IVA!BI132+IVA!BJ132+IVA!BK132</f>
        <v>22551.024</v>
      </c>
      <c r="BT132" s="175" t="n">
        <f aca="false">IVA!BL132+IVA!BM132+IVA!BN132</f>
        <v>25771.98</v>
      </c>
      <c r="BU132" s="176" t="n">
        <f aca="false">IVA!BO132+IVA!BP132+IVA!BQ132</f>
        <v>23655.456</v>
      </c>
      <c r="BV132" s="137" t="n">
        <f aca="false">IVA!BR132+IVA!BS132+IVA!BT132+IVA!BU132</f>
        <v>95611.344</v>
      </c>
      <c r="BW132" s="138" t="n">
        <f aca="false">IVA!BR132/IVA!CJ8</f>
        <v>8.72880264159027E-005</v>
      </c>
      <c r="BX132" s="139" t="n">
        <f aca="false">IVA!BS132/IVA!CK8</f>
        <v>7.80771915940206E-005</v>
      </c>
      <c r="BY132" s="138" t="n">
        <f aca="false">IVA!BT132/IVA!CL8</f>
        <v>9.04003973042444E-005</v>
      </c>
      <c r="BZ132" s="138" t="n">
        <f aca="false">IVA!BU132/IVA!CM8</f>
        <v>8.17315126610421E-005</v>
      </c>
      <c r="CA132" s="273" t="n">
        <f aca="false">IVA!BV132/IVA!CN8</f>
        <v>0.000337226030738572</v>
      </c>
      <c r="CI132" s="53" t="n">
        <v>2002</v>
      </c>
      <c r="CJ132" s="377" t="n">
        <f aca="false">IVA!BF186+IVA!BG186+IVA!BH186</f>
        <v>669995.413865198</v>
      </c>
      <c r="CK132" s="377" t="n">
        <f aca="false">IVA!BG186+IVA!BH186+IVA!BI186</f>
        <v>626815.123261681</v>
      </c>
      <c r="CL132" s="377" t="n">
        <f aca="false">IVA!BH186+IVA!BI186+IVA!BJ186</f>
        <v>750969.584066</v>
      </c>
      <c r="CM132" s="377" t="n">
        <f aca="false">IVA!BI186+IVA!BJ186+IVA!BK186</f>
        <v>840176.305249299</v>
      </c>
      <c r="CN132" s="378" t="n">
        <f aca="false">IVA!BJ186+IVA!BK186+IVA!BL186</f>
        <v>955921.26537098</v>
      </c>
      <c r="EJ132" s="31" t="n">
        <v>2080</v>
      </c>
      <c r="EK132" s="32" t="n">
        <v>19375.029</v>
      </c>
      <c r="EL132" s="33" t="n">
        <v>17805.099</v>
      </c>
    </row>
    <row r="133" customFormat="false" ht="12.75" hidden="false" customHeight="true" outlineLevel="0" collapsed="false">
      <c r="AA133" s="404" t="n">
        <v>2001</v>
      </c>
      <c r="AB133" s="404" t="s">
        <v>567</v>
      </c>
      <c r="AC133" s="405"/>
      <c r="AD133" s="406"/>
      <c r="AE133" s="407" t="n">
        <v>135348.76619</v>
      </c>
      <c r="AF133" s="408" t="n">
        <v>179894.98317</v>
      </c>
      <c r="AG133" s="407" t="n">
        <v>171768.95062</v>
      </c>
      <c r="AH133" s="407" t="n">
        <v>162569.13803</v>
      </c>
      <c r="AI133" s="407" t="n">
        <v>161931.24605</v>
      </c>
      <c r="AJ133" s="407" t="n">
        <v>132447.36613</v>
      </c>
      <c r="AK133" s="407" t="n">
        <v>138218.42764</v>
      </c>
      <c r="AL133" s="407" t="n">
        <v>151187.20162</v>
      </c>
      <c r="AM133" s="407" t="n">
        <v>155072.84972</v>
      </c>
      <c r="AN133" s="407" t="n">
        <v>144783.011</v>
      </c>
      <c r="AO133" s="407" t="n">
        <v>153528.38919</v>
      </c>
      <c r="AP133" s="407" t="n">
        <v>134081.78857</v>
      </c>
      <c r="AQ133" s="155" t="n">
        <f aca="false">IVA!AE133+IVA!AF133+IVA!AG133</f>
        <v>487012.69998</v>
      </c>
      <c r="AR133" s="155" t="n">
        <f aca="false">IVA!AH133+IVA!AI133+IVA!AJ133</f>
        <v>456947.75021</v>
      </c>
      <c r="AS133" s="155" t="n">
        <f aca="false">IVA!AK133+IVA!AL133+IVA!AM133</f>
        <v>444478.47898</v>
      </c>
      <c r="AT133" s="155" t="n">
        <f aca="false">IVA!AN133+IVA!AO133+IVA!AP133</f>
        <v>432393.18876</v>
      </c>
      <c r="AU133" s="409" t="n">
        <f aca="false">IVA!AQ133+IVA!AR133+IVA!AS133+IVA!AT133</f>
        <v>1820832.11793</v>
      </c>
      <c r="AV133" s="130" t="n">
        <f aca="false">IVA!AQ133/IVA!CJ10</f>
        <v>0.00184943170374927</v>
      </c>
      <c r="AW133" s="130" t="n">
        <f aca="false">IVA!AR133/IVA!CK10</f>
        <v>0.00158648049432822</v>
      </c>
      <c r="AX133" s="130" t="n">
        <f aca="false">IVA!AS133/IVA!CL10</f>
        <v>0.00163792247034339</v>
      </c>
      <c r="AY133" s="130" t="n">
        <f aca="false">IVA!AT133/IVA!CM10</f>
        <v>0.00171541751177996</v>
      </c>
      <c r="AZ133" s="271" t="n">
        <f aca="false">IVA!AU133/IVA!CN10</f>
        <v>0.00677653301311154</v>
      </c>
      <c r="BA133" s="266" t="n">
        <v>2000</v>
      </c>
      <c r="BB133" s="414" t="s">
        <v>568</v>
      </c>
      <c r="BC133" s="415"/>
      <c r="BD133" s="415"/>
      <c r="BE133" s="415"/>
      <c r="BF133" s="416" t="n">
        <v>9055.73067144</v>
      </c>
      <c r="BG133" s="416" t="n">
        <v>7820.97332652</v>
      </c>
      <c r="BH133" s="416" t="n">
        <v>10081.55711556</v>
      </c>
      <c r="BI133" s="416" t="n">
        <v>9643.61551812</v>
      </c>
      <c r="BJ133" s="416" t="n">
        <v>6922.3460532</v>
      </c>
      <c r="BK133" s="416" t="n">
        <v>8537.22202044</v>
      </c>
      <c r="BL133" s="416" t="n">
        <v>7866.1713192</v>
      </c>
      <c r="BM133" s="416" t="n">
        <v>9409.6087008</v>
      </c>
      <c r="BN133" s="416" t="n">
        <v>8291.6453568</v>
      </c>
      <c r="BO133" s="416" t="n">
        <v>9879.9634668</v>
      </c>
      <c r="BP133" s="416" t="n">
        <v>7828.77784632</v>
      </c>
      <c r="BQ133" s="417" t="n">
        <v>8616.81123216</v>
      </c>
      <c r="BR133" s="175" t="n">
        <f aca="false">IVA!BF133+IVA!BG133+IVA!BH133</f>
        <v>26958.26111352</v>
      </c>
      <c r="BS133" s="175" t="n">
        <f aca="false">IVA!BI133+IVA!BJ133+IVA!BK133</f>
        <v>25103.18359176</v>
      </c>
      <c r="BT133" s="175" t="n">
        <f aca="false">IVA!BL133+IVA!BM133+IVA!BN133</f>
        <v>25567.4253768</v>
      </c>
      <c r="BU133" s="176" t="n">
        <f aca="false">IVA!BO133+IVA!BP133+IVA!BQ133</f>
        <v>26325.55254528</v>
      </c>
      <c r="BV133" s="137" t="n">
        <f aca="false">IVA!BR133+IVA!BS133+IVA!BT133+IVA!BU133</f>
        <v>103954.42262736</v>
      </c>
      <c r="BW133" s="138" t="n">
        <f aca="false">IVA!BR133/IVA!CJ9</f>
        <v>9.96814908577007E-005</v>
      </c>
      <c r="BX133" s="139" t="n">
        <f aca="false">IVA!BS133/IVA!CK9</f>
        <v>8.60299085977968E-005</v>
      </c>
      <c r="BY133" s="138" t="n">
        <f aca="false">IVA!BT133/IVA!CL9</f>
        <v>8.89315231490787E-005</v>
      </c>
      <c r="BZ133" s="138" t="n">
        <f aca="false">IVA!BU133/IVA!CM9</f>
        <v>9.17014181191631E-005</v>
      </c>
      <c r="CA133" s="273" t="n">
        <f aca="false">IVA!BV133/IVA!CN9</f>
        <v>0.00036577429585569</v>
      </c>
      <c r="CI133" s="53" t="n">
        <v>2003</v>
      </c>
      <c r="CJ133" s="377" t="n">
        <f aca="false">IVA!BF187+IVA!BG187+IVA!BH187</f>
        <v>1011330.0753159</v>
      </c>
      <c r="CK133" s="377" t="n">
        <f aca="false">IVA!BG187+IVA!BH187+IVA!BI187</f>
        <v>992649.273621492</v>
      </c>
      <c r="CL133" s="377" t="n">
        <f aca="false">IVA!BH187+IVA!BI187+IVA!BJ187</f>
        <v>1169909.19781843</v>
      </c>
      <c r="CM133" s="377" t="n">
        <f aca="false">IVA!BI187+IVA!BJ187+IVA!BK187</f>
        <v>1282457.4487678</v>
      </c>
      <c r="CN133" s="378" t="n">
        <f aca="false">IVA!BJ187+IVA!BK187+IVA!BL187</f>
        <v>1336403.68195881</v>
      </c>
      <c r="EJ133" s="31" t="n">
        <v>2081</v>
      </c>
      <c r="EK133" s="32" t="n">
        <v>19454.488</v>
      </c>
      <c r="EL133" s="33" t="n">
        <v>17890.817</v>
      </c>
    </row>
    <row r="134" customFormat="false" ht="12.75" hidden="false" customHeight="true" outlineLevel="0" collapsed="false">
      <c r="AA134" s="404" t="n">
        <v>2002</v>
      </c>
      <c r="AB134" s="404" t="s">
        <v>567</v>
      </c>
      <c r="AC134" s="405"/>
      <c r="AD134" s="406"/>
      <c r="AE134" s="407" t="n">
        <v>131568.77134</v>
      </c>
      <c r="AF134" s="408" t="n">
        <v>142488.43087</v>
      </c>
      <c r="AG134" s="407" t="n">
        <v>123083.36543</v>
      </c>
      <c r="AH134" s="407" t="n">
        <v>107579.05452</v>
      </c>
      <c r="AI134" s="407" t="n">
        <v>148699.03294</v>
      </c>
      <c r="AJ134" s="407" t="n">
        <v>130024.47144</v>
      </c>
      <c r="AK134" s="407" t="n">
        <v>147821.95089</v>
      </c>
      <c r="AL134" s="407" t="n">
        <v>179097.21404</v>
      </c>
      <c r="AM134" s="407" t="n">
        <v>142893.56492</v>
      </c>
      <c r="AN134" s="407" t="n">
        <v>153502.92101</v>
      </c>
      <c r="AO134" s="407" t="n">
        <v>118486.06577</v>
      </c>
      <c r="AP134" s="407" t="n">
        <v>153233.15821</v>
      </c>
      <c r="AQ134" s="155" t="n">
        <f aca="false">IVA!AE134+IVA!AF134+IVA!AG134</f>
        <v>397140.56764</v>
      </c>
      <c r="AR134" s="155" t="n">
        <f aca="false">IVA!AH134+IVA!AI134+IVA!AJ134</f>
        <v>386302.5589</v>
      </c>
      <c r="AS134" s="155" t="n">
        <f aca="false">IVA!AK134+IVA!AL134+IVA!AM134</f>
        <v>469812.72985</v>
      </c>
      <c r="AT134" s="155" t="n">
        <f aca="false">IVA!AN134+IVA!AO134+IVA!AP134</f>
        <v>425222.14499</v>
      </c>
      <c r="AU134" s="409" t="n">
        <f aca="false">IVA!AQ134+IVA!AR134+IVA!AS134+IVA!AT134</f>
        <v>1678478.00138</v>
      </c>
      <c r="AV134" s="130" t="n">
        <f aca="false">IVA!AQ134/IVA!CJ11</f>
        <v>0.00167529567842333</v>
      </c>
      <c r="AW134" s="130" t="n">
        <f aca="false">IVA!AR134/IVA!CK11</f>
        <v>0.00113950800301033</v>
      </c>
      <c r="AX134" s="130" t="n">
        <f aca="false">IVA!AS134/IVA!CL11</f>
        <v>0.00140659869923919</v>
      </c>
      <c r="AY134" s="130" t="n">
        <f aca="false">IVA!AT134/IVA!CM11</f>
        <v>0.0012497365644615</v>
      </c>
      <c r="AZ134" s="271" t="n">
        <f aca="false">IVA!AU134/IVA!CN11</f>
        <v>0.0053697524757996</v>
      </c>
      <c r="BA134" s="266" t="n">
        <v>2001</v>
      </c>
      <c r="BB134" s="414" t="s">
        <v>568</v>
      </c>
      <c r="BC134" s="415"/>
      <c r="BD134" s="415"/>
      <c r="BE134" s="415"/>
      <c r="BF134" s="416" t="n">
        <v>9164.1239166</v>
      </c>
      <c r="BG134" s="416" t="n">
        <v>7867.73155056</v>
      </c>
      <c r="BH134" s="416" t="n">
        <v>8214.81743484</v>
      </c>
      <c r="BI134" s="416" t="n">
        <v>7099.56085668</v>
      </c>
      <c r="BJ134" s="416" t="n">
        <v>7291.50666036</v>
      </c>
      <c r="BK134" s="416" t="n">
        <v>7937.79182148</v>
      </c>
      <c r="BL134" s="416" t="n">
        <v>6974.2583016</v>
      </c>
      <c r="BM134" s="416" t="n">
        <v>6890.08608696</v>
      </c>
      <c r="BN134" s="416" t="n">
        <v>6698.27440428</v>
      </c>
      <c r="BO134" s="416" t="n">
        <v>5344.75774404</v>
      </c>
      <c r="BP134" s="416" t="n">
        <v>8201.3303958</v>
      </c>
      <c r="BQ134" s="417" t="n">
        <v>3318.40767564</v>
      </c>
      <c r="BR134" s="175" t="n">
        <f aca="false">IVA!BF134+IVA!BG134+IVA!BH134</f>
        <v>25246.672902</v>
      </c>
      <c r="BS134" s="175" t="n">
        <f aca="false">IVA!BI134+IVA!BJ134+IVA!BK134</f>
        <v>22328.85933852</v>
      </c>
      <c r="BT134" s="175" t="n">
        <f aca="false">IVA!BL134+IVA!BM134+IVA!BN134</f>
        <v>20562.61879284</v>
      </c>
      <c r="BU134" s="176" t="n">
        <f aca="false">IVA!BO134+IVA!BP134+IVA!BQ134</f>
        <v>16864.49581548</v>
      </c>
      <c r="BV134" s="137" t="n">
        <f aca="false">IVA!BR134+IVA!BS134+IVA!BT134+IVA!BU134</f>
        <v>85002.64684884</v>
      </c>
      <c r="BW134" s="138" t="n">
        <f aca="false">IVA!BR134/IVA!CJ10</f>
        <v>9.58742909190335E-005</v>
      </c>
      <c r="BX134" s="139" t="n">
        <f aca="false">IVA!BS134/IVA!CK10</f>
        <v>7.75237426705363E-005</v>
      </c>
      <c r="BY134" s="138" t="n">
        <f aca="false">IVA!BT134/IVA!CL10</f>
        <v>7.57741419723796E-005</v>
      </c>
      <c r="BZ134" s="138" t="n">
        <f aca="false">IVA!BU134/IVA!CM10</f>
        <v>6.6905890752298E-005</v>
      </c>
      <c r="CA134" s="273" t="n">
        <f aca="false">IVA!BV134/IVA!CN10</f>
        <v>0.000316351648732929</v>
      </c>
      <c r="CI134" s="53" t="n">
        <v>2004</v>
      </c>
      <c r="CJ134" s="377" t="n">
        <f aca="false">IVA!BF188+IVA!BG188+IVA!BH188</f>
        <v>1481666.68037576</v>
      </c>
      <c r="CK134" s="377" t="n">
        <f aca="false">IVA!BG188+IVA!BH188+IVA!BI188</f>
        <v>1437101.69294772</v>
      </c>
      <c r="CL134" s="377" t="n">
        <f aca="false">IVA!BH188+IVA!BI188+IVA!BJ188</f>
        <v>1907226.68296694</v>
      </c>
      <c r="CM134" s="377" t="n">
        <f aca="false">IVA!BI188+IVA!BJ188+IVA!BK188</f>
        <v>2163423.5377503</v>
      </c>
      <c r="CN134" s="378" t="n">
        <f aca="false">IVA!BJ188+IVA!BK188+IVA!BL188</f>
        <v>2283372.96026353</v>
      </c>
      <c r="CP134" s="418"/>
      <c r="EJ134" s="31" t="n">
        <v>2082</v>
      </c>
      <c r="EK134" s="32" t="n">
        <v>19532.496</v>
      </c>
      <c r="EL134" s="33" t="n">
        <v>17975.609</v>
      </c>
    </row>
    <row r="135" customFormat="false" ht="12.75" hidden="false" customHeight="true" outlineLevel="0" collapsed="false">
      <c r="AA135" s="404" t="n">
        <v>2003</v>
      </c>
      <c r="AB135" s="404" t="s">
        <v>567</v>
      </c>
      <c r="AC135" s="405"/>
      <c r="AD135" s="406"/>
      <c r="AE135" s="407" t="n">
        <v>123266.71459</v>
      </c>
      <c r="AF135" s="408" t="n">
        <v>161096.60114</v>
      </c>
      <c r="AG135" s="407" t="n">
        <v>155708.49701</v>
      </c>
      <c r="AH135" s="407" t="n">
        <v>126812.14303</v>
      </c>
      <c r="AI135" s="407" t="n">
        <v>114444.20982</v>
      </c>
      <c r="AJ135" s="407" t="n">
        <v>147513.13979</v>
      </c>
      <c r="AK135" s="407" t="n">
        <v>118523.65605</v>
      </c>
      <c r="AL135" s="407" t="n">
        <v>166149.19402</v>
      </c>
      <c r="AM135" s="407" t="n">
        <v>107680.48431</v>
      </c>
      <c r="AN135" s="407" t="n">
        <v>133091.60587</v>
      </c>
      <c r="AO135" s="407" t="n">
        <v>122125.34918</v>
      </c>
      <c r="AP135" s="407" t="n">
        <v>132696.30949</v>
      </c>
      <c r="AQ135" s="155" t="n">
        <f aca="false">IVA!AE135+IVA!AF135+IVA!AG135</f>
        <v>440071.81274</v>
      </c>
      <c r="AR135" s="155" t="n">
        <f aca="false">IVA!AH135+IVA!AI135+IVA!AJ135</f>
        <v>388769.49264</v>
      </c>
      <c r="AS135" s="155" t="n">
        <f aca="false">IVA!AK135+IVA!AL135+IVA!AM135</f>
        <v>392353.33438</v>
      </c>
      <c r="AT135" s="155" t="n">
        <f aca="false">IVA!AN135+IVA!AO135+IVA!AP135</f>
        <v>387913.26454</v>
      </c>
      <c r="AU135" s="409" t="n">
        <f aca="false">IVA!AQ135+IVA!AR135+IVA!AS135+IVA!AT135</f>
        <v>1609107.9043</v>
      </c>
      <c r="AV135" s="130" t="n">
        <f aca="false">IVA!AQ135/IVA!CJ12</f>
        <v>0.00134429717786426</v>
      </c>
      <c r="AW135" s="130" t="n">
        <f aca="false">IVA!AR135/IVA!CK12</f>
        <v>0.000974069517421454</v>
      </c>
      <c r="AX135" s="130" t="n">
        <f aca="false">IVA!AS135/IVA!CL12</f>
        <v>0.00103828150282167</v>
      </c>
      <c r="AY135" s="130" t="n">
        <f aca="false">IVA!AT135/IVA!CM12</f>
        <v>0.000971557227232398</v>
      </c>
      <c r="AZ135" s="271" t="n">
        <f aca="false">IVA!AU135/IVA!CN12</f>
        <v>0.00428057417437422</v>
      </c>
      <c r="BA135" s="266" t="n">
        <v>2002</v>
      </c>
      <c r="BB135" s="414" t="s">
        <v>568</v>
      </c>
      <c r="BC135" s="415"/>
      <c r="BD135" s="415"/>
      <c r="BE135" s="415"/>
      <c r="BF135" s="416" t="n">
        <v>9180.61872252</v>
      </c>
      <c r="BG135" s="416" t="n">
        <v>6933.8773242</v>
      </c>
      <c r="BH135" s="416" t="n">
        <v>6303.05058588</v>
      </c>
      <c r="BI135" s="416" t="n">
        <v>5602.52160276</v>
      </c>
      <c r="BJ135" s="416" t="n">
        <v>11273.86025172</v>
      </c>
      <c r="BK135" s="416" t="n">
        <v>7031.67523152</v>
      </c>
      <c r="BL135" s="416" t="n">
        <v>7635.95043048</v>
      </c>
      <c r="BM135" s="416" t="n">
        <v>7635.91630344</v>
      </c>
      <c r="BN135" s="416" t="n">
        <v>6808.9793346</v>
      </c>
      <c r="BO135" s="416" t="n">
        <v>5964.00871944</v>
      </c>
      <c r="BP135" s="416" t="n">
        <v>6235.74907164</v>
      </c>
      <c r="BQ135" s="417" t="n">
        <v>6488.52968712</v>
      </c>
      <c r="BR135" s="175" t="n">
        <f aca="false">IVA!BF135+IVA!BG135+IVA!BH135</f>
        <v>22417.5466326</v>
      </c>
      <c r="BS135" s="175" t="n">
        <f aca="false">IVA!BI135+IVA!BJ135+IVA!BK135</f>
        <v>23908.057086</v>
      </c>
      <c r="BT135" s="175" t="n">
        <f aca="false">IVA!BL135+IVA!BM135+IVA!BN135</f>
        <v>22080.84606852</v>
      </c>
      <c r="BU135" s="176" t="n">
        <f aca="false">IVA!BO135+IVA!BP135+IVA!BQ135</f>
        <v>18688.2874782</v>
      </c>
      <c r="BV135" s="137" t="n">
        <f aca="false">IVA!BR135+IVA!BS135+IVA!BT135+IVA!BU135</f>
        <v>87094.73726532</v>
      </c>
      <c r="BW135" s="138" t="n">
        <f aca="false">IVA!BR135/IVA!CJ11</f>
        <v>9.45660606208633E-005</v>
      </c>
      <c r="BX135" s="139" t="n">
        <f aca="false">IVA!BS135/IVA!CK11</f>
        <v>7.05235359131473E-005</v>
      </c>
      <c r="BY135" s="138" t="n">
        <f aca="false">IVA!BT135/IVA!CL11</f>
        <v>6.61090842898134E-005</v>
      </c>
      <c r="BZ135" s="138" t="n">
        <f aca="false">IVA!BU135/IVA!CM11</f>
        <v>5.4925258394583E-005</v>
      </c>
      <c r="CA135" s="273" t="n">
        <f aca="false">IVA!BV135/IVA!CN11</f>
        <v>0.000278631701264512</v>
      </c>
      <c r="CI135" s="53" t="n">
        <v>2005</v>
      </c>
      <c r="CJ135" s="377" t="n">
        <f aca="false">IVA!BF189+IVA!BG189+IVA!BH189</f>
        <v>1868108.28574391</v>
      </c>
      <c r="CK135" s="377" t="n">
        <f aca="false">IVA!BG189+IVA!BH189+IVA!BI189</f>
        <v>1897618.29598933</v>
      </c>
      <c r="CL135" s="377" t="n">
        <f aca="false">IVA!BH189+IVA!BI189+IVA!BJ189</f>
        <v>2166617.92086596</v>
      </c>
      <c r="CM135" s="377" t="n">
        <f aca="false">IVA!BI189+IVA!BJ189+IVA!BK189</f>
        <v>2387471.74330104</v>
      </c>
      <c r="CN135" s="378" t="n">
        <f aca="false">IVA!BJ189+IVA!BK189+IVA!BL189</f>
        <v>2396642.66541223</v>
      </c>
      <c r="CP135" s="418"/>
      <c r="EJ135" s="31" t="n">
        <v>2083</v>
      </c>
      <c r="EK135" s="32" t="n">
        <v>19610.259</v>
      </c>
      <c r="EL135" s="33" t="n">
        <v>18060.605</v>
      </c>
    </row>
    <row r="136" customFormat="false" ht="12.75" hidden="false" customHeight="true" outlineLevel="0" collapsed="false">
      <c r="AA136" s="404" t="n">
        <v>2004</v>
      </c>
      <c r="AB136" s="404" t="s">
        <v>567</v>
      </c>
      <c r="AC136" s="405"/>
      <c r="AD136" s="406"/>
      <c r="AE136" s="407" t="n">
        <v>101133.11747</v>
      </c>
      <c r="AF136" s="408" t="n">
        <v>155166.73914</v>
      </c>
      <c r="AG136" s="407" t="n">
        <v>175910.04009</v>
      </c>
      <c r="AH136" s="407" t="n">
        <v>128152.84766</v>
      </c>
      <c r="AI136" s="407" t="n">
        <v>136887.98318</v>
      </c>
      <c r="AJ136" s="407" t="n">
        <v>127368.80445</v>
      </c>
      <c r="AK136" s="407" t="n">
        <v>121098.1362</v>
      </c>
      <c r="AL136" s="407" t="n">
        <v>133378.68569</v>
      </c>
      <c r="AM136" s="407" t="n">
        <v>165539.45931</v>
      </c>
      <c r="AN136" s="407" t="n">
        <v>122466.06764</v>
      </c>
      <c r="AO136" s="407" t="n">
        <v>151470.62967</v>
      </c>
      <c r="AP136" s="407" t="n">
        <v>134086.26961</v>
      </c>
      <c r="AQ136" s="155" t="n">
        <f aca="false">IVA!AE136+IVA!AF136+IVA!AG136</f>
        <v>432209.8967</v>
      </c>
      <c r="AR136" s="155" t="n">
        <f aca="false">IVA!AH136+IVA!AI136+IVA!AJ136</f>
        <v>392409.63529</v>
      </c>
      <c r="AS136" s="155" t="n">
        <f aca="false">IVA!AK136+IVA!AL136+IVA!AM136</f>
        <v>420016.2812</v>
      </c>
      <c r="AT136" s="155" t="n">
        <f aca="false">IVA!AN136+IVA!AO136+IVA!AP136</f>
        <v>408022.96692</v>
      </c>
      <c r="AU136" s="409" t="n">
        <f aca="false">IVA!AQ136+IVA!AR136+IVA!AS136+IVA!AT136</f>
        <v>1652658.78011</v>
      </c>
      <c r="AV136" s="130" t="n">
        <f aca="false">IVA!AQ136/IVA!CJ13</f>
        <v>0.00110028307507058</v>
      </c>
      <c r="AW136" s="130" t="n">
        <f aca="false">IVA!AR136/IVA!CK13</f>
        <v>0.0008274964394439</v>
      </c>
      <c r="AX136" s="130" t="n">
        <f aca="false">IVA!AS136/IVA!CL13</f>
        <v>0.000929075812947572</v>
      </c>
      <c r="AY136" s="130" t="n">
        <f aca="false">IVA!AT136/IVA!CM13</f>
        <v>0.000865439089369463</v>
      </c>
      <c r="AZ136" s="271" t="n">
        <f aca="false">IVA!AU136/IVA!CN13</f>
        <v>0.00369190897362199</v>
      </c>
      <c r="BA136" s="266" t="n">
        <v>2003</v>
      </c>
      <c r="BB136" s="414" t="s">
        <v>568</v>
      </c>
      <c r="BC136" s="415"/>
      <c r="BD136" s="415"/>
      <c r="BE136" s="415"/>
      <c r="BF136" s="416" t="n">
        <v>7684.61757768</v>
      </c>
      <c r="BG136" s="416" t="n">
        <v>6262.84252824</v>
      </c>
      <c r="BH136" s="416" t="n">
        <v>6074.44658196</v>
      </c>
      <c r="BI136" s="416" t="n">
        <v>7655.17119984</v>
      </c>
      <c r="BJ136" s="416" t="n">
        <v>7125.6306366</v>
      </c>
      <c r="BK136" s="416" t="n">
        <v>6388.5071382</v>
      </c>
      <c r="BL136" s="416" t="n">
        <v>7554.0228804</v>
      </c>
      <c r="BM136" s="416" t="n">
        <v>6307.40262024</v>
      </c>
      <c r="BN136" s="416" t="n">
        <v>7625.54627292</v>
      </c>
      <c r="BO136" s="416" t="n">
        <v>6979.05436596</v>
      </c>
      <c r="BP136" s="416" t="n">
        <v>7495.44914916</v>
      </c>
      <c r="BQ136" s="417" t="n">
        <v>8532.86476716</v>
      </c>
      <c r="BR136" s="175" t="n">
        <f aca="false">IVA!BF136+IVA!BG136+IVA!BH136</f>
        <v>20021.90668788</v>
      </c>
      <c r="BS136" s="175" t="n">
        <f aca="false">IVA!BI136+IVA!BJ136+IVA!BK136</f>
        <v>21169.30897464</v>
      </c>
      <c r="BT136" s="175" t="n">
        <f aca="false">IVA!BL136+IVA!BM136+IVA!BN136</f>
        <v>21486.97177356</v>
      </c>
      <c r="BU136" s="176" t="n">
        <f aca="false">IVA!BO136+IVA!BP136+IVA!BQ136</f>
        <v>23007.36828228</v>
      </c>
      <c r="BV136" s="137" t="n">
        <f aca="false">IVA!BR136+IVA!BS136+IVA!BT136+IVA!BU136</f>
        <v>85685.55571836</v>
      </c>
      <c r="BW136" s="138" t="n">
        <f aca="false">IVA!BR136/IVA!CJ12</f>
        <v>6.11613647518038E-005</v>
      </c>
      <c r="BX136" s="139" t="n">
        <f aca="false">IVA!BS136/IVA!CK12</f>
        <v>5.30401149458702E-005</v>
      </c>
      <c r="BY136" s="138" t="n">
        <f aca="false">IVA!BT136/IVA!CL12</f>
        <v>5.68608022138831E-005</v>
      </c>
      <c r="BZ136" s="138" t="n">
        <f aca="false">IVA!BU136/IVA!CM12</f>
        <v>5.7623641616776E-005</v>
      </c>
      <c r="CA136" s="273" t="n">
        <f aca="false">IVA!BV136/IVA!CN12</f>
        <v>0.000227942064012465</v>
      </c>
      <c r="CI136" s="53" t="n">
        <v>2006</v>
      </c>
      <c r="CJ136" s="377" t="n">
        <f aca="false">IVA!BF190+IVA!BG190+IVA!BH190</f>
        <v>2342233.2408672</v>
      </c>
      <c r="CK136" s="377" t="n">
        <f aca="false">IVA!BG190+IVA!BH190+IVA!BI190</f>
        <v>2233987.47813335</v>
      </c>
      <c r="CL136" s="377" t="n">
        <f aca="false">IVA!BH190+IVA!BI190+IVA!BJ190</f>
        <v>2487530.01273105</v>
      </c>
      <c r="CM136" s="377" t="n">
        <f aca="false">IVA!BI190+IVA!BJ190+IVA!BK190</f>
        <v>2768203.94383857</v>
      </c>
      <c r="CN136" s="378" t="n">
        <f aca="false">IVA!BJ190+IVA!BK190+IVA!BL190</f>
        <v>2917382.87557724</v>
      </c>
      <c r="CP136" s="418"/>
      <c r="EJ136" s="31" t="n">
        <v>2084</v>
      </c>
      <c r="EK136" s="32" t="n">
        <v>19688.407</v>
      </c>
      <c r="EL136" s="33" t="n">
        <v>18146.299</v>
      </c>
    </row>
    <row r="137" customFormat="false" ht="12.75" hidden="false" customHeight="true" outlineLevel="0" collapsed="false">
      <c r="AA137" s="404" t="n">
        <v>2005</v>
      </c>
      <c r="AB137" s="404" t="s">
        <v>567</v>
      </c>
      <c r="AC137" s="405"/>
      <c r="AD137" s="406"/>
      <c r="AE137" s="407" t="n">
        <v>129862.34425</v>
      </c>
      <c r="AF137" s="408" t="n">
        <v>199065.58659</v>
      </c>
      <c r="AG137" s="407" t="n">
        <v>137249.22286</v>
      </c>
      <c r="AH137" s="407" t="n">
        <v>90520.50799</v>
      </c>
      <c r="AI137" s="407" t="n">
        <v>151719.8528</v>
      </c>
      <c r="AJ137" s="407" t="n">
        <v>144389.12723</v>
      </c>
      <c r="AK137" s="407" t="n">
        <v>131662.14336</v>
      </c>
      <c r="AL137" s="407" t="n">
        <v>134496.12736</v>
      </c>
      <c r="AM137" s="407" t="n">
        <v>136117.69051</v>
      </c>
      <c r="AN137" s="407" t="n">
        <v>179696.25785</v>
      </c>
      <c r="AO137" s="407" t="n">
        <v>144529.41655</v>
      </c>
      <c r="AP137" s="407" t="n">
        <v>189728.15778</v>
      </c>
      <c r="AQ137" s="155" t="n">
        <f aca="false">IVA!AE137+IVA!AF137+IVA!AG137</f>
        <v>466177.1537</v>
      </c>
      <c r="AR137" s="155" t="n">
        <f aca="false">IVA!AH137+IVA!AI137+IVA!AJ137</f>
        <v>386629.48802</v>
      </c>
      <c r="AS137" s="155" t="n">
        <f aca="false">IVA!AK137+IVA!AL137+IVA!AM137</f>
        <v>402275.96123</v>
      </c>
      <c r="AT137" s="155" t="n">
        <f aca="false">IVA!AN137+IVA!AO137+IVA!AP137</f>
        <v>513953.83218</v>
      </c>
      <c r="AU137" s="409" t="n">
        <f aca="false">IVA!AQ137+IVA!AR137+IVA!AS137+IVA!AT137</f>
        <v>1769036.43513</v>
      </c>
      <c r="AV137" s="130" t="n">
        <f aca="false">IVA!AQ137/IVA!CJ14</f>
        <v>0.00102060835289121</v>
      </c>
      <c r="AW137" s="130" t="n">
        <f aca="false">IVA!AR137/IVA!CK14</f>
        <v>0.000699893570795192</v>
      </c>
      <c r="AX137" s="130" t="n">
        <f aca="false">IVA!AS137/IVA!CL14</f>
        <v>0.000739167844889098</v>
      </c>
      <c r="AY137" s="130" t="n">
        <f aca="false">IVA!AT137/IVA!CM14</f>
        <v>0.000894842516697008</v>
      </c>
      <c r="AZ137" s="271" t="n">
        <f aca="false">IVA!AU137/IVA!CN14</f>
        <v>0.00332563951632057</v>
      </c>
      <c r="BA137" s="266" t="n">
        <v>2004</v>
      </c>
      <c r="BB137" s="414" t="s">
        <v>568</v>
      </c>
      <c r="BC137" s="415"/>
      <c r="BD137" s="415"/>
      <c r="BE137" s="415"/>
      <c r="BF137" s="416" t="n">
        <v>7974.18606384</v>
      </c>
      <c r="BG137" s="416" t="n">
        <v>7278.57411276</v>
      </c>
      <c r="BH137" s="416" t="n">
        <v>7277.58716232</v>
      </c>
      <c r="BI137" s="416" t="n">
        <v>7597.08540456</v>
      </c>
      <c r="BJ137" s="416" t="n">
        <v>7778.2138782</v>
      </c>
      <c r="BK137" s="416" t="n">
        <v>7534.30631136</v>
      </c>
      <c r="BL137" s="416" t="n">
        <v>8058.19271172</v>
      </c>
      <c r="BM137" s="416" t="n">
        <v>8733.40140792</v>
      </c>
      <c r="BN137" s="416" t="n">
        <v>8181.89169036</v>
      </c>
      <c r="BO137" s="416" t="n">
        <v>7657.42342488</v>
      </c>
      <c r="BP137" s="416" t="n">
        <v>8071.9538706</v>
      </c>
      <c r="BQ137" s="417" t="n">
        <v>8645.16751236</v>
      </c>
      <c r="BR137" s="175" t="n">
        <f aca="false">IVA!BF137+IVA!BG137+IVA!BH137</f>
        <v>22530.34733892</v>
      </c>
      <c r="BS137" s="175" t="n">
        <f aca="false">IVA!BI137+IVA!BJ137+IVA!BK137</f>
        <v>22909.60559412</v>
      </c>
      <c r="BT137" s="175" t="n">
        <f aca="false">IVA!BL137+IVA!BM137+IVA!BN137</f>
        <v>24973.48581</v>
      </c>
      <c r="BU137" s="176" t="n">
        <f aca="false">IVA!BO137+IVA!BP137+IVA!BQ137</f>
        <v>24374.54480784</v>
      </c>
      <c r="BV137" s="137" t="n">
        <f aca="false">IVA!BR137+IVA!BS137+IVA!BT137+IVA!BU137</f>
        <v>94787.98355088</v>
      </c>
      <c r="BW137" s="138" t="n">
        <f aca="false">IVA!BR137/IVA!CJ13</f>
        <v>5.73558357681058E-005</v>
      </c>
      <c r="BX137" s="139" t="n">
        <f aca="false">IVA!BS137/IVA!CK13</f>
        <v>4.83107838169882E-005</v>
      </c>
      <c r="BY137" s="138" t="n">
        <f aca="false">IVA!BT137/IVA!CL13</f>
        <v>5.5241338656613E-005</v>
      </c>
      <c r="BZ137" s="138" t="n">
        <f aca="false">IVA!BU137/IVA!CM13</f>
        <v>5.16997462704794E-005</v>
      </c>
      <c r="CA137" s="273" t="n">
        <f aca="false">IVA!BV137/IVA!CN13</f>
        <v>0.000211748856614996</v>
      </c>
      <c r="CI137" s="53" t="n">
        <v>2007</v>
      </c>
      <c r="CJ137" s="377" t="n">
        <f aca="false">IVA!BF191+IVA!BG191+IVA!BH191</f>
        <v>2933075.15770828</v>
      </c>
      <c r="CK137" s="377" t="n">
        <f aca="false">IVA!BG191+IVA!BH191+IVA!BI191</f>
        <v>2811271.78751296</v>
      </c>
      <c r="CL137" s="377" t="n">
        <f aca="false">IVA!BH191+IVA!BI191+IVA!BJ191</f>
        <v>3185197.37582439</v>
      </c>
      <c r="CM137" s="377" t="n">
        <f aca="false">IVA!BI191+IVA!BJ191+IVA!BK191</f>
        <v>3554836.7520001</v>
      </c>
      <c r="CN137" s="378" t="n">
        <f aca="false">IVA!BJ191+IVA!BK191+IVA!BL191</f>
        <v>3846194.78887245</v>
      </c>
      <c r="CP137" s="418"/>
      <c r="EJ137" s="31" t="n">
        <v>2085</v>
      </c>
      <c r="EK137" s="32" t="n">
        <v>19767.972</v>
      </c>
      <c r="EL137" s="33" t="n">
        <v>18233.643</v>
      </c>
    </row>
    <row r="138" customFormat="false" ht="12.75" hidden="false" customHeight="true" outlineLevel="0" collapsed="false">
      <c r="AA138" s="404" t="n">
        <v>2006</v>
      </c>
      <c r="AB138" s="404" t="s">
        <v>567</v>
      </c>
      <c r="AC138" s="405"/>
      <c r="AD138" s="406"/>
      <c r="AE138" s="407" t="n">
        <v>132766.32096</v>
      </c>
      <c r="AF138" s="408" t="n">
        <v>183308.22036</v>
      </c>
      <c r="AG138" s="407" t="n">
        <v>156602.74113</v>
      </c>
      <c r="AH138" s="407" t="n">
        <v>172473.66739</v>
      </c>
      <c r="AI138" s="407" t="n">
        <v>158532.69333</v>
      </c>
      <c r="AJ138" s="407" t="n">
        <v>157744.0494</v>
      </c>
      <c r="AK138" s="407" t="n">
        <v>185156.4544</v>
      </c>
      <c r="AL138" s="407" t="n">
        <v>181061.78449</v>
      </c>
      <c r="AM138" s="407" t="n">
        <v>180848.68547</v>
      </c>
      <c r="AN138" s="407" t="n">
        <v>188448.30807</v>
      </c>
      <c r="AO138" s="407" t="n">
        <v>179517.89047</v>
      </c>
      <c r="AP138" s="407" t="n">
        <v>175332.33358</v>
      </c>
      <c r="AQ138" s="155" t="n">
        <f aca="false">IVA!AE138+IVA!AF138+IVA!AG138</f>
        <v>472677.28245</v>
      </c>
      <c r="AR138" s="155" t="n">
        <f aca="false">IVA!AH138+IVA!AI138+IVA!AJ138</f>
        <v>488750.41012</v>
      </c>
      <c r="AS138" s="155" t="n">
        <f aca="false">IVA!AK138+IVA!AL138+IVA!AM138</f>
        <v>547066.92436</v>
      </c>
      <c r="AT138" s="155" t="n">
        <f aca="false">IVA!AN138+IVA!AO138+IVA!AP138</f>
        <v>543298.53212</v>
      </c>
      <c r="AU138" s="409" t="n">
        <f aca="false">IVA!AQ138+IVA!AR138+IVA!AS138+IVA!AT138</f>
        <v>2051793.14905</v>
      </c>
      <c r="AV138" s="130" t="n">
        <f aca="false">IVA!AQ138/IVA!CJ15</f>
        <v>0.00083218710488139</v>
      </c>
      <c r="AW138" s="130" t="n">
        <f aca="false">IVA!AR138/IVA!CK15</f>
        <v>0.000720574849312398</v>
      </c>
      <c r="AX138" s="130" t="n">
        <f aca="false">IVA!AS138/IVA!CL15</f>
        <v>0.000818720731667751</v>
      </c>
      <c r="AY138" s="130" t="n">
        <f aca="false">IVA!AT138/IVA!CM15</f>
        <v>0.000772514444014815</v>
      </c>
      <c r="AZ138" s="271" t="n">
        <f aca="false">IVA!AU138/IVA!CN15</f>
        <v>0.00313519395283342</v>
      </c>
      <c r="BA138" s="266" t="n">
        <v>2005</v>
      </c>
      <c r="BB138" s="414" t="s">
        <v>568</v>
      </c>
      <c r="BC138" s="415"/>
      <c r="BD138" s="415"/>
      <c r="BE138" s="415"/>
      <c r="BF138" s="416" t="n">
        <v>9936.14159</v>
      </c>
      <c r="BG138" s="416" t="n">
        <v>5546.07523</v>
      </c>
      <c r="BH138" s="416" t="n">
        <v>6595.26321</v>
      </c>
      <c r="BI138" s="416" t="n">
        <v>8979.67947</v>
      </c>
      <c r="BJ138" s="416" t="n">
        <v>9240.8666</v>
      </c>
      <c r="BK138" s="416" t="n">
        <v>9854.55242</v>
      </c>
      <c r="BL138" s="416" t="n">
        <v>10403.32372</v>
      </c>
      <c r="BM138" s="416" t="n">
        <v>9610.33401</v>
      </c>
      <c r="BN138" s="416" t="n">
        <v>11908.4281</v>
      </c>
      <c r="BO138" s="416" t="n">
        <v>10699.06343</v>
      </c>
      <c r="BP138" s="416" t="n">
        <v>10294.92408</v>
      </c>
      <c r="BQ138" s="417" t="n">
        <v>13067.10572</v>
      </c>
      <c r="BR138" s="175" t="n">
        <f aca="false">IVA!BF138+IVA!BG138+IVA!BH138</f>
        <v>22077.48003</v>
      </c>
      <c r="BS138" s="175" t="n">
        <f aca="false">IVA!BI138+IVA!BJ138+IVA!BK138</f>
        <v>28075.09849</v>
      </c>
      <c r="BT138" s="175" t="n">
        <f aca="false">IVA!BL138+IVA!BM138+IVA!BN138</f>
        <v>31922.08583</v>
      </c>
      <c r="BU138" s="176" t="n">
        <f aca="false">IVA!BO138+IVA!BP138+IVA!BQ138</f>
        <v>34061.09323</v>
      </c>
      <c r="BV138" s="137" t="n">
        <f aca="false">IVA!BR138+IVA!BS138+IVA!BT138+IVA!BU138</f>
        <v>116135.75758</v>
      </c>
      <c r="BW138" s="138" t="n">
        <f aca="false">IVA!BR138/IVA!CJ14</f>
        <v>4.83345448196443E-005</v>
      </c>
      <c r="BX138" s="139" t="n">
        <f aca="false">IVA!BS138/IVA!CK14</f>
        <v>5.08227684164027E-005</v>
      </c>
      <c r="BY138" s="138" t="n">
        <f aca="false">IVA!BT138/IVA!CL14</f>
        <v>5.86557032022977E-005</v>
      </c>
      <c r="BZ138" s="138" t="n">
        <f aca="false">IVA!BU138/IVA!CM14</f>
        <v>5.93036037071711E-005</v>
      </c>
      <c r="CA138" s="273" t="n">
        <f aca="false">IVA!BV138/IVA!CN14</f>
        <v>0.00021832544372524</v>
      </c>
      <c r="CI138" s="53" t="n">
        <v>2008</v>
      </c>
      <c r="CJ138" s="377" t="n">
        <f aca="false">IVA!BF192+IVA!BG192+IVA!BH192</f>
        <v>3938989.95224166</v>
      </c>
      <c r="CK138" s="377" t="n">
        <f aca="false">IVA!BG192+IVA!BH192+IVA!BI192</f>
        <v>3827913.73739121</v>
      </c>
      <c r="CL138" s="377" t="n">
        <f aca="false">IVA!BH192+IVA!BI192+IVA!BJ192</f>
        <v>4097426.23206624</v>
      </c>
      <c r="CM138" s="377" t="n">
        <f aca="false">IVA!BI192+IVA!BJ192+IVA!BK192</f>
        <v>4574882.23668905</v>
      </c>
      <c r="CN138" s="378" t="n">
        <f aca="false">IVA!BJ192+IVA!BK192+IVA!BL192</f>
        <v>4779307.69525376</v>
      </c>
      <c r="EJ138" s="31" t="n">
        <v>2086</v>
      </c>
      <c r="EK138" s="32" t="n">
        <v>19830.966</v>
      </c>
      <c r="EL138" s="33" t="n">
        <v>18304.447</v>
      </c>
    </row>
    <row r="139" customFormat="false" ht="12.75" hidden="false" customHeight="true" outlineLevel="0" collapsed="false">
      <c r="AA139" s="404" t="n">
        <v>2007</v>
      </c>
      <c r="AB139" s="404" t="s">
        <v>567</v>
      </c>
      <c r="AC139" s="405"/>
      <c r="AD139" s="406"/>
      <c r="AE139" s="407" t="n">
        <v>128628.16019</v>
      </c>
      <c r="AF139" s="408" t="n">
        <v>273530.47635</v>
      </c>
      <c r="AG139" s="407" t="n">
        <v>196594.16765</v>
      </c>
      <c r="AH139" s="407" t="n">
        <v>214498.78505</v>
      </c>
      <c r="AI139" s="407" t="n">
        <v>153933.24154</v>
      </c>
      <c r="AJ139" s="407" t="n">
        <v>165289.5369</v>
      </c>
      <c r="AK139" s="407" t="n">
        <v>195082.05701</v>
      </c>
      <c r="AL139" s="407" t="n">
        <v>181846.789</v>
      </c>
      <c r="AM139" s="407" t="n">
        <v>294833.95275</v>
      </c>
      <c r="AN139" s="407" t="n">
        <v>246349.5731</v>
      </c>
      <c r="AO139" s="407" t="n">
        <v>237850.37022</v>
      </c>
      <c r="AP139" s="407" t="n">
        <v>249326.12855</v>
      </c>
      <c r="AQ139" s="155" t="n">
        <f aca="false">IVA!AE139+IVA!AF139+IVA!AG139</f>
        <v>598752.80419</v>
      </c>
      <c r="AR139" s="155" t="n">
        <f aca="false">IVA!AH139+IVA!AI139+IVA!AJ139</f>
        <v>533721.56349</v>
      </c>
      <c r="AS139" s="155" t="n">
        <f aca="false">IVA!AK139+IVA!AL139+IVA!AM139</f>
        <v>671762.79876</v>
      </c>
      <c r="AT139" s="155" t="n">
        <f aca="false">IVA!AN139+IVA!AO139+IVA!AP139</f>
        <v>733526.07187</v>
      </c>
      <c r="AU139" s="409" t="n">
        <f aca="false">IVA!AQ139+IVA!AR139+IVA!AS139+IVA!AT139</f>
        <v>2537763.23831</v>
      </c>
      <c r="AV139" s="130" t="n">
        <f aca="false">IVA!AQ139/IVA!CJ16</f>
        <v>0.000879070948129551</v>
      </c>
      <c r="AW139" s="130" t="n">
        <f aca="false">IVA!AR139/IVA!CK16</f>
        <v>0.000639091621895706</v>
      </c>
      <c r="AX139" s="130" t="n">
        <f aca="false">IVA!AS139/IVA!CL16</f>
        <v>0.000811834243658025</v>
      </c>
      <c r="AY139" s="130" t="n">
        <f aca="false">IVA!AT139/IVA!CM16</f>
        <v>0.000809528739446196</v>
      </c>
      <c r="AZ139" s="271" t="n">
        <f aca="false">IVA!AU139/IVA!CN16</f>
        <v>0.0031235707222742</v>
      </c>
      <c r="BA139" s="266" t="n">
        <v>2006</v>
      </c>
      <c r="BB139" s="414" t="s">
        <v>568</v>
      </c>
      <c r="BC139" s="415"/>
      <c r="BD139" s="415"/>
      <c r="BE139" s="415"/>
      <c r="BF139" s="416" t="n">
        <v>13540.17725</v>
      </c>
      <c r="BG139" s="416" t="n">
        <v>7038.37858</v>
      </c>
      <c r="BH139" s="416" t="n">
        <v>9586.0643</v>
      </c>
      <c r="BI139" s="416" t="n">
        <v>9487.13185</v>
      </c>
      <c r="BJ139" s="416" t="n">
        <v>10624.66492</v>
      </c>
      <c r="BK139" s="416" t="n">
        <v>12234.99642</v>
      </c>
      <c r="BL139" s="416" t="n">
        <v>13486.41693</v>
      </c>
      <c r="BM139" s="416" t="n">
        <v>12679.10266</v>
      </c>
      <c r="BN139" s="416" t="n">
        <v>13306.34235</v>
      </c>
      <c r="BO139" s="416" t="n">
        <v>13096.96185</v>
      </c>
      <c r="BP139" s="416" t="n">
        <v>18748.38223</v>
      </c>
      <c r="BQ139" s="417" t="n">
        <v>33336.3711</v>
      </c>
      <c r="BR139" s="175" t="n">
        <f aca="false">IVA!BF139+IVA!BG139+IVA!BH139</f>
        <v>30164.62013</v>
      </c>
      <c r="BS139" s="175" t="n">
        <f aca="false">IVA!BI139+IVA!BJ139+IVA!BK139</f>
        <v>32346.79319</v>
      </c>
      <c r="BT139" s="175" t="n">
        <f aca="false">IVA!BL139+IVA!BM139+IVA!BN139</f>
        <v>39471.86194</v>
      </c>
      <c r="BU139" s="176" t="n">
        <f aca="false">IVA!BO139+IVA!BP139+IVA!BQ139</f>
        <v>65181.71518</v>
      </c>
      <c r="BV139" s="137" t="n">
        <f aca="false">IVA!BR139+IVA!BS139+IVA!BT139+IVA!BU139</f>
        <v>167164.99044</v>
      </c>
      <c r="BW139" s="138" t="n">
        <f aca="false">IVA!BR139/IVA!CJ15</f>
        <v>5.31072865734497E-005</v>
      </c>
      <c r="BX139" s="139" t="n">
        <f aca="false">IVA!BS139/IVA!CK15</f>
        <v>4.76895469466733E-005</v>
      </c>
      <c r="BY139" s="138" t="n">
        <f aca="false">IVA!BT139/IVA!CL15</f>
        <v>5.9072172432306E-005</v>
      </c>
      <c r="BZ139" s="138" t="n">
        <f aca="false">IVA!BU139/IVA!CM15</f>
        <v>9.26816722028027E-005</v>
      </c>
      <c r="CA139" s="273" t="n">
        <f aca="false">IVA!BV139/IVA!CN15</f>
        <v>0.00025543250663236</v>
      </c>
      <c r="CI139" s="53" t="n">
        <v>2009</v>
      </c>
      <c r="CJ139" s="377" t="n">
        <f aca="false">IVA!BF193+IVA!BG193+IVA!BH193</f>
        <v>4263143.541225</v>
      </c>
      <c r="CK139" s="377" t="n">
        <f aca="false">IVA!BG193+IVA!BH193+IVA!BI193</f>
        <v>4211943.9418275</v>
      </c>
      <c r="CL139" s="377" t="n">
        <f aca="false">IVA!BH193+IVA!BI193+IVA!BJ193</f>
        <v>4483976.9857725</v>
      </c>
      <c r="CM139" s="377" t="n">
        <f aca="false">IVA!BI193+IVA!BJ193+IVA!BK193</f>
        <v>4833507.1681875</v>
      </c>
      <c r="CN139" s="378" t="n">
        <f aca="false">IVA!BJ193+IVA!BK193+IVA!BL193</f>
        <v>5070829.7384475</v>
      </c>
      <c r="EJ139" s="31" t="n">
        <v>2087</v>
      </c>
      <c r="EK139" s="32" t="n">
        <v>19900.306</v>
      </c>
      <c r="EL139" s="33" t="n">
        <v>18381.552</v>
      </c>
    </row>
    <row r="140" customFormat="false" ht="12.75" hidden="false" customHeight="true" outlineLevel="0" collapsed="false">
      <c r="AA140" s="404" t="n">
        <v>2008</v>
      </c>
      <c r="AB140" s="404" t="s">
        <v>567</v>
      </c>
      <c r="AC140" s="405"/>
      <c r="AD140" s="406"/>
      <c r="AE140" s="407" t="n">
        <v>226619.43358</v>
      </c>
      <c r="AF140" s="408" t="n">
        <v>390355.48842</v>
      </c>
      <c r="AG140" s="407" t="n">
        <v>329055.24959</v>
      </c>
      <c r="AH140" s="407" t="n">
        <v>258449.70827</v>
      </c>
      <c r="AI140" s="407" t="n">
        <v>249854.60314</v>
      </c>
      <c r="AJ140" s="407" t="n">
        <v>277319.46309</v>
      </c>
      <c r="AK140" s="407" t="n">
        <v>274657.96828</v>
      </c>
      <c r="AL140" s="407" t="n">
        <v>295239.13744</v>
      </c>
      <c r="AM140" s="407" t="n">
        <v>279017.17374</v>
      </c>
      <c r="AN140" s="407" t="n">
        <v>286958.53954</v>
      </c>
      <c r="AO140" s="407" t="n">
        <v>289599.61993</v>
      </c>
      <c r="AP140" s="407" t="n">
        <v>452575.84739</v>
      </c>
      <c r="AQ140" s="155" t="n">
        <f aca="false">IVA!AE140+IVA!AF140+IVA!AG140</f>
        <v>946030.17159</v>
      </c>
      <c r="AR140" s="155" t="n">
        <f aca="false">IVA!AH140+IVA!AI140+IVA!AJ140</f>
        <v>785623.7745</v>
      </c>
      <c r="AS140" s="155" t="n">
        <f aca="false">IVA!AK140+IVA!AL140+IVA!AM140</f>
        <v>848914.27946</v>
      </c>
      <c r="AT140" s="155" t="n">
        <f aca="false">IVA!AN140+IVA!AO140+IVA!AP140</f>
        <v>1029134.00686</v>
      </c>
      <c r="AU140" s="409" t="n">
        <f aca="false">IVA!AQ140+IVA!AR140+IVA!AS140+IVA!AT140</f>
        <v>3609702.23241</v>
      </c>
      <c r="AV140" s="130" t="n">
        <f aca="false">IVA!AQ140/IVA!CJ17</f>
        <v>0.00106577776379693</v>
      </c>
      <c r="AW140" s="130" t="n">
        <f aca="false">IVA!AR140/IVA!CK17</f>
        <v>0.000709083308169924</v>
      </c>
      <c r="AX140" s="130" t="n">
        <f aca="false">IVA!AS140/IVA!CL17</f>
        <v>0.000802717263966921</v>
      </c>
      <c r="AY140" s="130" t="n">
        <f aca="false">IVA!AT140/IVA!CM17</f>
        <v>0.000954761531059286</v>
      </c>
      <c r="AZ140" s="271" t="n">
        <f aca="false">IVA!AU140/IVA!CN17</f>
        <v>0.0034952062655627</v>
      </c>
      <c r="BA140" s="266" t="n">
        <v>2007</v>
      </c>
      <c r="BB140" s="414" t="s">
        <v>568</v>
      </c>
      <c r="BC140" s="415"/>
      <c r="BD140" s="415"/>
      <c r="BE140" s="415"/>
      <c r="BF140" s="416" t="n">
        <v>32798.95445</v>
      </c>
      <c r="BG140" s="416" t="n">
        <v>19232.3435</v>
      </c>
      <c r="BH140" s="416" t="n">
        <v>26479.09467</v>
      </c>
      <c r="BI140" s="416" t="n">
        <v>25842.93885</v>
      </c>
      <c r="BJ140" s="416" t="n">
        <v>29889.54139</v>
      </c>
      <c r="BK140" s="416" t="n">
        <v>32558.8016</v>
      </c>
      <c r="BL140" s="416" t="n">
        <v>34041.85635</v>
      </c>
      <c r="BM140" s="416" t="n">
        <v>35601.5381</v>
      </c>
      <c r="BN140" s="416" t="n">
        <v>36736.69611</v>
      </c>
      <c r="BO140" s="416" t="n">
        <v>36018.93242</v>
      </c>
      <c r="BP140" s="416" t="n">
        <v>37355.55789</v>
      </c>
      <c r="BQ140" s="417" t="n">
        <v>35858.60557</v>
      </c>
      <c r="BR140" s="175" t="n">
        <f aca="false">IVA!BF140+IVA!BG140+IVA!BH140</f>
        <v>78510.39262</v>
      </c>
      <c r="BS140" s="175" t="n">
        <f aca="false">IVA!BI140+IVA!BJ140+IVA!BK140</f>
        <v>88291.28184</v>
      </c>
      <c r="BT140" s="175" t="n">
        <f aca="false">IVA!BL140+IVA!BM140+IVA!BN140</f>
        <v>106380.09056</v>
      </c>
      <c r="BU140" s="176" t="n">
        <f aca="false">IVA!BO140+IVA!BP140+IVA!BQ140</f>
        <v>109233.09588</v>
      </c>
      <c r="BV140" s="137" t="n">
        <f aca="false">IVA!BR140+IVA!BS140+IVA!BT140+IVA!BU140</f>
        <v>382414.8609</v>
      </c>
      <c r="BW140" s="138" t="n">
        <f aca="false">IVA!BR140/IVA!CJ16</f>
        <v>0.000115266608850129</v>
      </c>
      <c r="BX140" s="139" t="n">
        <f aca="false">IVA!BS140/IVA!CK16</f>
        <v>0.000105722201181841</v>
      </c>
      <c r="BY140" s="138" t="n">
        <f aca="false">IVA!BT140/IVA!CL16</f>
        <v>0.000128561749057058</v>
      </c>
      <c r="BZ140" s="138" t="n">
        <f aca="false">IVA!BU140/IVA!CM16</f>
        <v>0.000120551039430829</v>
      </c>
      <c r="CA140" s="273" t="n">
        <f aca="false">IVA!BV140/IVA!CN16</f>
        <v>0.000470690033348134</v>
      </c>
      <c r="CI140" s="53" t="n">
        <v>2010</v>
      </c>
      <c r="CJ140" s="377" t="n">
        <f aca="false">IVA!BF194+IVA!BG194+IVA!BH194</f>
        <v>5364454.419495</v>
      </c>
      <c r="CK140" s="377" t="n">
        <f aca="false">IVA!BG194+IVA!BH194+IVA!BI194</f>
        <v>5382818.0478525</v>
      </c>
      <c r="CL140" s="377" t="n">
        <f aca="false">IVA!BH194+IVA!BI194+IVA!BJ194</f>
        <v>6144941.1713925</v>
      </c>
      <c r="CM140" s="377" t="n">
        <f aca="false">IVA!BI194+IVA!BJ194+IVA!BK194</f>
        <v>6803520.7305</v>
      </c>
      <c r="CN140" s="378" t="n">
        <f aca="false">IVA!BJ194+IVA!BK194+IVA!BL194</f>
        <v>7177106.68296</v>
      </c>
      <c r="EJ140" s="31" t="n">
        <v>2088</v>
      </c>
      <c r="EK140" s="32" t="n">
        <v>19974.296</v>
      </c>
      <c r="EL140" s="33" t="n">
        <v>18463.168</v>
      </c>
    </row>
    <row r="141" customFormat="false" ht="12.75" hidden="false" customHeight="true" outlineLevel="0" collapsed="false">
      <c r="AA141" s="404" t="n">
        <v>2009</v>
      </c>
      <c r="AB141" s="404" t="s">
        <v>567</v>
      </c>
      <c r="AC141" s="405"/>
      <c r="AD141" s="406"/>
      <c r="AE141" s="407" t="n">
        <v>268323</v>
      </c>
      <c r="AF141" s="408" t="n">
        <v>432790</v>
      </c>
      <c r="AG141" s="407" t="n">
        <v>330795</v>
      </c>
      <c r="AH141" s="407" t="n">
        <v>328558</v>
      </c>
      <c r="AI141" s="407" t="n">
        <v>337656</v>
      </c>
      <c r="AJ141" s="407" t="n">
        <v>345150</v>
      </c>
      <c r="AK141" s="407" t="n">
        <v>350322</v>
      </c>
      <c r="AL141" s="407" t="n">
        <v>347398</v>
      </c>
      <c r="AM141" s="407" t="n">
        <v>414110</v>
      </c>
      <c r="AN141" s="407" t="n">
        <v>426994</v>
      </c>
      <c r="AO141" s="407" t="n">
        <v>472468</v>
      </c>
      <c r="AP141" s="407" t="n">
        <v>499063</v>
      </c>
      <c r="AQ141" s="155" t="n">
        <f aca="false">IVA!AE141+IVA!AF141+IVA!AG141</f>
        <v>1031908</v>
      </c>
      <c r="AR141" s="155" t="n">
        <f aca="false">IVA!AH141+IVA!AI141+IVA!AJ141</f>
        <v>1011364</v>
      </c>
      <c r="AS141" s="155" t="n">
        <f aca="false">IVA!AK141+IVA!AL141+IVA!AM141</f>
        <v>1111830</v>
      </c>
      <c r="AT141" s="155" t="n">
        <f aca="false">IVA!AN141+IVA!AO141+IVA!AP141</f>
        <v>1398525</v>
      </c>
      <c r="AU141" s="409" t="n">
        <f aca="false">IVA!AQ141+IVA!AR141+IVA!AS141+IVA!AT141</f>
        <v>4553627</v>
      </c>
      <c r="AV141" s="130" t="n">
        <f aca="false">IVA!AQ141/IVA!CJ18</f>
        <v>0.00103922204475096</v>
      </c>
      <c r="AW141" s="130" t="n">
        <f aca="false">IVA!AR141/IVA!CK18</f>
        <v>0.000846066018556253</v>
      </c>
      <c r="AX141" s="130" t="n">
        <f aca="false">IVA!AS141/IVA!CL18</f>
        <v>0.00095126184491738</v>
      </c>
      <c r="AY141" s="130" t="n">
        <f aca="false">IVA!AT141/IVA!CM18</f>
        <v>0.00114192922110636</v>
      </c>
      <c r="AZ141" s="271" t="n">
        <f aca="false">IVA!AU141/IVA!CN18</f>
        <v>0.00397537549418424</v>
      </c>
      <c r="BA141" s="266" t="n">
        <v>2008</v>
      </c>
      <c r="BB141" s="414" t="s">
        <v>568</v>
      </c>
      <c r="BC141" s="415"/>
      <c r="BD141" s="415"/>
      <c r="BE141" s="415"/>
      <c r="BF141" s="416" t="n">
        <v>31730.75701</v>
      </c>
      <c r="BG141" s="416" t="n">
        <v>31146.77093</v>
      </c>
      <c r="BH141" s="416" t="n">
        <v>37486.53094</v>
      </c>
      <c r="BI141" s="416" t="n">
        <v>33799.19081</v>
      </c>
      <c r="BJ141" s="416" t="n">
        <v>37626.37482</v>
      </c>
      <c r="BK141" s="416" t="n">
        <v>40899.85411</v>
      </c>
      <c r="BL141" s="416" t="n">
        <v>38736.93667</v>
      </c>
      <c r="BM141" s="416" t="n">
        <v>39109.54441</v>
      </c>
      <c r="BN141" s="416" t="n">
        <v>33994.88432</v>
      </c>
      <c r="BO141" s="416" t="n">
        <v>37693.62032</v>
      </c>
      <c r="BP141" s="416" t="n">
        <v>39805.493</v>
      </c>
      <c r="BQ141" s="417" t="n">
        <v>37030.2242</v>
      </c>
      <c r="BR141" s="175" t="n">
        <f aca="false">IVA!BF141+IVA!BG141+IVA!BH141</f>
        <v>100364.05888</v>
      </c>
      <c r="BS141" s="175" t="n">
        <f aca="false">IVA!BI141+IVA!BJ141+IVA!BK141</f>
        <v>112325.41974</v>
      </c>
      <c r="BT141" s="175" t="n">
        <f aca="false">IVA!BL141+IVA!BM141+IVA!BN141</f>
        <v>111841.3654</v>
      </c>
      <c r="BU141" s="176" t="n">
        <f aca="false">IVA!BO141+IVA!BP141+IVA!BQ141</f>
        <v>114529.33752</v>
      </c>
      <c r="BV141" s="137" t="n">
        <f aca="false">IVA!BR141+IVA!BS141+IVA!BT141+IVA!BU141</f>
        <v>439060.18154</v>
      </c>
      <c r="BW141" s="138" t="n">
        <f aca="false">IVA!BR141/IVA!CJ17</f>
        <v>0.000113068045238908</v>
      </c>
      <c r="BX141" s="139" t="n">
        <f aca="false">IVA!BS141/IVA!CK17</f>
        <v>0.000101381962723195</v>
      </c>
      <c r="BY141" s="138" t="n">
        <f aca="false">IVA!BT141/IVA!CL17</f>
        <v>0.000105755076813316</v>
      </c>
      <c r="BZ141" s="138" t="n">
        <f aca="false">IVA!BU141/IVA!CM17</f>
        <v>0.000106252640485017</v>
      </c>
      <c r="CA141" s="273" t="n">
        <f aca="false">IVA!BV141/IVA!CN17</f>
        <v>0.000425133653324399</v>
      </c>
      <c r="CI141" s="53" t="n">
        <v>2011</v>
      </c>
      <c r="CJ141" s="377" t="n">
        <f aca="false">IVA!BF195+IVA!BG195+IVA!BH195</f>
        <v>7315484.9676375</v>
      </c>
      <c r="CK141" s="377" t="n">
        <f aca="false">IVA!BG195+IVA!BH195+IVA!BI195</f>
        <v>7229481.5311575</v>
      </c>
      <c r="CL141" s="377" t="n">
        <f aca="false">IVA!BH195+IVA!BI195+IVA!BJ195</f>
        <v>8238958.835565</v>
      </c>
      <c r="CM141" s="377" t="n">
        <f aca="false">IVA!BI195+IVA!BJ195+IVA!BK195</f>
        <v>9038753.2865925</v>
      </c>
      <c r="CN141" s="378" t="n">
        <f aca="false">IVA!BJ195+IVA!BK195+IVA!BL195</f>
        <v>9464945.6154675</v>
      </c>
      <c r="EJ141" s="31" t="n">
        <v>2089</v>
      </c>
      <c r="EK141" s="32" t="n">
        <v>20049.647</v>
      </c>
      <c r="EL141" s="33" t="n">
        <v>18545.828</v>
      </c>
    </row>
    <row r="142" customFormat="false" ht="12.75" hidden="false" customHeight="true" outlineLevel="0" collapsed="false">
      <c r="AA142" s="404" t="n">
        <v>2010</v>
      </c>
      <c r="AB142" s="404" t="s">
        <v>567</v>
      </c>
      <c r="AC142" s="405"/>
      <c r="AD142" s="406"/>
      <c r="AE142" s="407" t="n">
        <v>335333</v>
      </c>
      <c r="AF142" s="408" t="n">
        <v>519842</v>
      </c>
      <c r="AG142" s="407" t="n">
        <v>533167</v>
      </c>
      <c r="AH142" s="407" t="n">
        <v>465856</v>
      </c>
      <c r="AI142" s="407" t="n">
        <v>590097</v>
      </c>
      <c r="AJ142" s="407" t="n">
        <v>501237</v>
      </c>
      <c r="AK142" s="407" t="n">
        <v>499716</v>
      </c>
      <c r="AL142" s="407" t="n">
        <v>495111</v>
      </c>
      <c r="AM142" s="407" t="n">
        <v>578882</v>
      </c>
      <c r="AN142" s="407" t="n">
        <v>574644</v>
      </c>
      <c r="AO142" s="407" t="n">
        <v>598734</v>
      </c>
      <c r="AP142" s="407" t="n">
        <v>667454</v>
      </c>
      <c r="AQ142" s="155" t="n">
        <f aca="false">IVA!AE142+IVA!AF142+IVA!AG142</f>
        <v>1388342</v>
      </c>
      <c r="AR142" s="155" t="n">
        <f aca="false">IVA!AH142+IVA!AI142+IVA!AJ142</f>
        <v>1557190</v>
      </c>
      <c r="AS142" s="155" t="n">
        <f aca="false">IVA!AK142+IVA!AL142+IVA!AM142</f>
        <v>1573709</v>
      </c>
      <c r="AT142" s="155" t="n">
        <f aca="false">IVA!AN142+IVA!AO142+IVA!AP142</f>
        <v>1840832</v>
      </c>
      <c r="AU142" s="409" t="n">
        <f aca="false">IVA!AQ142+IVA!AR142+IVA!AS142+IVA!AT142</f>
        <v>6360073</v>
      </c>
      <c r="AV142" s="130" t="n">
        <f aca="false">IVA!AQ142/IVA!CJ19</f>
        <v>0.00114043343866875</v>
      </c>
      <c r="AW142" s="130" t="n">
        <f aca="false">IVA!AR142/IVA!CK19</f>
        <v>0.00103242378822559</v>
      </c>
      <c r="AX142" s="130" t="n">
        <f aca="false">IVA!AS142/IVA!CL19</f>
        <v>0.00107357631408054</v>
      </c>
      <c r="AY142" s="130" t="n">
        <f aca="false">IVA!AT142/IVA!CM19</f>
        <v>0.00116574876915613</v>
      </c>
      <c r="AZ142" s="271" t="n">
        <f aca="false">IVA!AU142/IVA!CN19</f>
        <v>0.00440858786814668</v>
      </c>
      <c r="BA142" s="266" t="n">
        <v>2009</v>
      </c>
      <c r="BB142" s="414" t="s">
        <v>568</v>
      </c>
      <c r="BC142" s="415"/>
      <c r="BD142" s="415"/>
      <c r="BE142" s="415"/>
      <c r="BF142" s="416" t="n">
        <v>30886</v>
      </c>
      <c r="BG142" s="416" t="n">
        <v>17708</v>
      </c>
      <c r="BH142" s="416" t="n">
        <v>21394</v>
      </c>
      <c r="BI142" s="416" t="n">
        <v>23205</v>
      </c>
      <c r="BJ142" s="416" t="n">
        <v>26767</v>
      </c>
      <c r="BK142" s="416" t="n">
        <v>28029</v>
      </c>
      <c r="BL142" s="416" t="n">
        <v>32055</v>
      </c>
      <c r="BM142" s="416" t="n">
        <v>31751</v>
      </c>
      <c r="BN142" s="416" t="n">
        <v>41474</v>
      </c>
      <c r="BO142" s="416" t="n">
        <v>35958</v>
      </c>
      <c r="BP142" s="416" t="n">
        <v>36349</v>
      </c>
      <c r="BQ142" s="417" t="n">
        <v>46100</v>
      </c>
      <c r="BR142" s="175" t="n">
        <f aca="false">IVA!BF142+IVA!BG142+IVA!BH142</f>
        <v>69988</v>
      </c>
      <c r="BS142" s="175" t="n">
        <f aca="false">IVA!BI142+IVA!BJ142+IVA!BK142</f>
        <v>78001</v>
      </c>
      <c r="BT142" s="175" t="n">
        <f aca="false">IVA!BL142+IVA!BM142+IVA!BN142</f>
        <v>105280</v>
      </c>
      <c r="BU142" s="176" t="n">
        <f aca="false">IVA!BO142+IVA!BP142+IVA!BQ142</f>
        <v>118407</v>
      </c>
      <c r="BV142" s="137" t="n">
        <f aca="false">IVA!BR142+IVA!BS142+IVA!BT142+IVA!BU142</f>
        <v>371676</v>
      </c>
      <c r="BW142" s="138" t="n">
        <f aca="false">IVA!BR142/IVA!CJ18</f>
        <v>7.04840668625788E-005</v>
      </c>
      <c r="BX142" s="139" t="n">
        <f aca="false">IVA!BS142/IVA!CK18</f>
        <v>6.52524664842789E-005</v>
      </c>
      <c r="BY142" s="138" t="n">
        <f aca="false">IVA!BT142/IVA!CL18</f>
        <v>9.0075683362476E-005</v>
      </c>
      <c r="BZ142" s="138" t="n">
        <f aca="false">IVA!BU142/IVA!CM18</f>
        <v>9.66821567605443E-005</v>
      </c>
      <c r="CA142" s="273" t="n">
        <f aca="false">IVA!BV142/IVA!CN18</f>
        <v>0.000324477973750688</v>
      </c>
      <c r="CI142" s="233" t="n">
        <v>2012</v>
      </c>
      <c r="CJ142" s="396" t="n">
        <f aca="false">IVA!BF196+IVA!BG196+IVA!BH196</f>
        <v>9169093.42180653</v>
      </c>
      <c r="CK142" s="396" t="n">
        <f aca="false">IVA!BG196+IVA!BH196+IVA!BI196</f>
        <v>8803742.79163554</v>
      </c>
      <c r="CL142" s="396" t="n">
        <f aca="false">IVA!BH196+IVA!BI196+IVA!BJ196</f>
        <v>9681151.99691396</v>
      </c>
      <c r="CM142" s="396" t="n">
        <f aca="false">IVA!BI196+IVA!BJ196+IVA!BK196</f>
        <v>10703006.2391423</v>
      </c>
      <c r="CN142" s="397" t="n">
        <f aca="false">IVA!BJ196+IVA!BK196+IVA!BL196</f>
        <v>11268197.4317205</v>
      </c>
      <c r="EJ142" s="31" t="n">
        <v>2090</v>
      </c>
      <c r="EK142" s="32" t="n">
        <v>20125.167</v>
      </c>
      <c r="EL142" s="33" t="n">
        <v>18628.261</v>
      </c>
    </row>
    <row r="143" customFormat="false" ht="12.75" hidden="false" customHeight="true" outlineLevel="0" collapsed="false">
      <c r="AA143" s="404" t="n">
        <v>2011</v>
      </c>
      <c r="AB143" s="404" t="s">
        <v>567</v>
      </c>
      <c r="AC143" s="405"/>
      <c r="AD143" s="406"/>
      <c r="AE143" s="407" t="n">
        <v>516535</v>
      </c>
      <c r="AF143" s="408" t="n">
        <v>689058</v>
      </c>
      <c r="AG143" s="407" t="n">
        <v>652679</v>
      </c>
      <c r="AH143" s="407" t="n">
        <v>605515</v>
      </c>
      <c r="AI143" s="407" t="n">
        <v>655350</v>
      </c>
      <c r="AJ143" s="407" t="n">
        <v>529559</v>
      </c>
      <c r="AK143" s="407" t="n">
        <v>486288</v>
      </c>
      <c r="AL143" s="407" t="n">
        <v>708807</v>
      </c>
      <c r="AM143" s="407" t="n">
        <v>643152</v>
      </c>
      <c r="AN143" s="407" t="n">
        <v>813944</v>
      </c>
      <c r="AO143" s="407" t="n">
        <v>778886</v>
      </c>
      <c r="AP143" s="407" t="n">
        <v>982612</v>
      </c>
      <c r="AQ143" s="155" t="n">
        <f aca="false">IVA!AE143+IVA!AF143+IVA!AG143</f>
        <v>1858272</v>
      </c>
      <c r="AR143" s="155" t="n">
        <f aca="false">IVA!AH143+IVA!AI143+IVA!AJ143</f>
        <v>1790424</v>
      </c>
      <c r="AS143" s="155" t="n">
        <f aca="false">IVA!AK143+IVA!AL143+IVA!AM143</f>
        <v>1838247</v>
      </c>
      <c r="AT143" s="155" t="n">
        <f aca="false">IVA!AN143+IVA!AO143+IVA!AP143</f>
        <v>2575442</v>
      </c>
      <c r="AU143" s="409" t="n">
        <f aca="false">IVA!AQ143+IVA!AR143+IVA!AS143+IVA!AT143</f>
        <v>8062385</v>
      </c>
      <c r="AV143" s="130" t="n">
        <f aca="false">IVA!AQ143/IVA!CJ20</f>
        <v>0.00118543997754501</v>
      </c>
      <c r="AW143" s="130" t="n">
        <f aca="false">IVA!AR143/IVA!CK20</f>
        <v>0.00090598078859807</v>
      </c>
      <c r="AX143" s="130" t="n">
        <f aca="false">IVA!AS143/IVA!CL20</f>
        <v>0.00098544867926928</v>
      </c>
      <c r="AY143" s="130" t="n">
        <f aca="false">IVA!AT143/IVA!CM20</f>
        <v>0.00131474551175382</v>
      </c>
      <c r="AZ143" s="271" t="n">
        <f aca="false">IVA!AU143/IVA!CN20</f>
        <v>0.00437692080239316</v>
      </c>
      <c r="BA143" s="266" t="n">
        <v>2010</v>
      </c>
      <c r="BB143" s="414" t="s">
        <v>568</v>
      </c>
      <c r="BC143" s="415"/>
      <c r="BD143" s="415"/>
      <c r="BE143" s="415"/>
      <c r="BF143" s="416" t="n">
        <v>42508</v>
      </c>
      <c r="BG143" s="416" t="n">
        <v>25786</v>
      </c>
      <c r="BH143" s="416" t="n">
        <v>34598</v>
      </c>
      <c r="BI143" s="416" t="n">
        <v>38082</v>
      </c>
      <c r="BJ143" s="416" t="n">
        <v>41126</v>
      </c>
      <c r="BK143" s="416" t="n">
        <v>43351</v>
      </c>
      <c r="BL143" s="416" t="n">
        <v>47746</v>
      </c>
      <c r="BM143" s="416" t="n">
        <v>46823</v>
      </c>
      <c r="BN143" s="416" t="n">
        <v>50811</v>
      </c>
      <c r="BO143" s="416" t="n">
        <v>50292</v>
      </c>
      <c r="BP143" s="416" t="n">
        <v>53628</v>
      </c>
      <c r="BQ143" s="417" t="n">
        <v>63879</v>
      </c>
      <c r="BR143" s="175" t="n">
        <f aca="false">IVA!BF143+IVA!BG143+IVA!BH143</f>
        <v>102892</v>
      </c>
      <c r="BS143" s="175" t="n">
        <f aca="false">IVA!BI143+IVA!BJ143+IVA!BK143</f>
        <v>122559</v>
      </c>
      <c r="BT143" s="175" t="n">
        <f aca="false">IVA!BL143+IVA!BM143+IVA!BN143</f>
        <v>145380</v>
      </c>
      <c r="BU143" s="176" t="n">
        <f aca="false">IVA!BO143+IVA!BP143+IVA!BQ143</f>
        <v>167799</v>
      </c>
      <c r="BV143" s="137" t="n">
        <f aca="false">IVA!BR143+IVA!BS143+IVA!BT143+IVA!BU143</f>
        <v>538630</v>
      </c>
      <c r="BW143" s="138" t="n">
        <f aca="false">IVA!BR143/IVA!CJ19</f>
        <v>8.45191439656114E-005</v>
      </c>
      <c r="BX143" s="139" t="n">
        <f aca="false">IVA!BS143/IVA!CK19</f>
        <v>8.12571536300263E-005</v>
      </c>
      <c r="BY143" s="138" t="n">
        <f aca="false">IVA!BT143/IVA!CL19</f>
        <v>9.9177500122976E-005</v>
      </c>
      <c r="BZ143" s="138" t="n">
        <f aca="false">IVA!BU143/IVA!CM19</f>
        <v>0.000106262536568046</v>
      </c>
      <c r="CA143" s="273" t="n">
        <f aca="false">IVA!BV143/IVA!CN19</f>
        <v>0.000373360130209173</v>
      </c>
      <c r="CI143" s="239"/>
      <c r="CJ143" s="26"/>
      <c r="CK143" s="26"/>
      <c r="CL143" s="26"/>
      <c r="CM143" s="26"/>
      <c r="CN143" s="26"/>
      <c r="CO143" s="26"/>
      <c r="CP143" s="26"/>
      <c r="CQ143" s="27"/>
      <c r="EJ143" s="31" t="n">
        <v>2091</v>
      </c>
      <c r="EK143" s="32" t="n">
        <v>20179.212</v>
      </c>
      <c r="EL143" s="33" t="n">
        <v>18688.534</v>
      </c>
    </row>
    <row r="144" customFormat="false" ht="12.75" hidden="false" customHeight="true" outlineLevel="0" collapsed="false">
      <c r="AA144" s="419" t="n">
        <v>2012</v>
      </c>
      <c r="AB144" s="419" t="s">
        <v>567</v>
      </c>
      <c r="AC144" s="420"/>
      <c r="AD144" s="421"/>
      <c r="AE144" s="422" t="n">
        <v>764608.20873</v>
      </c>
      <c r="AF144" s="423" t="n">
        <v>962961.67161</v>
      </c>
      <c r="AG144" s="422" t="n">
        <v>938057.42905</v>
      </c>
      <c r="AH144" s="422" t="n">
        <v>865606.15182</v>
      </c>
      <c r="AI144" s="422" t="n">
        <v>792309.53088</v>
      </c>
      <c r="AJ144" s="422" t="n">
        <v>746910.43284</v>
      </c>
      <c r="AK144" s="422" t="n">
        <v>1092541.88861</v>
      </c>
      <c r="AL144" s="422" t="n">
        <v>1004213.78066</v>
      </c>
      <c r="AM144" s="422" t="n">
        <v>1005332.56639</v>
      </c>
      <c r="AN144" s="422" t="n">
        <v>947419.32437</v>
      </c>
      <c r="AO144" s="422" t="n">
        <v>958304.29098</v>
      </c>
      <c r="AP144" s="422" t="n">
        <v>1271300.69224</v>
      </c>
      <c r="AQ144" s="326" t="n">
        <f aca="false">IVA!AE144+IVA!AF144+IVA!AG144</f>
        <v>2665627.30939</v>
      </c>
      <c r="AR144" s="326" t="n">
        <f aca="false">IVA!AH144+IVA!AI144+IVA!AJ144</f>
        <v>2404826.11554</v>
      </c>
      <c r="AS144" s="326" t="n">
        <f aca="false">IVA!AK144+IVA!AL144+IVA!AM144</f>
        <v>3102088.23566</v>
      </c>
      <c r="AT144" s="326" t="n">
        <f aca="false">IVA!AN144+IVA!AO144+IVA!AP144</f>
        <v>3177024.30759</v>
      </c>
      <c r="AU144" s="424" t="n">
        <f aca="false">IVA!AQ144+IVA!AR144+IVA!AS144+IVA!AT144</f>
        <v>11349565.96818</v>
      </c>
      <c r="AV144" s="252" t="n">
        <f aca="false">IVA!AQ144/IVA!CJ21</f>
        <v>0.00142171718453706</v>
      </c>
      <c r="AW144" s="252" t="n">
        <f aca="false">IVA!AR144/IVA!CK21</f>
        <v>0.00105792127461956</v>
      </c>
      <c r="AX144" s="252" t="n">
        <f aca="false">IVA!AS144/IVA!CL21</f>
        <v>0.001421079702184</v>
      </c>
      <c r="AY144" s="252" t="n">
        <f aca="false">IVA!AT144/IVA!CM21</f>
        <v>0.0013658878706395</v>
      </c>
      <c r="AZ144" s="296" t="n">
        <f aca="false">IVA!AU144/IVA!CN21</f>
        <v>0.005244120409096</v>
      </c>
      <c r="BA144" s="266" t="n">
        <v>2011</v>
      </c>
      <c r="BB144" s="414" t="s">
        <v>568</v>
      </c>
      <c r="BC144" s="415"/>
      <c r="BD144" s="415"/>
      <c r="BE144" s="415"/>
      <c r="BF144" s="416" t="n">
        <v>61944</v>
      </c>
      <c r="BG144" s="416" t="n">
        <v>35009</v>
      </c>
      <c r="BH144" s="416" t="n">
        <v>47163</v>
      </c>
      <c r="BI144" s="416" t="n">
        <v>57352</v>
      </c>
      <c r="BJ144" s="416" t="n">
        <v>51610</v>
      </c>
      <c r="BK144" s="416" t="n">
        <v>69736</v>
      </c>
      <c r="BL144" s="416" t="n">
        <v>70803</v>
      </c>
      <c r="BM144" s="416" t="n">
        <v>67205</v>
      </c>
      <c r="BN144" s="416" t="n">
        <v>76174</v>
      </c>
      <c r="BO144" s="416" t="n">
        <v>75309</v>
      </c>
      <c r="BP144" s="416" t="n">
        <v>79522</v>
      </c>
      <c r="BQ144" s="417" t="n">
        <v>83121</v>
      </c>
      <c r="BR144" s="175" t="n">
        <f aca="false">IVA!BF144+IVA!BG144+IVA!BH144</f>
        <v>144116</v>
      </c>
      <c r="BS144" s="175" t="n">
        <f aca="false">IVA!BI144+IVA!BJ144+IVA!BK144</f>
        <v>178698</v>
      </c>
      <c r="BT144" s="175" t="n">
        <f aca="false">IVA!BL144+IVA!BM144+IVA!BN144</f>
        <v>214182</v>
      </c>
      <c r="BU144" s="176" t="n">
        <f aca="false">IVA!BO144+IVA!BP144+IVA!BQ144</f>
        <v>237952</v>
      </c>
      <c r="BV144" s="137" t="n">
        <f aca="false">IVA!BR144+IVA!BS144+IVA!BT144+IVA!BU144</f>
        <v>774948</v>
      </c>
      <c r="BW144" s="138" t="n">
        <f aca="false">IVA!BR144/IVA!CJ20</f>
        <v>9.19353398231669E-005</v>
      </c>
      <c r="BX144" s="139" t="n">
        <f aca="false">IVA!BS144/IVA!CK20</f>
        <v>9.04238074114835E-005</v>
      </c>
      <c r="BY144" s="138" t="n">
        <f aca="false">IVA!BT144/IVA!CL20</f>
        <v>0.000114818829582343</v>
      </c>
      <c r="BZ144" s="138" t="n">
        <f aca="false">IVA!BU144/IVA!CM20</f>
        <v>0.00012147286718662</v>
      </c>
      <c r="CA144" s="273" t="n">
        <f aca="false">IVA!BV144/IVA!CN20</f>
        <v>0.000420705042239111</v>
      </c>
      <c r="CI144" s="239"/>
      <c r="CJ144" s="26"/>
      <c r="CK144" s="26"/>
      <c r="CL144" s="26"/>
      <c r="CM144" s="26"/>
      <c r="CN144" s="26"/>
      <c r="CO144" s="26"/>
      <c r="CP144" s="26"/>
      <c r="CQ144" s="27"/>
      <c r="EJ144" s="31" t="n">
        <v>2092</v>
      </c>
      <c r="EK144" s="32" t="n">
        <v>20238.383</v>
      </c>
      <c r="EL144" s="33" t="n">
        <v>18753.311</v>
      </c>
    </row>
    <row r="145" customFormat="false" ht="12.75" hidden="false" customHeight="true" outlineLevel="0" collapsed="false">
      <c r="AA145" s="404" t="n">
        <v>1996</v>
      </c>
      <c r="AB145" s="404" t="s">
        <v>569</v>
      </c>
      <c r="AC145" s="405"/>
      <c r="AD145" s="406"/>
      <c r="AE145" s="407" t="n">
        <f aca="false">IVA!AE128*0.21</f>
        <v>28841.61</v>
      </c>
      <c r="AF145" s="408" t="n">
        <f aca="false">IVA!AF128*0.21</f>
        <v>37840.53</v>
      </c>
      <c r="AG145" s="407" t="n">
        <f aca="false">IVA!AG128*0.21</f>
        <v>24315.27</v>
      </c>
      <c r="AH145" s="407" t="n">
        <f aca="false">IVA!AH128*0.21</f>
        <v>36825.18</v>
      </c>
      <c r="AI145" s="407" t="n">
        <f aca="false">IVA!AI128*0.21</f>
        <v>36491.07</v>
      </c>
      <c r="AJ145" s="407" t="n">
        <f aca="false">IVA!AJ128*0.21</f>
        <v>34655.25</v>
      </c>
      <c r="AK145" s="407" t="n">
        <f aca="false">IVA!AK128*0.21</f>
        <v>2848.86</v>
      </c>
      <c r="AL145" s="407" t="n">
        <f aca="false">IVA!AL128*0.21</f>
        <v>35512.26</v>
      </c>
      <c r="AM145" s="407" t="n">
        <f aca="false">IVA!AM128*0.21</f>
        <v>41414.31</v>
      </c>
      <c r="AN145" s="407" t="n">
        <f aca="false">IVA!AN128*0.21</f>
        <v>44693.25</v>
      </c>
      <c r="AO145" s="407" t="n">
        <f aca="false">IVA!AO128*0.21</f>
        <v>48555.15</v>
      </c>
      <c r="AP145" s="407" t="n">
        <f aca="false">IVA!AP128*0.21</f>
        <v>6431.67</v>
      </c>
      <c r="AQ145" s="155" t="n">
        <f aca="false">IVA!AE145+IVA!AF145+IVA!AG145</f>
        <v>90997.41</v>
      </c>
      <c r="AR145" s="155" t="n">
        <f aca="false">IVA!AH145+IVA!AI145+IVA!AJ145</f>
        <v>107971.5</v>
      </c>
      <c r="AS145" s="155" t="n">
        <f aca="false">IVA!AK145+IVA!AL145+IVA!AM145</f>
        <v>79775.43</v>
      </c>
      <c r="AT145" s="155" t="n">
        <f aca="false">IVA!AN145+IVA!AO145+IVA!AP145</f>
        <v>99680.07</v>
      </c>
      <c r="AU145" s="409" t="n">
        <f aca="false">IVA!AQ145+IVA!AR145+IVA!AS145+IVA!AT145</f>
        <v>378424.41</v>
      </c>
      <c r="AV145" s="252"/>
      <c r="AW145" s="252"/>
      <c r="AX145" s="252"/>
      <c r="AY145" s="252"/>
      <c r="AZ145" s="296"/>
      <c r="BA145" s="297" t="n">
        <v>2012</v>
      </c>
      <c r="BB145" s="425" t="s">
        <v>568</v>
      </c>
      <c r="BC145" s="426"/>
      <c r="BD145" s="426"/>
      <c r="BE145" s="426"/>
      <c r="BF145" s="427" t="n">
        <v>78373.57334</v>
      </c>
      <c r="BG145" s="427" t="n">
        <v>42793.61363</v>
      </c>
      <c r="BH145" s="427" t="n">
        <v>53223.30718</v>
      </c>
      <c r="BI145" s="427" t="n">
        <v>54447.24716</v>
      </c>
      <c r="BJ145" s="427" t="n">
        <v>63825.01324</v>
      </c>
      <c r="BK145" s="427" t="n">
        <v>69855.05312</v>
      </c>
      <c r="BL145" s="427" t="n">
        <v>59146.43843</v>
      </c>
      <c r="BM145" s="427" t="n">
        <v>55154.22126</v>
      </c>
      <c r="BN145" s="427" t="n">
        <v>60502.60352</v>
      </c>
      <c r="BO145" s="427" t="n">
        <v>54113.51352</v>
      </c>
      <c r="BP145" s="427" t="n">
        <v>60898.41291</v>
      </c>
      <c r="BQ145" s="428" t="n">
        <v>68380.93472</v>
      </c>
      <c r="BR145" s="259" t="n">
        <f aca="false">IVA!BF145+IVA!BG145+IVA!BH145</f>
        <v>174390.49415</v>
      </c>
      <c r="BS145" s="259" t="n">
        <f aca="false">IVA!BI145+IVA!BJ145+IVA!BK145</f>
        <v>188127.31352</v>
      </c>
      <c r="BT145" s="259" t="n">
        <f aca="false">IVA!BL145+IVA!BM145+IVA!BN145</f>
        <v>174803.26321</v>
      </c>
      <c r="BU145" s="260" t="n">
        <f aca="false">IVA!BO145+IVA!BP145+IVA!BQ145</f>
        <v>183392.86115</v>
      </c>
      <c r="BV145" s="261" t="n">
        <f aca="false">IVA!BR145+IVA!BS145+IVA!BT145+IVA!BU145</f>
        <v>720713.93203</v>
      </c>
      <c r="BW145" s="264" t="n">
        <f aca="false">IVA!BR145/IVA!CJ21</f>
        <v>9.30114879449154E-005</v>
      </c>
      <c r="BX145" s="263" t="n">
        <f aca="false">IVA!BS145/IVA!CK21</f>
        <v>8.27601987618728E-005</v>
      </c>
      <c r="BY145" s="264" t="n">
        <f aca="false">IVA!BT145/IVA!CL21</f>
        <v>8.00781120174704E-005</v>
      </c>
      <c r="BZ145" s="264" t="n">
        <f aca="false">IVA!BU145/IVA!CM21</f>
        <v>7.88455045837145E-005</v>
      </c>
      <c r="CA145" s="303" t="n">
        <f aca="false">IVA!BV145/IVA!CN21</f>
        <v>0.00033300926666929</v>
      </c>
      <c r="CI145" s="25" t="s">
        <v>570</v>
      </c>
      <c r="CJ145" s="26"/>
      <c r="CK145" s="26"/>
      <c r="CL145" s="26"/>
      <c r="CM145" s="26"/>
      <c r="CN145" s="26"/>
      <c r="CO145" s="26"/>
      <c r="CP145" s="26"/>
      <c r="CQ145" s="27"/>
      <c r="EJ145" s="31" t="n">
        <v>2093</v>
      </c>
      <c r="EK145" s="32" t="n">
        <v>20301.29</v>
      </c>
      <c r="EL145" s="33" t="n">
        <v>18821.381</v>
      </c>
    </row>
    <row r="146" customFormat="false" ht="12.75" hidden="false" customHeight="true" outlineLevel="0" collapsed="false">
      <c r="AA146" s="404" t="n">
        <v>1997</v>
      </c>
      <c r="AB146" s="404" t="s">
        <v>569</v>
      </c>
      <c r="AC146" s="405"/>
      <c r="AD146" s="406"/>
      <c r="AE146" s="407" t="n">
        <f aca="false">IVA!AE129*0.21</f>
        <v>29180.34</v>
      </c>
      <c r="AF146" s="408" t="n">
        <f aca="false">IVA!AF129*0.21</f>
        <v>48874.98</v>
      </c>
      <c r="AG146" s="407" t="n">
        <f aca="false">IVA!AG129*0.21</f>
        <v>40594.26</v>
      </c>
      <c r="AH146" s="407" t="n">
        <f aca="false">IVA!AH129*0.21</f>
        <v>49032.69</v>
      </c>
      <c r="AI146" s="407" t="n">
        <f aca="false">IVA!AI129*0.21</f>
        <v>47383.56</v>
      </c>
      <c r="AJ146" s="407" t="n">
        <f aca="false">IVA!AJ129*0.21</f>
        <v>44453.43</v>
      </c>
      <c r="AK146" s="407" t="n">
        <f aca="false">IVA!AK129*0.21</f>
        <v>42681.03</v>
      </c>
      <c r="AL146" s="407" t="n">
        <f aca="false">IVA!AL129*0.21</f>
        <v>35784.42</v>
      </c>
      <c r="AM146" s="407" t="n">
        <f aca="false">IVA!AM129*0.21</f>
        <v>40863.9</v>
      </c>
      <c r="AN146" s="407" t="n">
        <f aca="false">IVA!AN129*0.21</f>
        <v>41477.31</v>
      </c>
      <c r="AO146" s="407" t="n">
        <f aca="false">IVA!AO129*0.21</f>
        <v>40571.37</v>
      </c>
      <c r="AP146" s="407" t="n">
        <f aca="false">IVA!AP129*0.21</f>
        <v>52304.7</v>
      </c>
      <c r="AQ146" s="155" t="n">
        <f aca="false">IVA!AE146+IVA!AF146+IVA!AG146</f>
        <v>118649.58</v>
      </c>
      <c r="AR146" s="155" t="n">
        <f aca="false">IVA!AH146+IVA!AI146+IVA!AJ146</f>
        <v>140869.68</v>
      </c>
      <c r="AS146" s="155" t="n">
        <f aca="false">IVA!AK146+IVA!AL146+IVA!AM146</f>
        <v>119329.35</v>
      </c>
      <c r="AT146" s="155" t="n">
        <f aca="false">IVA!AN146+IVA!AO146+IVA!AP146</f>
        <v>134353.38</v>
      </c>
      <c r="AU146" s="409" t="n">
        <f aca="false">IVA!AQ146+IVA!AR146+IVA!AS146+IVA!AT146</f>
        <v>513201.99</v>
      </c>
      <c r="AV146" s="130" t="n">
        <f aca="false">IVA!AQ146/IVA!CJ6</f>
        <v>0.000437401681044017</v>
      </c>
      <c r="AW146" s="130" t="n">
        <f aca="false">IVA!AR146/IVA!CK6</f>
        <v>0.000469765189494297</v>
      </c>
      <c r="AX146" s="130" t="n">
        <f aca="false">IVA!AS146/IVA!CL6</f>
        <v>0.000400078297477773</v>
      </c>
      <c r="AY146" s="130" t="n">
        <f aca="false">IVA!AT146/IVA!CM6</f>
        <v>0.000444823473540707</v>
      </c>
      <c r="AZ146" s="271" t="n">
        <f aca="false">IVA!AU146/IVA!CN6</f>
        <v>0.00175238666035899</v>
      </c>
      <c r="BA146" s="297" t="n">
        <v>1996</v>
      </c>
      <c r="BB146" s="425"/>
      <c r="BC146" s="426"/>
      <c r="BD146" s="426"/>
      <c r="BE146" s="429"/>
      <c r="BF146" s="427"/>
      <c r="BG146" s="427"/>
      <c r="BH146" s="427"/>
      <c r="BI146" s="427"/>
      <c r="BJ146" s="427"/>
      <c r="BK146" s="427"/>
      <c r="BL146" s="427"/>
      <c r="BM146" s="427"/>
      <c r="BN146" s="427"/>
      <c r="BO146" s="427"/>
      <c r="BP146" s="427"/>
      <c r="BQ146" s="428"/>
      <c r="BR146" s="259"/>
      <c r="BS146" s="259"/>
      <c r="BT146" s="259"/>
      <c r="BU146" s="260"/>
      <c r="BV146" s="261"/>
      <c r="BW146" s="264"/>
      <c r="BX146" s="263"/>
      <c r="BY146" s="264"/>
      <c r="BZ146" s="264"/>
      <c r="CA146" s="303"/>
      <c r="CI146" s="239"/>
      <c r="CJ146" s="26"/>
      <c r="CK146" s="26"/>
      <c r="CL146" s="26"/>
      <c r="CM146" s="26"/>
      <c r="CN146" s="26"/>
      <c r="CO146" s="26"/>
      <c r="CP146" s="26"/>
      <c r="CQ146" s="27"/>
      <c r="EJ146" s="31" t="n">
        <v>2094</v>
      </c>
      <c r="EK146" s="32" t="n">
        <v>20366.208</v>
      </c>
      <c r="EL146" s="33" t="n">
        <v>18891.277</v>
      </c>
    </row>
    <row r="147" customFormat="false" ht="12.75" hidden="false" customHeight="true" outlineLevel="0" collapsed="false">
      <c r="AA147" s="404" t="n">
        <v>1998</v>
      </c>
      <c r="AB147" s="404" t="s">
        <v>569</v>
      </c>
      <c r="AC147" s="405"/>
      <c r="AD147" s="406"/>
      <c r="AE147" s="407" t="n">
        <f aca="false">IVA!AE130*0.21</f>
        <v>31807.86</v>
      </c>
      <c r="AF147" s="408" t="n">
        <f aca="false">IVA!AF130*0.21</f>
        <v>48263.46</v>
      </c>
      <c r="AG147" s="407" t="n">
        <f aca="false">IVA!AG130*0.21</f>
        <v>39838.89</v>
      </c>
      <c r="AH147" s="407" t="n">
        <f aca="false">IVA!AH130*0.21</f>
        <v>36153.6</v>
      </c>
      <c r="AI147" s="407" t="n">
        <f aca="false">IVA!AI130*0.21</f>
        <v>42376.11</v>
      </c>
      <c r="AJ147" s="407" t="n">
        <f aca="false">IVA!AJ130*0.21</f>
        <v>40305.72</v>
      </c>
      <c r="AK147" s="407" t="n">
        <f aca="false">IVA!AK130*0.21</f>
        <v>39566.1</v>
      </c>
      <c r="AL147" s="407" t="n">
        <f aca="false">IVA!AL130*0.21</f>
        <v>39372.27</v>
      </c>
      <c r="AM147" s="407" t="n">
        <f aca="false">IVA!AM130*0.21</f>
        <v>41069.07</v>
      </c>
      <c r="AN147" s="407" t="n">
        <f aca="false">IVA!AN130*0.21</f>
        <v>40400.85</v>
      </c>
      <c r="AO147" s="407" t="n">
        <f aca="false">IVA!AO130*0.21</f>
        <v>41691.51</v>
      </c>
      <c r="AP147" s="407" t="n">
        <f aca="false">IVA!AP130*0.21</f>
        <v>47479.11</v>
      </c>
      <c r="AQ147" s="155" t="n">
        <f aca="false">IVA!AE147+IVA!AF147+IVA!AG147</f>
        <v>119910.21</v>
      </c>
      <c r="AR147" s="155" t="n">
        <f aca="false">IVA!AH147+IVA!AI147+IVA!AJ147</f>
        <v>118835.43</v>
      </c>
      <c r="AS147" s="155" t="n">
        <f aca="false">IVA!AK147+IVA!AL147+IVA!AM147</f>
        <v>120007.44</v>
      </c>
      <c r="AT147" s="155" t="n">
        <f aca="false">IVA!AN147+IVA!AO147+IVA!AP147</f>
        <v>129571.47</v>
      </c>
      <c r="AU147" s="409" t="n">
        <f aca="false">IVA!AQ147+IVA!AR147+IVA!AS147+IVA!AT147</f>
        <v>488324.55</v>
      </c>
      <c r="AV147" s="130" t="n">
        <f aca="false">IVA!AQ147/IVA!CJ7</f>
        <v>0.000424064626331499</v>
      </c>
      <c r="AW147" s="130" t="n">
        <f aca="false">IVA!AR147/IVA!CK7</f>
        <v>0.000380725237728375</v>
      </c>
      <c r="AX147" s="130" t="n">
        <f aca="false">IVA!AS147/IVA!CL7</f>
        <v>0.00039285549068852</v>
      </c>
      <c r="AY147" s="130" t="n">
        <f aca="false">IVA!AT147/IVA!CM7</f>
        <v>0.000438592971223457</v>
      </c>
      <c r="AZ147" s="271" t="n">
        <f aca="false">IVA!AU147/IVA!CN7</f>
        <v>0.00163347459862855</v>
      </c>
      <c r="BA147" s="272" t="n">
        <v>1997</v>
      </c>
      <c r="BB147" s="430" t="s">
        <v>571</v>
      </c>
      <c r="BC147" s="431"/>
      <c r="BD147" s="431"/>
      <c r="BE147" s="431"/>
      <c r="BF147" s="432" t="n">
        <v>3010.4501645715</v>
      </c>
      <c r="BG147" s="432" t="n">
        <v>2698.7732395395</v>
      </c>
      <c r="BH147" s="432" t="n">
        <v>3356.2331504235</v>
      </c>
      <c r="BI147" s="432" t="n">
        <v>927.7504428825</v>
      </c>
      <c r="BJ147" s="432" t="n">
        <v>2510.4028420875</v>
      </c>
      <c r="BK147" s="432" t="n">
        <v>2655.812720622</v>
      </c>
      <c r="BL147" s="432" t="n">
        <v>3004.350426771</v>
      </c>
      <c r="BM147" s="432" t="n">
        <v>2929.1203272315</v>
      </c>
      <c r="BN147" s="432" t="n">
        <v>2763.377989362</v>
      </c>
      <c r="BO147" s="432" t="n">
        <v>2416.7423519895</v>
      </c>
      <c r="BP147" s="432" t="n">
        <v>3008.416918638</v>
      </c>
      <c r="BQ147" s="433" t="n">
        <v>3021.0755142885</v>
      </c>
      <c r="BR147" s="175" t="n">
        <f aca="false">IVA!BF147+IVA!BG147+IVA!BH147</f>
        <v>9065.4565545345</v>
      </c>
      <c r="BS147" s="175" t="n">
        <f aca="false">IVA!BI147+IVA!BJ147+IVA!BK147</f>
        <v>6093.966005592</v>
      </c>
      <c r="BT147" s="175" t="n">
        <f aca="false">IVA!BL147+IVA!BM147+IVA!BN147</f>
        <v>8696.8487433645</v>
      </c>
      <c r="BU147" s="176" t="n">
        <f aca="false">IVA!BO147+IVA!BP147+IVA!BQ147</f>
        <v>8446.234784916</v>
      </c>
      <c r="BV147" s="137" t="n">
        <f aca="false">IVA!BR147+IVA!BS147+IVA!BT147+IVA!BU147</f>
        <v>32302.506088407</v>
      </c>
      <c r="BW147" s="138" t="n">
        <f aca="false">IVA!BR147/IVA!CJ6</f>
        <v>3.34198059224895E-005</v>
      </c>
      <c r="BX147" s="139" t="n">
        <f aca="false">IVA!BS147/IVA!CK6</f>
        <v>2.03218541803228E-005</v>
      </c>
      <c r="BY147" s="138" t="n">
        <f aca="false">IVA!BT147/IVA!CL6</f>
        <v>2.91581278090175E-005</v>
      </c>
      <c r="BZ147" s="138" t="n">
        <f aca="false">IVA!BU147/IVA!CM6</f>
        <v>2.79641903714419E-005</v>
      </c>
      <c r="CA147" s="273" t="n">
        <f aca="false">IVA!BV147/IVA!CN6</f>
        <v>0.000110300587036869</v>
      </c>
      <c r="CI147" s="239"/>
      <c r="CJ147" s="26"/>
      <c r="CK147" s="26"/>
      <c r="CL147" s="26"/>
      <c r="CM147" s="26"/>
      <c r="CN147" s="26"/>
      <c r="CO147" s="26"/>
      <c r="CP147" s="26"/>
      <c r="CQ147" s="27"/>
      <c r="EJ147" s="31" t="n">
        <v>2095</v>
      </c>
      <c r="EK147" s="32" t="n">
        <v>20432.789</v>
      </c>
      <c r="EL147" s="33" t="n">
        <v>18962.854</v>
      </c>
    </row>
    <row r="148" customFormat="false" ht="12.75" hidden="false" customHeight="true" outlineLevel="0" collapsed="false">
      <c r="AA148" s="404" t="n">
        <v>1999</v>
      </c>
      <c r="AB148" s="404" t="s">
        <v>569</v>
      </c>
      <c r="AC148" s="405"/>
      <c r="AD148" s="406"/>
      <c r="AE148" s="407" t="n">
        <f aca="false">IVA!AE131*0.21</f>
        <v>32245.08</v>
      </c>
      <c r="AF148" s="408" t="n">
        <f aca="false">IVA!AF131*0.21</f>
        <v>43790.04</v>
      </c>
      <c r="AG148" s="407" t="n">
        <f aca="false">IVA!AG131*0.21</f>
        <v>37431.03</v>
      </c>
      <c r="AH148" s="407" t="n">
        <f aca="false">IVA!AH131*0.21</f>
        <v>35906.01</v>
      </c>
      <c r="AI148" s="407" t="n">
        <f aca="false">IVA!AI131*0.21</f>
        <v>39748.8</v>
      </c>
      <c r="AJ148" s="407" t="n">
        <f aca="false">IVA!AJ131*0.21</f>
        <v>35386.47</v>
      </c>
      <c r="AK148" s="407" t="n">
        <f aca="false">IVA!AK131*0.21</f>
        <v>35662.62</v>
      </c>
      <c r="AL148" s="407" t="n">
        <f aca="false">IVA!AL131*0.21</f>
        <v>37575.93</v>
      </c>
      <c r="AM148" s="407" t="n">
        <f aca="false">IVA!AM131*0.21</f>
        <v>37695</v>
      </c>
      <c r="AN148" s="407" t="n">
        <f aca="false">IVA!AN131*0.21</f>
        <v>36904.56</v>
      </c>
      <c r="AO148" s="407" t="n">
        <f aca="false">IVA!AO131*0.21</f>
        <v>37355.22</v>
      </c>
      <c r="AP148" s="407" t="n">
        <f aca="false">IVA!AP131*0.21</f>
        <v>47366.55</v>
      </c>
      <c r="AQ148" s="155" t="n">
        <f aca="false">IVA!AE148+IVA!AF148+IVA!AG148</f>
        <v>113466.15</v>
      </c>
      <c r="AR148" s="155" t="n">
        <f aca="false">IVA!AH148+IVA!AI148+IVA!AJ148</f>
        <v>111041.28</v>
      </c>
      <c r="AS148" s="155" t="n">
        <f aca="false">IVA!AK148+IVA!AL148+IVA!AM148</f>
        <v>110933.55</v>
      </c>
      <c r="AT148" s="155" t="n">
        <f aca="false">IVA!AN148+IVA!AO148+IVA!AP148</f>
        <v>121626.33</v>
      </c>
      <c r="AU148" s="409" t="n">
        <f aca="false">IVA!AQ148+IVA!AR148+IVA!AS148+IVA!AT148</f>
        <v>457067.31</v>
      </c>
      <c r="AV148" s="130" t="n">
        <f aca="false">IVA!AQ148/IVA!CJ8</f>
        <v>0.000419087077925436</v>
      </c>
      <c r="AW148" s="130" t="n">
        <f aca="false">IVA!AR148/IVA!CK8</f>
        <v>0.000384452222364948</v>
      </c>
      <c r="AX148" s="130" t="n">
        <f aca="false">IVA!AS148/IVA!CL8</f>
        <v>0.000389121712587479</v>
      </c>
      <c r="AY148" s="130" t="n">
        <f aca="false">IVA!AT148/IVA!CM8</f>
        <v>0.000420228801774571</v>
      </c>
      <c r="AZ148" s="271" t="n">
        <f aca="false">IVA!AU148/IVA!CN8</f>
        <v>0.00161209944639683</v>
      </c>
      <c r="BA148" s="266" t="n">
        <v>1998</v>
      </c>
      <c r="BB148" s="430" t="s">
        <v>571</v>
      </c>
      <c r="BC148" s="431"/>
      <c r="BD148" s="431"/>
      <c r="BE148" s="431"/>
      <c r="BF148" s="432" t="n">
        <v>3168.7809930705</v>
      </c>
      <c r="BG148" s="432" t="n">
        <v>2565.562836606</v>
      </c>
      <c r="BH148" s="432" t="n">
        <v>2110.9683990225</v>
      </c>
      <c r="BI148" s="432" t="n">
        <v>1958.999662638</v>
      </c>
      <c r="BJ148" s="432" t="n">
        <v>2550.1495206585</v>
      </c>
      <c r="BK148" s="432" t="n">
        <v>2071.2217204515</v>
      </c>
      <c r="BL148" s="432" t="n">
        <v>2369.715341205</v>
      </c>
      <c r="BM148" s="432" t="n">
        <v>2553.6913038975</v>
      </c>
      <c r="BN148" s="432" t="n">
        <v>2844.9045924375</v>
      </c>
      <c r="BO148" s="432" t="n">
        <v>2506.4675273775</v>
      </c>
      <c r="BP148" s="432" t="n">
        <v>2517.2240542515</v>
      </c>
      <c r="BQ148" s="433" t="n">
        <v>2157.995409807</v>
      </c>
      <c r="BR148" s="175" t="n">
        <f aca="false">IVA!BF148+IVA!BG148+IVA!BH148</f>
        <v>7845.312228699</v>
      </c>
      <c r="BS148" s="175" t="n">
        <f aca="false">IVA!BI148+IVA!BJ148+IVA!BK148</f>
        <v>6580.370903748</v>
      </c>
      <c r="BT148" s="175" t="n">
        <f aca="false">IVA!BL148+IVA!BM148+IVA!BN148</f>
        <v>7768.31123754</v>
      </c>
      <c r="BU148" s="176" t="n">
        <f aca="false">IVA!BO148+IVA!BP148+IVA!BQ148</f>
        <v>7181.686991436</v>
      </c>
      <c r="BV148" s="137" t="n">
        <f aca="false">IVA!BR148+IVA!BS148+IVA!BT148+IVA!BU148</f>
        <v>29375.681361423</v>
      </c>
      <c r="BW148" s="138" t="n">
        <f aca="false">IVA!BR148/IVA!CJ7</f>
        <v>2.7745088585177E-005</v>
      </c>
      <c r="BX148" s="139" t="n">
        <f aca="false">IVA!BS148/IVA!CK7</f>
        <v>2.10822081989381E-005</v>
      </c>
      <c r="BY148" s="138" t="n">
        <f aca="false">IVA!BT148/IVA!CL7</f>
        <v>2.54302876808715E-005</v>
      </c>
      <c r="BZ148" s="138" t="n">
        <f aca="false">IVA!BU148/IVA!CM7</f>
        <v>2.43096527034135E-005</v>
      </c>
      <c r="CA148" s="273" t="n">
        <f aca="false">IVA!BV148/IVA!CN7</f>
        <v>9.82633974091426E-005</v>
      </c>
      <c r="CI148" s="235"/>
      <c r="CJ148" s="77"/>
      <c r="CK148" s="78"/>
      <c r="CL148" s="78"/>
      <c r="CM148" s="78"/>
      <c r="CN148" s="78"/>
      <c r="CO148" s="78"/>
      <c r="CP148" s="78"/>
      <c r="CQ148" s="78"/>
      <c r="EJ148" s="31" t="n">
        <v>2096</v>
      </c>
      <c r="EK148" s="32" t="n">
        <v>20472.237</v>
      </c>
      <c r="EL148" s="33" t="n">
        <v>19006.811</v>
      </c>
    </row>
    <row r="149" customFormat="false" ht="12.75" hidden="false" customHeight="true" outlineLevel="0" collapsed="false">
      <c r="AA149" s="404" t="n">
        <v>2000</v>
      </c>
      <c r="AB149" s="404" t="s">
        <v>569</v>
      </c>
      <c r="AC149" s="405"/>
      <c r="AD149" s="406"/>
      <c r="AE149" s="407" t="n">
        <f aca="false">IVA!AE132*0.21</f>
        <v>33828.1021155</v>
      </c>
      <c r="AF149" s="408" t="n">
        <f aca="false">IVA!AF132*0.21</f>
        <v>41772.6149883</v>
      </c>
      <c r="AG149" s="407" t="n">
        <f aca="false">IVA!AG132*0.21</f>
        <v>38050.7883168</v>
      </c>
      <c r="AH149" s="407" t="n">
        <f aca="false">IVA!AH132*0.21</f>
        <v>41792.4177006</v>
      </c>
      <c r="AI149" s="407" t="n">
        <f aca="false">IVA!AI132*0.21</f>
        <v>34076.467047</v>
      </c>
      <c r="AJ149" s="407" t="n">
        <f aca="false">IVA!AJ132*0.21</f>
        <v>37392.2803905</v>
      </c>
      <c r="AK149" s="407" t="n">
        <f aca="false">IVA!AK132*0.21</f>
        <v>35942.117106</v>
      </c>
      <c r="AL149" s="407" t="n">
        <f aca="false">IVA!AL132*0.21</f>
        <v>36168.92874</v>
      </c>
      <c r="AM149" s="407" t="n">
        <f aca="false">IVA!AM132*0.21</f>
        <v>41728.08465</v>
      </c>
      <c r="AN149" s="407" t="n">
        <f aca="false">IVA!AN132*0.21</f>
        <v>36157.336446</v>
      </c>
      <c r="AO149" s="407" t="n">
        <f aca="false">IVA!AO132*0.21</f>
        <v>33997.3352523</v>
      </c>
      <c r="AP149" s="407" t="n">
        <f aca="false">IVA!AP132*0.21</f>
        <v>41352.6675765</v>
      </c>
      <c r="AQ149" s="155" t="n">
        <f aca="false">IVA!AE149+IVA!AF149+IVA!AG149</f>
        <v>113651.5054206</v>
      </c>
      <c r="AR149" s="155" t="n">
        <f aca="false">IVA!AH149+IVA!AI149+IVA!AJ149</f>
        <v>113261.1651381</v>
      </c>
      <c r="AS149" s="155" t="n">
        <f aca="false">IVA!AK149+IVA!AL149+IVA!AM149</f>
        <v>113839.130496</v>
      </c>
      <c r="AT149" s="155" t="n">
        <f aca="false">IVA!AN149+IVA!AO149+IVA!AP149</f>
        <v>111507.3392748</v>
      </c>
      <c r="AU149" s="409" t="n">
        <f aca="false">IVA!AQ149+IVA!AR149+IVA!AS149+IVA!AT149</f>
        <v>452259.1403295</v>
      </c>
      <c r="AV149" s="130" t="n">
        <f aca="false">IVA!AQ149/IVA!CJ9</f>
        <v>0.000420240439501708</v>
      </c>
      <c r="AW149" s="130" t="n">
        <f aca="false">IVA!AR149/IVA!CK9</f>
        <v>0.000388151871211629</v>
      </c>
      <c r="AX149" s="130" t="n">
        <f aca="false">IVA!AS149/IVA!CL9</f>
        <v>0.000395968194676437</v>
      </c>
      <c r="AY149" s="130" t="n">
        <f aca="false">IVA!AT149/IVA!CM9</f>
        <v>0.000388420380715889</v>
      </c>
      <c r="AZ149" s="271" t="n">
        <f aca="false">IVA!AU149/IVA!CN9</f>
        <v>0.00159132016144529</v>
      </c>
      <c r="BA149" s="266" t="n">
        <v>1999</v>
      </c>
      <c r="BB149" s="430" t="s">
        <v>571</v>
      </c>
      <c r="BC149" s="431"/>
      <c r="BD149" s="431"/>
      <c r="BE149" s="431"/>
      <c r="BF149" s="432" t="n">
        <v>2447.372218149</v>
      </c>
      <c r="BG149" s="432" t="n">
        <v>2240.637018717</v>
      </c>
      <c r="BH149" s="432" t="n">
        <v>2110.4436903945</v>
      </c>
      <c r="BI149" s="432" t="n">
        <v>1832.151351819</v>
      </c>
      <c r="BJ149" s="432" t="n">
        <v>2627.8063976025</v>
      </c>
      <c r="BK149" s="432" t="n">
        <v>2027.2773728565</v>
      </c>
      <c r="BL149" s="432" t="n">
        <v>2425.859164401</v>
      </c>
      <c r="BM149" s="432" t="n">
        <v>2347.3496359365</v>
      </c>
      <c r="BN149" s="432" t="n">
        <v>2640.59617041</v>
      </c>
      <c r="BO149" s="432" t="n">
        <v>2219.911027911</v>
      </c>
      <c r="BP149" s="432" t="n">
        <v>2440.2230630925</v>
      </c>
      <c r="BQ149" s="433" t="n">
        <v>2144.8121055285</v>
      </c>
      <c r="BR149" s="175" t="n">
        <f aca="false">IVA!BF149+IVA!BG149+IVA!BH149</f>
        <v>6798.4529272605</v>
      </c>
      <c r="BS149" s="175" t="n">
        <f aca="false">IVA!BI149+IVA!BJ149+IVA!BK149</f>
        <v>6487.235122278</v>
      </c>
      <c r="BT149" s="175" t="n">
        <f aca="false">IVA!BL149+IVA!BM149+IVA!BN149</f>
        <v>7413.8049707475</v>
      </c>
      <c r="BU149" s="176" t="n">
        <f aca="false">IVA!BO149+IVA!BP149+IVA!BQ149</f>
        <v>6804.946196532</v>
      </c>
      <c r="BV149" s="137" t="n">
        <f aca="false">IVA!BR149+IVA!BS149+IVA!BT149+IVA!BU149</f>
        <v>27504.439216818</v>
      </c>
      <c r="BW149" s="138" t="n">
        <f aca="false">IVA!BR149/IVA!CJ8</f>
        <v>2.51100770731996E-005</v>
      </c>
      <c r="BX149" s="139" t="n">
        <f aca="false">IVA!BS149/IVA!CK8</f>
        <v>2.24604035522981E-005</v>
      </c>
      <c r="BY149" s="138" t="n">
        <f aca="false">IVA!BT149/IVA!CL8</f>
        <v>2.60054103290378E-005</v>
      </c>
      <c r="BZ149" s="138" t="n">
        <f aca="false">IVA!BU149/IVA!CM8</f>
        <v>2.35116391846162E-005</v>
      </c>
      <c r="CA149" s="273" t="n">
        <f aca="false">IVA!BV149/IVA!CN8</f>
        <v>9.70095438128958E-005</v>
      </c>
      <c r="CI149" s="235"/>
      <c r="CJ149" s="93" t="s">
        <v>558</v>
      </c>
      <c r="CK149" s="94" t="s">
        <v>559</v>
      </c>
      <c r="CL149" s="94" t="s">
        <v>560</v>
      </c>
      <c r="CM149" s="94" t="s">
        <v>561</v>
      </c>
      <c r="CN149" s="94" t="s">
        <v>562</v>
      </c>
      <c r="CO149" s="94" t="s">
        <v>572</v>
      </c>
      <c r="CP149" s="94" t="s">
        <v>573</v>
      </c>
      <c r="CQ149" s="94" t="s">
        <v>574</v>
      </c>
      <c r="EJ149" s="31" t="n">
        <v>2097</v>
      </c>
      <c r="EK149" s="32" t="n">
        <v>20514.716</v>
      </c>
      <c r="EL149" s="33" t="n">
        <v>19053.58</v>
      </c>
    </row>
    <row r="150" customFormat="false" ht="12.75" hidden="false" customHeight="true" outlineLevel="0" collapsed="false">
      <c r="AA150" s="404" t="n">
        <v>2001</v>
      </c>
      <c r="AB150" s="404" t="s">
        <v>569</v>
      </c>
      <c r="AC150" s="405"/>
      <c r="AD150" s="406"/>
      <c r="AE150" s="407" t="n">
        <f aca="false">IVA!AE133*0.21</f>
        <v>28423.2408999</v>
      </c>
      <c r="AF150" s="408" t="n">
        <f aca="false">IVA!AF133*0.21</f>
        <v>37777.9464657</v>
      </c>
      <c r="AG150" s="407" t="n">
        <f aca="false">IVA!AG133*0.21</f>
        <v>36071.4796302</v>
      </c>
      <c r="AH150" s="407" t="n">
        <f aca="false">IVA!AH133*0.21</f>
        <v>34139.5189863</v>
      </c>
      <c r="AI150" s="407" t="n">
        <f aca="false">IVA!AI133*0.21</f>
        <v>34005.5616705</v>
      </c>
      <c r="AJ150" s="407" t="n">
        <f aca="false">IVA!AJ133*0.21</f>
        <v>27813.9468873</v>
      </c>
      <c r="AK150" s="407" t="n">
        <f aca="false">IVA!AK133*0.21</f>
        <v>29025.8698044</v>
      </c>
      <c r="AL150" s="407" t="n">
        <f aca="false">IVA!AL133*0.21</f>
        <v>31749.3123402</v>
      </c>
      <c r="AM150" s="407" t="n">
        <f aca="false">IVA!AM133*0.21</f>
        <v>32565.2984412</v>
      </c>
      <c r="AN150" s="407" t="n">
        <f aca="false">IVA!AN133*0.21</f>
        <v>30404.43231</v>
      </c>
      <c r="AO150" s="407" t="n">
        <f aca="false">IVA!AO133*0.21</f>
        <v>32240.9617299</v>
      </c>
      <c r="AP150" s="407" t="n">
        <f aca="false">IVA!AP133*0.21</f>
        <v>28157.1755997</v>
      </c>
      <c r="AQ150" s="155" t="n">
        <f aca="false">IVA!AE150+IVA!AF150+IVA!AG150</f>
        <v>102272.6669958</v>
      </c>
      <c r="AR150" s="155" t="n">
        <f aca="false">IVA!AH150+IVA!AI150+IVA!AJ150</f>
        <v>95959.0275441</v>
      </c>
      <c r="AS150" s="155" t="n">
        <f aca="false">IVA!AK150+IVA!AL150+IVA!AM150</f>
        <v>93340.4805858</v>
      </c>
      <c r="AT150" s="155" t="n">
        <f aca="false">IVA!AN150+IVA!AO150+IVA!AP150</f>
        <v>90802.5696396</v>
      </c>
      <c r="AU150" s="409" t="n">
        <f aca="false">IVA!AQ150+IVA!AR150+IVA!AS150+IVA!AT150</f>
        <v>382374.7447653</v>
      </c>
      <c r="AV150" s="130" t="n">
        <f aca="false">IVA!AQ150/IVA!CJ10</f>
        <v>0.000388380657787347</v>
      </c>
      <c r="AW150" s="130" t="n">
        <f aca="false">IVA!AR150/IVA!CK10</f>
        <v>0.000333160903808926</v>
      </c>
      <c r="AX150" s="130" t="n">
        <f aca="false">IVA!AS150/IVA!CL10</f>
        <v>0.000343963718772112</v>
      </c>
      <c r="AY150" s="130" t="n">
        <f aca="false">IVA!AT150/IVA!CM10</f>
        <v>0.000360237677473793</v>
      </c>
      <c r="AZ150" s="271" t="n">
        <f aca="false">IVA!AU150/IVA!CN10</f>
        <v>0.00142307193275342</v>
      </c>
      <c r="BA150" s="266" t="n">
        <v>2000</v>
      </c>
      <c r="BB150" s="430" t="s">
        <v>571</v>
      </c>
      <c r="BC150" s="431"/>
      <c r="BD150" s="431"/>
      <c r="BE150" s="431"/>
      <c r="BF150" s="432" t="n">
        <v>2605.05483341491</v>
      </c>
      <c r="BG150" s="432" t="n">
        <v>2249.85317093361</v>
      </c>
      <c r="BH150" s="432" t="n">
        <v>2900.15350998307</v>
      </c>
      <c r="BI150" s="432" t="n">
        <v>2774.17119927207</v>
      </c>
      <c r="BJ150" s="432" t="n">
        <v>1991.34577857225</v>
      </c>
      <c r="BK150" s="432" t="n">
        <v>2455.89586254192</v>
      </c>
      <c r="BL150" s="432" t="n">
        <v>2262.85524150788</v>
      </c>
      <c r="BM150" s="432" t="n">
        <v>2706.85464441537</v>
      </c>
      <c r="BN150" s="432" t="n">
        <v>2385.25101920455</v>
      </c>
      <c r="BO150" s="432" t="n">
        <v>2842.16122552344</v>
      </c>
      <c r="BP150" s="432" t="n">
        <v>2252.09829093167</v>
      </c>
      <c r="BQ150" s="433" t="n">
        <v>2478.79122772021</v>
      </c>
      <c r="BR150" s="175" t="n">
        <f aca="false">IVA!BF150+IVA!BG150+IVA!BH150</f>
        <v>7755.06151433159</v>
      </c>
      <c r="BS150" s="175" t="n">
        <f aca="false">IVA!BI150+IVA!BJ150+IVA!BK150</f>
        <v>7221.41284038624</v>
      </c>
      <c r="BT150" s="175" t="n">
        <f aca="false">IVA!BL150+IVA!BM150+IVA!BN150</f>
        <v>7354.9609051278</v>
      </c>
      <c r="BU150" s="176" t="n">
        <f aca="false">IVA!BO150+IVA!BP150+IVA!BQ150</f>
        <v>7573.05074417532</v>
      </c>
      <c r="BV150" s="137" t="n">
        <f aca="false">IVA!BR150+IVA!BS150+IVA!BT150+IVA!BU150</f>
        <v>29904.486004021</v>
      </c>
      <c r="BW150" s="138" t="n">
        <f aca="false">IVA!BR150/IVA!CJ9</f>
        <v>2.86752951233216E-005</v>
      </c>
      <c r="BX150" s="139" t="n">
        <f aca="false">IVA!BS150/IVA!CK9</f>
        <v>2.47481553219931E-005</v>
      </c>
      <c r="BY150" s="138" t="n">
        <f aca="false">IVA!BT150/IVA!CL9</f>
        <v>2.55828604701224E-005</v>
      </c>
      <c r="BZ150" s="138" t="n">
        <f aca="false">IVA!BU150/IVA!CM9</f>
        <v>2.63796739511844E-005</v>
      </c>
      <c r="CA150" s="273" t="n">
        <f aca="false">IVA!BV150/IVA!CN9</f>
        <v>0.000105222000513216</v>
      </c>
      <c r="CI150" s="235"/>
      <c r="CJ150" s="281"/>
      <c r="CK150" s="281"/>
      <c r="CL150" s="281"/>
      <c r="CM150" s="281"/>
      <c r="CN150" s="281"/>
      <c r="CO150" s="373"/>
      <c r="CP150" s="373"/>
      <c r="CQ150" s="373"/>
      <c r="EJ150" s="31" t="n">
        <v>2098</v>
      </c>
      <c r="EK150" s="32" t="n">
        <v>20560.706</v>
      </c>
      <c r="EL150" s="33" t="n">
        <v>19103.785</v>
      </c>
    </row>
    <row r="151" customFormat="false" ht="12.75" hidden="false" customHeight="true" outlineLevel="0" collapsed="false">
      <c r="AA151" s="404" t="n">
        <v>2002</v>
      </c>
      <c r="AB151" s="404" t="s">
        <v>569</v>
      </c>
      <c r="AC151" s="405"/>
      <c r="AD151" s="406"/>
      <c r="AE151" s="407" t="n">
        <f aca="false">IVA!AE134*0.21</f>
        <v>27629.4419814</v>
      </c>
      <c r="AF151" s="408" t="n">
        <f aca="false">IVA!AF134*0.21</f>
        <v>29922.5704827</v>
      </c>
      <c r="AG151" s="407" t="n">
        <f aca="false">IVA!AG134*0.21</f>
        <v>25847.5067403</v>
      </c>
      <c r="AH151" s="407" t="n">
        <f aca="false">IVA!AH134*0.21</f>
        <v>22591.6014492</v>
      </c>
      <c r="AI151" s="407" t="n">
        <f aca="false">IVA!AI134*0.21</f>
        <v>31226.7969174</v>
      </c>
      <c r="AJ151" s="407" t="n">
        <f aca="false">IVA!AJ134*0.21</f>
        <v>27305.1390024</v>
      </c>
      <c r="AK151" s="407" t="n">
        <f aca="false">IVA!AK134*0.21</f>
        <v>31042.6096869</v>
      </c>
      <c r="AL151" s="407" t="n">
        <f aca="false">IVA!AL134*0.21</f>
        <v>37610.4149484</v>
      </c>
      <c r="AM151" s="407" t="n">
        <f aca="false">IVA!AM134*0.21</f>
        <v>30007.6486332</v>
      </c>
      <c r="AN151" s="407" t="n">
        <f aca="false">IVA!AN134*0.21</f>
        <v>32235.6134121</v>
      </c>
      <c r="AO151" s="407" t="n">
        <f aca="false">IVA!AO134*0.21</f>
        <v>24882.0738117</v>
      </c>
      <c r="AP151" s="407" t="n">
        <f aca="false">IVA!AP134*0.21</f>
        <v>32178.9632241</v>
      </c>
      <c r="AQ151" s="155" t="n">
        <f aca="false">IVA!AE151+IVA!AF151+IVA!AG151</f>
        <v>83399.5192044</v>
      </c>
      <c r="AR151" s="155" t="n">
        <f aca="false">IVA!AH151+IVA!AI151+IVA!AJ151</f>
        <v>81123.537369</v>
      </c>
      <c r="AS151" s="155" t="n">
        <f aca="false">IVA!AK151+IVA!AL151+IVA!AM151</f>
        <v>98660.6732685</v>
      </c>
      <c r="AT151" s="155" t="n">
        <f aca="false">IVA!AN151+IVA!AO151+IVA!AP151</f>
        <v>89296.6504479</v>
      </c>
      <c r="AU151" s="409" t="n">
        <f aca="false">IVA!AQ151+IVA!AR151+IVA!AS151+IVA!AT151</f>
        <v>352480.3802898</v>
      </c>
      <c r="AV151" s="130" t="n">
        <f aca="false">IVA!AQ151/IVA!CJ11</f>
        <v>0.0003518120924689</v>
      </c>
      <c r="AW151" s="130" t="n">
        <f aca="false">IVA!AR151/IVA!CK11</f>
        <v>0.000239296680632169</v>
      </c>
      <c r="AX151" s="130" t="n">
        <f aca="false">IVA!AS151/IVA!CL11</f>
        <v>0.000295385726840229</v>
      </c>
      <c r="AY151" s="130" t="n">
        <f aca="false">IVA!AT151/IVA!CM11</f>
        <v>0.000262444678536916</v>
      </c>
      <c r="AZ151" s="271" t="n">
        <f aca="false">IVA!AU151/IVA!CN11</f>
        <v>0.00112764801991792</v>
      </c>
      <c r="BA151" s="266" t="n">
        <v>2001</v>
      </c>
      <c r="BB151" s="430" t="s">
        <v>571</v>
      </c>
      <c r="BC151" s="431"/>
      <c r="BD151" s="431"/>
      <c r="BE151" s="431"/>
      <c r="BF151" s="432" t="n">
        <v>2636.23623196336</v>
      </c>
      <c r="BG151" s="432" t="n">
        <v>2263.30407202119</v>
      </c>
      <c r="BH151" s="432" t="n">
        <v>2363.14999205339</v>
      </c>
      <c r="BI151" s="432" t="n">
        <v>2042.32502001703</v>
      </c>
      <c r="BJ151" s="432" t="n">
        <v>2097.5419165627</v>
      </c>
      <c r="BK151" s="432" t="n">
        <v>2283.45825438508</v>
      </c>
      <c r="BL151" s="432" t="n">
        <v>2006.2793337446</v>
      </c>
      <c r="BM151" s="432" t="n">
        <v>1982.06557976462</v>
      </c>
      <c r="BN151" s="432" t="n">
        <v>1926.88726570026</v>
      </c>
      <c r="BO151" s="432" t="n">
        <v>1537.52220551952</v>
      </c>
      <c r="BP151" s="432" t="n">
        <v>2359.27018626914</v>
      </c>
      <c r="BQ151" s="433" t="n">
        <v>954.603694424196</v>
      </c>
      <c r="BR151" s="175" t="n">
        <f aca="false">IVA!BF151+IVA!BG151+IVA!BH151</f>
        <v>7262.69029603794</v>
      </c>
      <c r="BS151" s="175" t="n">
        <f aca="false">IVA!BI151+IVA!BJ151+IVA!BK151</f>
        <v>6423.32519096481</v>
      </c>
      <c r="BT151" s="175" t="n">
        <f aca="false">IVA!BL151+IVA!BM151+IVA!BN151</f>
        <v>5915.23217920948</v>
      </c>
      <c r="BU151" s="176" t="n">
        <f aca="false">IVA!BO151+IVA!BP151+IVA!BQ151</f>
        <v>4851.39608621286</v>
      </c>
      <c r="BV151" s="137" t="n">
        <f aca="false">IVA!BR151+IVA!BS151+IVA!BT151+IVA!BU151</f>
        <v>24452.6437524251</v>
      </c>
      <c r="BW151" s="138" t="n">
        <f aca="false">IVA!BR151/IVA!CJ10</f>
        <v>2.75800809476968E-005</v>
      </c>
      <c r="BX151" s="139" t="n">
        <f aca="false">IVA!BS151/IVA!CK10</f>
        <v>2.23011933410538E-005</v>
      </c>
      <c r="BY151" s="138" t="n">
        <f aca="false">IVA!BT151/IVA!CL10</f>
        <v>2.17978871009893E-005</v>
      </c>
      <c r="BZ151" s="138" t="n">
        <f aca="false">IVA!BU151/IVA!CM10</f>
        <v>1.92467643321032E-005</v>
      </c>
      <c r="CA151" s="273" t="n">
        <f aca="false">IVA!BV151/IVA!CN10</f>
        <v>9.10046269584392E-005</v>
      </c>
      <c r="CI151" s="53" t="n">
        <v>1997</v>
      </c>
      <c r="CJ151" s="374" t="n">
        <f aca="false">IVA!CJ127+IVA!CJ103</f>
        <v>6196261.72808718</v>
      </c>
      <c r="CK151" s="374" t="n">
        <f aca="false">IVA!CK127+IVA!CK103</f>
        <v>5872379.61567693</v>
      </c>
      <c r="CL151" s="374" t="n">
        <f aca="false">IVA!CL127+IVA!CL103</f>
        <v>6456497.25795431</v>
      </c>
      <c r="CM151" s="374" t="n">
        <f aca="false">IVA!CM127+IVA!CM103</f>
        <v>6359149.53874784</v>
      </c>
      <c r="CN151" s="375" t="n">
        <f aca="false">IVA!CN127+IVA!CN103</f>
        <v>22245665.5514904</v>
      </c>
      <c r="CO151" s="376"/>
      <c r="CP151" s="377"/>
      <c r="CQ151" s="377"/>
      <c r="EJ151" s="31" t="n">
        <v>2099</v>
      </c>
      <c r="EK151" s="32" t="n">
        <v>20609.864</v>
      </c>
      <c r="EL151" s="33" t="n">
        <v>19157.194</v>
      </c>
    </row>
    <row r="152" customFormat="false" ht="12.75" hidden="false" customHeight="true" outlineLevel="0" collapsed="false">
      <c r="AA152" s="404" t="n">
        <v>2003</v>
      </c>
      <c r="AB152" s="404" t="s">
        <v>569</v>
      </c>
      <c r="AC152" s="405"/>
      <c r="AD152" s="406"/>
      <c r="AE152" s="407" t="n">
        <f aca="false">IVA!AE135*0.21</f>
        <v>25886.0100639</v>
      </c>
      <c r="AF152" s="408" t="n">
        <f aca="false">IVA!AF135*0.21</f>
        <v>33830.2862394</v>
      </c>
      <c r="AG152" s="407" t="n">
        <f aca="false">IVA!AG135*0.21</f>
        <v>32698.7843721</v>
      </c>
      <c r="AH152" s="407" t="n">
        <f aca="false">IVA!AH135*0.21</f>
        <v>26630.5500363</v>
      </c>
      <c r="AI152" s="407" t="n">
        <f aca="false">IVA!AI135*0.21</f>
        <v>24033.2840622</v>
      </c>
      <c r="AJ152" s="407" t="n">
        <f aca="false">IVA!AJ135*0.21</f>
        <v>30977.7593559</v>
      </c>
      <c r="AK152" s="407" t="n">
        <f aca="false">IVA!AK135*0.21</f>
        <v>24889.9677705</v>
      </c>
      <c r="AL152" s="407" t="n">
        <f aca="false">IVA!AL135*0.21</f>
        <v>34891.3307442</v>
      </c>
      <c r="AM152" s="407" t="n">
        <f aca="false">IVA!AM135*0.21</f>
        <v>22612.9017051</v>
      </c>
      <c r="AN152" s="407" t="n">
        <f aca="false">IVA!AN135*0.21</f>
        <v>27949.2372327</v>
      </c>
      <c r="AO152" s="407" t="n">
        <f aca="false">IVA!AO135*0.21</f>
        <v>25646.3233278</v>
      </c>
      <c r="AP152" s="407" t="n">
        <f aca="false">IVA!AP135*0.21</f>
        <v>27866.2249929</v>
      </c>
      <c r="AQ152" s="155" t="n">
        <f aca="false">IVA!AE152+IVA!AF152+IVA!AG152</f>
        <v>92415.0806754</v>
      </c>
      <c r="AR152" s="155" t="n">
        <f aca="false">IVA!AH152+IVA!AI152+IVA!AJ152</f>
        <v>81641.5934544</v>
      </c>
      <c r="AS152" s="155" t="n">
        <f aca="false">IVA!AK152+IVA!AL152+IVA!AM152</f>
        <v>82394.2002198</v>
      </c>
      <c r="AT152" s="155" t="n">
        <f aca="false">IVA!AN152+IVA!AO152+IVA!AP152</f>
        <v>81461.7855534</v>
      </c>
      <c r="AU152" s="409" t="n">
        <f aca="false">IVA!AQ152+IVA!AR152+IVA!AS152+IVA!AT152</f>
        <v>337912.659903</v>
      </c>
      <c r="AV152" s="130" t="n">
        <f aca="false">IVA!AQ152/IVA!CJ12</f>
        <v>0.000282302407351495</v>
      </c>
      <c r="AW152" s="130" t="n">
        <f aca="false">IVA!AR152/IVA!CK12</f>
        <v>0.000204554598658505</v>
      </c>
      <c r="AX152" s="130" t="n">
        <f aca="false">IVA!AS152/IVA!CL12</f>
        <v>0.000218039115592551</v>
      </c>
      <c r="AY152" s="130" t="n">
        <f aca="false">IVA!AT152/IVA!CM12</f>
        <v>0.000204027017718804</v>
      </c>
      <c r="AZ152" s="271" t="n">
        <f aca="false">IVA!AU152/IVA!CN12</f>
        <v>0.000898920576618586</v>
      </c>
      <c r="BA152" s="266" t="n">
        <v>2002</v>
      </c>
      <c r="BB152" s="430" t="s">
        <v>571</v>
      </c>
      <c r="BC152" s="431"/>
      <c r="BD152" s="431"/>
      <c r="BE152" s="431"/>
      <c r="BF152" s="432" t="n">
        <v>2640.98127965164</v>
      </c>
      <c r="BG152" s="432" t="n">
        <v>1994.66297012132</v>
      </c>
      <c r="BH152" s="432" t="n">
        <v>1813.19354448009</v>
      </c>
      <c r="BI152" s="432" t="n">
        <v>1611.6729295639</v>
      </c>
      <c r="BJ152" s="432" t="n">
        <v>3243.14240402617</v>
      </c>
      <c r="BK152" s="432" t="n">
        <v>2022.79641626779</v>
      </c>
      <c r="BL152" s="432" t="n">
        <v>2196.62778171775</v>
      </c>
      <c r="BM152" s="432" t="n">
        <v>2196.61796441932</v>
      </c>
      <c r="BN152" s="432" t="n">
        <v>1958.73366487846</v>
      </c>
      <c r="BO152" s="432" t="n">
        <v>1715.66164065647</v>
      </c>
      <c r="BP152" s="432" t="n">
        <v>1793.83297145422</v>
      </c>
      <c r="BQ152" s="433" t="n">
        <v>1866.55016988268</v>
      </c>
      <c r="BR152" s="175" t="n">
        <f aca="false">IVA!BF152+IVA!BG152+IVA!BH152</f>
        <v>6448.83779425305</v>
      </c>
      <c r="BS152" s="175" t="n">
        <f aca="false">IVA!BI152+IVA!BJ152+IVA!BK152</f>
        <v>6877.61174985786</v>
      </c>
      <c r="BT152" s="175" t="n">
        <f aca="false">IVA!BL152+IVA!BM152+IVA!BN152</f>
        <v>6351.97941101553</v>
      </c>
      <c r="BU152" s="176" t="n">
        <f aca="false">IVA!BO152+IVA!BP152+IVA!BQ152</f>
        <v>5376.04478199337</v>
      </c>
      <c r="BV152" s="137" t="n">
        <f aca="false">IVA!BR152+IVA!BS152+IVA!BT152+IVA!BU152</f>
        <v>25054.4737371198</v>
      </c>
      <c r="BW152" s="138" t="n">
        <f aca="false">IVA!BR152/IVA!CJ11</f>
        <v>2.72037433792423E-005</v>
      </c>
      <c r="BX152" s="139" t="n">
        <f aca="false">IVA!BS152/IVA!CK11</f>
        <v>2.02874494356887E-005</v>
      </c>
      <c r="BY152" s="138" t="n">
        <f aca="false">IVA!BT152/IVA!CL11</f>
        <v>1.90175476513401E-005</v>
      </c>
      <c r="BZ152" s="138" t="n">
        <f aca="false">IVA!BU152/IVA!CM11</f>
        <v>1.58003053589732E-005</v>
      </c>
      <c r="CA152" s="273" t="n">
        <f aca="false">IVA!BV152/IVA!CN11</f>
        <v>8.01537596972632E-005</v>
      </c>
      <c r="CI152" s="53" t="n">
        <v>1998</v>
      </c>
      <c r="CJ152" s="377" t="n">
        <f aca="false">IVA!CJ128+IVA!CJ104</f>
        <v>6348841.41962931</v>
      </c>
      <c r="CK152" s="377" t="n">
        <f aca="false">IVA!CK128+IVA!CK104</f>
        <v>6289435.88195374</v>
      </c>
      <c r="CL152" s="377" t="n">
        <f aca="false">IVA!CL128+IVA!CL104</f>
        <v>6683919.98331835</v>
      </c>
      <c r="CM152" s="377" t="n">
        <f aca="false">IVA!CM128+IVA!CM104</f>
        <v>6371952.12517856</v>
      </c>
      <c r="CN152" s="378" t="n">
        <f aca="false">IVA!CN128+IVA!CN104</f>
        <v>22907881.4978253</v>
      </c>
      <c r="CO152" s="376"/>
      <c r="CP152" s="377"/>
      <c r="CQ152" s="377"/>
      <c r="EJ152" s="31" t="n">
        <v>2100</v>
      </c>
      <c r="EK152" s="32" t="n">
        <v>20660.789</v>
      </c>
      <c r="EL152" s="33" t="n">
        <v>19212.478</v>
      </c>
    </row>
    <row r="153" customFormat="false" ht="12.75" hidden="false" customHeight="true" outlineLevel="0" collapsed="false">
      <c r="AA153" s="404" t="n">
        <v>2004</v>
      </c>
      <c r="AB153" s="404" t="s">
        <v>569</v>
      </c>
      <c r="AC153" s="405"/>
      <c r="AD153" s="406"/>
      <c r="AE153" s="407" t="n">
        <f aca="false">IVA!AE136*0.21</f>
        <v>21237.9546687</v>
      </c>
      <c r="AF153" s="408" t="n">
        <f aca="false">IVA!AF136*0.21</f>
        <v>32585.0152194</v>
      </c>
      <c r="AG153" s="407" t="n">
        <f aca="false">IVA!AG136*0.21</f>
        <v>36941.1084189</v>
      </c>
      <c r="AH153" s="407" t="n">
        <f aca="false">IVA!AH136*0.21</f>
        <v>26912.0980086</v>
      </c>
      <c r="AI153" s="407" t="n">
        <f aca="false">IVA!AI136*0.21</f>
        <v>28746.4764678</v>
      </c>
      <c r="AJ153" s="407" t="n">
        <f aca="false">IVA!AJ136*0.21</f>
        <v>26747.4489345</v>
      </c>
      <c r="AK153" s="407" t="n">
        <f aca="false">IVA!AK136*0.21</f>
        <v>25430.608602</v>
      </c>
      <c r="AL153" s="407" t="n">
        <f aca="false">IVA!AL136*0.21</f>
        <v>28009.5239949</v>
      </c>
      <c r="AM153" s="407" t="n">
        <f aca="false">IVA!AM136*0.21</f>
        <v>34763.2864551</v>
      </c>
      <c r="AN153" s="407" t="n">
        <f aca="false">IVA!AN136*0.21</f>
        <v>25717.8742044</v>
      </c>
      <c r="AO153" s="407" t="n">
        <f aca="false">IVA!AO136*0.21</f>
        <v>31808.8322307</v>
      </c>
      <c r="AP153" s="407" t="n">
        <f aca="false">IVA!AP136*0.21</f>
        <v>28158.1166181</v>
      </c>
      <c r="AQ153" s="155" t="n">
        <f aca="false">IVA!AE153+IVA!AF153+IVA!AG153</f>
        <v>90764.078307</v>
      </c>
      <c r="AR153" s="155" t="n">
        <f aca="false">IVA!AH153+IVA!AI153+IVA!AJ153</f>
        <v>82406.0234109</v>
      </c>
      <c r="AS153" s="155" t="n">
        <f aca="false">IVA!AK153+IVA!AL153+IVA!AM153</f>
        <v>88203.419052</v>
      </c>
      <c r="AT153" s="155" t="n">
        <f aca="false">IVA!AN153+IVA!AO153+IVA!AP153</f>
        <v>85684.8230532</v>
      </c>
      <c r="AU153" s="409" t="n">
        <f aca="false">IVA!AQ153+IVA!AR153+IVA!AS153+IVA!AT153</f>
        <v>347058.3438231</v>
      </c>
      <c r="AV153" s="130" t="n">
        <f aca="false">IVA!AQ153/IVA!CJ13</f>
        <v>0.000231059445764822</v>
      </c>
      <c r="AW153" s="130" t="n">
        <f aca="false">IVA!AR153/IVA!CK13</f>
        <v>0.000173774252283219</v>
      </c>
      <c r="AX153" s="130" t="n">
        <f aca="false">IVA!AS153/IVA!CL13</f>
        <v>0.00019510592071899</v>
      </c>
      <c r="AY153" s="130" t="n">
        <f aca="false">IVA!AT153/IVA!CM13</f>
        <v>0.000181742208767587</v>
      </c>
      <c r="AZ153" s="271" t="n">
        <f aca="false">IVA!AU153/IVA!CN13</f>
        <v>0.000775300884460618</v>
      </c>
      <c r="BA153" s="266" t="n">
        <v>2003</v>
      </c>
      <c r="BB153" s="430" t="s">
        <v>571</v>
      </c>
      <c r="BC153" s="431"/>
      <c r="BD153" s="431"/>
      <c r="BE153" s="431"/>
      <c r="BF153" s="432" t="n">
        <v>2210.62782121116</v>
      </c>
      <c r="BG153" s="432" t="n">
        <v>1801.62692454653</v>
      </c>
      <c r="BH153" s="432" t="n">
        <v>1747.43121265325</v>
      </c>
      <c r="BI153" s="432" t="n">
        <v>2202.15700513879</v>
      </c>
      <c r="BJ153" s="432" t="n">
        <v>2049.8244928537</v>
      </c>
      <c r="BK153" s="432" t="n">
        <v>1837.77676285807</v>
      </c>
      <c r="BL153" s="432" t="n">
        <v>2173.05974860487</v>
      </c>
      <c r="BM153" s="432" t="n">
        <v>1814.44549073999</v>
      </c>
      <c r="BN153" s="432" t="n">
        <v>2193.63482599472</v>
      </c>
      <c r="BO153" s="432" t="n">
        <v>2007.65901376112</v>
      </c>
      <c r="BP153" s="432" t="n">
        <v>2156.20988996684</v>
      </c>
      <c r="BQ153" s="433" t="n">
        <v>2454.64241495946</v>
      </c>
      <c r="BR153" s="175" t="n">
        <f aca="false">IVA!BF153+IVA!BG153+IVA!BH153</f>
        <v>5759.68595841094</v>
      </c>
      <c r="BS153" s="175" t="n">
        <f aca="false">IVA!BI153+IVA!BJ153+IVA!BK153</f>
        <v>6089.75826085056</v>
      </c>
      <c r="BT153" s="175" t="n">
        <f aca="false">IVA!BL153+IVA!BM153+IVA!BN153</f>
        <v>6181.14006533958</v>
      </c>
      <c r="BU153" s="176" t="n">
        <f aca="false">IVA!BO153+IVA!BP153+IVA!BQ153</f>
        <v>6618.51131868742</v>
      </c>
      <c r="BV153" s="137" t="n">
        <f aca="false">IVA!BR153+IVA!BS153+IVA!BT153+IVA!BU153</f>
        <v>24649.0956032885</v>
      </c>
      <c r="BW153" s="138" t="n">
        <f aca="false">IVA!BR153/IVA!CJ12</f>
        <v>1.75942411104861E-005</v>
      </c>
      <c r="BX153" s="139" t="n">
        <f aca="false">IVA!BS153/IVA!CK12</f>
        <v>1.52580076437554E-005</v>
      </c>
      <c r="BY153" s="138" t="n">
        <f aca="false">IVA!BT153/IVA!CL12</f>
        <v>1.63571017086765E-005</v>
      </c>
      <c r="BZ153" s="138" t="n">
        <f aca="false">IVA!BU153/IVA!CM12</f>
        <v>1.65765471124464E-005</v>
      </c>
      <c r="CA153" s="273" t="n">
        <f aca="false">IVA!BV153/IVA!CN12</f>
        <v>6.55719121005861E-005</v>
      </c>
      <c r="CI153" s="53" t="n">
        <v>1999</v>
      </c>
      <c r="CJ153" s="377" t="n">
        <f aca="false">IVA!CJ129+IVA!CJ105</f>
        <v>6443366.72500409</v>
      </c>
      <c r="CK153" s="377" t="n">
        <f aca="false">IVA!CK129+IVA!CK105</f>
        <v>5863876.78424314</v>
      </c>
      <c r="CL153" s="377" t="n">
        <f aca="false">IVA!CL129+IVA!CL105</f>
        <v>6240613.87520597</v>
      </c>
      <c r="CM153" s="377" t="n">
        <f aca="false">IVA!CM129+IVA!CM105</f>
        <v>5758389.18726034</v>
      </c>
      <c r="CN153" s="378" t="n">
        <f aca="false">IVA!CN129+IVA!CN105</f>
        <v>21583027.7059212</v>
      </c>
      <c r="CO153" s="376"/>
      <c r="CP153" s="377"/>
      <c r="CQ153" s="377"/>
    </row>
    <row r="154" customFormat="false" ht="12.75" hidden="false" customHeight="true" outlineLevel="0" collapsed="false">
      <c r="AA154" s="404" t="n">
        <v>2005</v>
      </c>
      <c r="AB154" s="404" t="s">
        <v>569</v>
      </c>
      <c r="AC154" s="405"/>
      <c r="AD154" s="406"/>
      <c r="AE154" s="407" t="n">
        <f aca="false">IVA!AE137*0.21</f>
        <v>27271.0922925</v>
      </c>
      <c r="AF154" s="408" t="n">
        <f aca="false">IVA!AF137*0.21</f>
        <v>41803.7731839</v>
      </c>
      <c r="AG154" s="407" t="n">
        <f aca="false">IVA!AG137*0.21</f>
        <v>28822.3368006</v>
      </c>
      <c r="AH154" s="407" t="n">
        <f aca="false">IVA!AH137*0.21</f>
        <v>19009.3066779</v>
      </c>
      <c r="AI154" s="407" t="n">
        <f aca="false">IVA!AI137*0.21</f>
        <v>31861.169088</v>
      </c>
      <c r="AJ154" s="407" t="n">
        <f aca="false">IVA!AJ137*0.21</f>
        <v>30321.7167183</v>
      </c>
      <c r="AK154" s="407" t="n">
        <f aca="false">IVA!AK137*0.21</f>
        <v>27649.0501056</v>
      </c>
      <c r="AL154" s="407" t="n">
        <f aca="false">IVA!AL137*0.21</f>
        <v>28244.1867456</v>
      </c>
      <c r="AM154" s="407" t="n">
        <f aca="false">IVA!AM137*0.21</f>
        <v>28584.7150071</v>
      </c>
      <c r="AN154" s="407" t="n">
        <f aca="false">IVA!AN137*0.21</f>
        <v>37736.2141485</v>
      </c>
      <c r="AO154" s="407" t="n">
        <f aca="false">IVA!AO137*0.21</f>
        <v>30351.1774755</v>
      </c>
      <c r="AP154" s="407" t="n">
        <f aca="false">IVA!AP137*0.21</f>
        <v>39842.9131338</v>
      </c>
      <c r="AQ154" s="155" t="n">
        <f aca="false">IVA!AE154+IVA!AF154+IVA!AG154</f>
        <v>97897.202277</v>
      </c>
      <c r="AR154" s="155" t="n">
        <f aca="false">IVA!AH154+IVA!AI154+IVA!AJ154</f>
        <v>81192.1924842</v>
      </c>
      <c r="AS154" s="155" t="n">
        <f aca="false">IVA!AK154+IVA!AL154+IVA!AM154</f>
        <v>84477.9518583</v>
      </c>
      <c r="AT154" s="155" t="n">
        <f aca="false">IVA!AN154+IVA!AO154+IVA!AP154</f>
        <v>107930.3047578</v>
      </c>
      <c r="AU154" s="409" t="n">
        <f aca="false">IVA!AQ154+IVA!AR154+IVA!AS154+IVA!AT154</f>
        <v>371497.6513773</v>
      </c>
      <c r="AV154" s="130" t="n">
        <f aca="false">IVA!AQ154/IVA!CJ14</f>
        <v>0.000214327754107154</v>
      </c>
      <c r="AW154" s="130" t="n">
        <f aca="false">IVA!AR154/IVA!CK14</f>
        <v>0.00014697764986699</v>
      </c>
      <c r="AX154" s="130" t="n">
        <f aca="false">IVA!AS154/IVA!CL14</f>
        <v>0.00015522524742671</v>
      </c>
      <c r="AY154" s="130" t="n">
        <f aca="false">IVA!AT154/IVA!CM14</f>
        <v>0.000187916928506372</v>
      </c>
      <c r="AZ154" s="271" t="n">
        <f aca="false">IVA!AU154/IVA!CN14</f>
        <v>0.00069838429842732</v>
      </c>
      <c r="BA154" s="266" t="n">
        <v>2004</v>
      </c>
      <c r="BB154" s="430" t="s">
        <v>571</v>
      </c>
      <c r="BC154" s="431"/>
      <c r="BD154" s="431"/>
      <c r="BE154" s="431"/>
      <c r="BF154" s="432" t="n">
        <v>2293.92775711305</v>
      </c>
      <c r="BG154" s="432" t="n">
        <v>2093.82162088959</v>
      </c>
      <c r="BH154" s="432" t="n">
        <v>2093.53770564218</v>
      </c>
      <c r="BI154" s="432" t="n">
        <v>2185.44751064995</v>
      </c>
      <c r="BJ154" s="432" t="n">
        <v>2237.55259447417</v>
      </c>
      <c r="BK154" s="432" t="n">
        <v>2167.38789888456</v>
      </c>
      <c r="BL154" s="432" t="n">
        <v>2318.09388263498</v>
      </c>
      <c r="BM154" s="432" t="n">
        <v>2512.33063076917</v>
      </c>
      <c r="BN154" s="432" t="n">
        <v>2353.67826934945</v>
      </c>
      <c r="BO154" s="432" t="n">
        <v>2202.80490092316</v>
      </c>
      <c r="BP154" s="432" t="n">
        <v>2322.05254425538</v>
      </c>
      <c r="BQ154" s="433" t="n">
        <v>2486.94845627225</v>
      </c>
      <c r="BR154" s="175" t="n">
        <f aca="false">IVA!BF154+IVA!BG154+IVA!BH154</f>
        <v>6481.28708364482</v>
      </c>
      <c r="BS154" s="175" t="n">
        <f aca="false">IVA!BI154+IVA!BJ154+IVA!BK154</f>
        <v>6590.38800400868</v>
      </c>
      <c r="BT154" s="175" t="n">
        <f aca="false">IVA!BL154+IVA!BM154+IVA!BN154</f>
        <v>7184.1027827536</v>
      </c>
      <c r="BU154" s="176" t="n">
        <f aca="false">IVA!BO154+IVA!BP154+IVA!BQ154</f>
        <v>7011.80590145079</v>
      </c>
      <c r="BV154" s="137" t="n">
        <f aca="false">IVA!BR154+IVA!BS154+IVA!BT154+IVA!BU154</f>
        <v>27267.5837718579</v>
      </c>
      <c r="BW154" s="138" t="n">
        <f aca="false">IVA!BR154/IVA!CJ13</f>
        <v>1.6499507617147E-005</v>
      </c>
      <c r="BX154" s="139" t="n">
        <f aca="false">IVA!BS154/IVA!CK13</f>
        <v>1.38975247227064E-005</v>
      </c>
      <c r="BY154" s="138" t="n">
        <f aca="false">IVA!BT154/IVA!CL13</f>
        <v>1.58912319163349E-005</v>
      </c>
      <c r="BZ154" s="138" t="n">
        <f aca="false">IVA!BU154/IVA!CM13</f>
        <v>1.48724248539097E-005</v>
      </c>
      <c r="CA154" s="273" t="n">
        <f aca="false">IVA!BV154/IVA!CN13</f>
        <v>6.09136250192015E-005</v>
      </c>
      <c r="CI154" s="53" t="n">
        <v>2000</v>
      </c>
      <c r="CJ154" s="377" t="n">
        <f aca="false">IVA!CJ130+IVA!CJ106</f>
        <v>6105053.41195249</v>
      </c>
      <c r="CK154" s="377" t="n">
        <f aca="false">IVA!CK130+IVA!CK106</f>
        <v>6052336.7262936</v>
      </c>
      <c r="CL154" s="377" t="n">
        <f aca="false">IVA!CL130+IVA!CL106</f>
        <v>6422641.88117635</v>
      </c>
      <c r="CM154" s="377" t="n">
        <f aca="false">IVA!CM130+IVA!CM106</f>
        <v>5961749.48482447</v>
      </c>
      <c r="CN154" s="378" t="n">
        <f aca="false">IVA!CN130+IVA!CN106</f>
        <v>21820404.6901112</v>
      </c>
      <c r="CO154" s="376"/>
      <c r="CP154" s="377"/>
      <c r="CQ154" s="377"/>
    </row>
    <row r="155" customFormat="false" ht="12.75" hidden="false" customHeight="true" outlineLevel="0" collapsed="false">
      <c r="AA155" s="404" t="n">
        <v>2006</v>
      </c>
      <c r="AB155" s="404" t="s">
        <v>569</v>
      </c>
      <c r="AC155" s="405"/>
      <c r="AD155" s="406"/>
      <c r="AE155" s="407" t="n">
        <f aca="false">IVA!AE138*0.21</f>
        <v>27880.9274016</v>
      </c>
      <c r="AF155" s="408" t="n">
        <f aca="false">IVA!AF138*0.21</f>
        <v>38494.7262756</v>
      </c>
      <c r="AG155" s="407" t="n">
        <f aca="false">IVA!AG138*0.21</f>
        <v>32886.5756373</v>
      </c>
      <c r="AH155" s="407" t="n">
        <f aca="false">IVA!AH138*0.21</f>
        <v>36219.4701519</v>
      </c>
      <c r="AI155" s="407" t="n">
        <f aca="false">IVA!AI138*0.21</f>
        <v>33291.8655993</v>
      </c>
      <c r="AJ155" s="407" t="n">
        <f aca="false">IVA!AJ138*0.21</f>
        <v>33126.250374</v>
      </c>
      <c r="AK155" s="407" t="n">
        <f aca="false">IVA!AK138*0.21</f>
        <v>38882.855424</v>
      </c>
      <c r="AL155" s="407" t="n">
        <f aca="false">IVA!AL138*0.21</f>
        <v>38022.9747429</v>
      </c>
      <c r="AM155" s="407" t="n">
        <f aca="false">IVA!AM138*0.21</f>
        <v>37978.2239487</v>
      </c>
      <c r="AN155" s="407" t="n">
        <f aca="false">IVA!AN138*0.21</f>
        <v>39574.1446947</v>
      </c>
      <c r="AO155" s="407" t="n">
        <f aca="false">IVA!AO138*0.21</f>
        <v>37698.7569987</v>
      </c>
      <c r="AP155" s="407" t="n">
        <f aca="false">IVA!AP138*0.21</f>
        <v>36819.7900518</v>
      </c>
      <c r="AQ155" s="155" t="n">
        <f aca="false">IVA!AE155+IVA!AF155+IVA!AG155</f>
        <v>99262.2293145</v>
      </c>
      <c r="AR155" s="155" t="n">
        <f aca="false">IVA!AH155+IVA!AI155+IVA!AJ155</f>
        <v>102637.5861252</v>
      </c>
      <c r="AS155" s="155" t="n">
        <f aca="false">IVA!AK155+IVA!AL155+IVA!AM155</f>
        <v>114884.0541156</v>
      </c>
      <c r="AT155" s="155" t="n">
        <f aca="false">IVA!AN155+IVA!AO155+IVA!AP155</f>
        <v>114092.6917452</v>
      </c>
      <c r="AU155" s="409" t="n">
        <f aca="false">IVA!AQ155+IVA!AR155+IVA!AS155+IVA!AT155</f>
        <v>430876.5613005</v>
      </c>
      <c r="AV155" s="130" t="n">
        <f aca="false">IVA!AQ155/IVA!CJ15</f>
        <v>0.000174759292025092</v>
      </c>
      <c r="AW155" s="130" t="n">
        <f aca="false">IVA!AR155/IVA!CK15</f>
        <v>0.000151320718355604</v>
      </c>
      <c r="AX155" s="130" t="n">
        <f aca="false">IVA!AS155/IVA!CL15</f>
        <v>0.000171931353650228</v>
      </c>
      <c r="AY155" s="130" t="n">
        <f aca="false">IVA!AT155/IVA!CM15</f>
        <v>0.000162228033243111</v>
      </c>
      <c r="AZ155" s="271" t="n">
        <f aca="false">IVA!AU155/IVA!CN15</f>
        <v>0.000658390730095019</v>
      </c>
      <c r="BA155" s="266" t="n">
        <v>2005</v>
      </c>
      <c r="BB155" s="430" t="s">
        <v>571</v>
      </c>
      <c r="BC155" s="431"/>
      <c r="BD155" s="431"/>
      <c r="BE155" s="431"/>
      <c r="BF155" s="432" t="n">
        <v>5901.244310391</v>
      </c>
      <c r="BG155" s="432" t="n">
        <v>1842.3367588675</v>
      </c>
      <c r="BH155" s="432" t="n">
        <v>1763.923552791</v>
      </c>
      <c r="BI155" s="432" t="n">
        <v>4179.3422622665</v>
      </c>
      <c r="BJ155" s="432" t="n">
        <v>2264.7218495795</v>
      </c>
      <c r="BK155" s="432" t="n">
        <v>2570.734664972</v>
      </c>
      <c r="BL155" s="432" t="n">
        <v>2744.758236279</v>
      </c>
      <c r="BM155" s="432" t="n">
        <v>1629.7106034755</v>
      </c>
      <c r="BN155" s="432" t="n">
        <v>2696.453897404</v>
      </c>
      <c r="BO155" s="432" t="n">
        <v>2924.55366701</v>
      </c>
      <c r="BP155" s="432" t="n">
        <v>2485.771125222</v>
      </c>
      <c r="BQ155" s="433" t="n">
        <v>2403.67680554</v>
      </c>
      <c r="BR155" s="175" t="n">
        <f aca="false">IVA!BF155+IVA!BG155+IVA!BH155</f>
        <v>9507.5046220495</v>
      </c>
      <c r="BS155" s="175" t="n">
        <f aca="false">IVA!BI155+IVA!BJ155+IVA!BK155</f>
        <v>9014.798776818</v>
      </c>
      <c r="BT155" s="175" t="n">
        <f aca="false">IVA!BL155+IVA!BM155+IVA!BN155</f>
        <v>7070.9227371585</v>
      </c>
      <c r="BU155" s="176" t="n">
        <f aca="false">IVA!BO155+IVA!BP155+IVA!BQ155</f>
        <v>7814.001597772</v>
      </c>
      <c r="BV155" s="137" t="n">
        <f aca="false">IVA!BR155+IVA!BS155+IVA!BT155+IVA!BU155</f>
        <v>33407.227733798</v>
      </c>
      <c r="BW155" s="138" t="n">
        <f aca="false">IVA!BR155/IVA!CJ14</f>
        <v>2.08149167229674E-005</v>
      </c>
      <c r="BX155" s="139" t="n">
        <f aca="false">IVA!BS155/IVA!CK14</f>
        <v>1.63189821299427E-005</v>
      </c>
      <c r="BY155" s="138" t="n">
        <f aca="false">IVA!BT155/IVA!CL14</f>
        <v>1.29925703365966E-005</v>
      </c>
      <c r="BZ155" s="138" t="n">
        <f aca="false">IVA!BU155/IVA!CM14</f>
        <v>1.36049201648444E-005</v>
      </c>
      <c r="CA155" s="273" t="n">
        <f aca="false">IVA!BV155/IVA!CN14</f>
        <v>6.28027747060365E-005</v>
      </c>
      <c r="CI155" s="53" t="n">
        <v>2001</v>
      </c>
      <c r="CJ155" s="377" t="n">
        <f aca="false">IVA!CJ131+IVA!CJ107</f>
        <v>6094752.03180975</v>
      </c>
      <c r="CK155" s="377" t="n">
        <f aca="false">IVA!CK131+IVA!CK107</f>
        <v>5694573.06121968</v>
      </c>
      <c r="CL155" s="377" t="n">
        <f aca="false">IVA!CL131+IVA!CL107</f>
        <v>5925464.94293571</v>
      </c>
      <c r="CM155" s="377" t="n">
        <f aca="false">IVA!CM131+IVA!CM107</f>
        <v>4990245.59610622</v>
      </c>
      <c r="CN155" s="378" t="n">
        <f aca="false">IVA!CN131+IVA!CN107</f>
        <v>20023230.2031046</v>
      </c>
      <c r="CO155" s="376" t="n">
        <f aca="false">22236478800/1000</f>
        <v>22236478.8</v>
      </c>
      <c r="CP155" s="377" t="n">
        <v>19791816.8</v>
      </c>
      <c r="CQ155" s="377" t="n">
        <f aca="false">IVA!CN155-IVA!CP155</f>
        <v>231413.403104559</v>
      </c>
    </row>
    <row r="156" customFormat="false" ht="12.75" hidden="false" customHeight="true" outlineLevel="0" collapsed="false">
      <c r="AA156" s="404" t="n">
        <v>2007</v>
      </c>
      <c r="AB156" s="404" t="s">
        <v>569</v>
      </c>
      <c r="AC156" s="405"/>
      <c r="AD156" s="406"/>
      <c r="AE156" s="407" t="n">
        <f aca="false">IVA!AE139*0.21</f>
        <v>27011.9136399</v>
      </c>
      <c r="AF156" s="408" t="n">
        <f aca="false">IVA!AF139*0.21</f>
        <v>57441.4000335</v>
      </c>
      <c r="AG156" s="407" t="n">
        <f aca="false">IVA!AG139*0.21</f>
        <v>41284.7752065</v>
      </c>
      <c r="AH156" s="407" t="n">
        <f aca="false">IVA!AH139*0.21</f>
        <v>45044.7448605</v>
      </c>
      <c r="AI156" s="407" t="n">
        <f aca="false">IVA!AI139*0.21</f>
        <v>32325.9807234</v>
      </c>
      <c r="AJ156" s="407" t="n">
        <f aca="false">IVA!AJ139*0.21</f>
        <v>34710.802749</v>
      </c>
      <c r="AK156" s="407" t="n">
        <f aca="false">IVA!AK139*0.21</f>
        <v>40967.2319721</v>
      </c>
      <c r="AL156" s="407" t="n">
        <f aca="false">IVA!AL139*0.21</f>
        <v>38187.82569</v>
      </c>
      <c r="AM156" s="407" t="n">
        <f aca="false">IVA!AM139*0.21</f>
        <v>61915.1300775</v>
      </c>
      <c r="AN156" s="407" t="n">
        <f aca="false">IVA!AN139*0.21</f>
        <v>51733.410351</v>
      </c>
      <c r="AO156" s="407" t="n">
        <f aca="false">IVA!AO139*0.21</f>
        <v>49948.5777462</v>
      </c>
      <c r="AP156" s="407" t="n">
        <f aca="false">IVA!AP139*0.21</f>
        <v>52358.4869955</v>
      </c>
      <c r="AQ156" s="155" t="n">
        <f aca="false">IVA!AE156+IVA!AF156+IVA!AG156</f>
        <v>125738.0888799</v>
      </c>
      <c r="AR156" s="155" t="n">
        <f aca="false">IVA!AH156+IVA!AI156+IVA!AJ156</f>
        <v>112081.5283329</v>
      </c>
      <c r="AS156" s="155" t="n">
        <f aca="false">IVA!AK156+IVA!AL156+IVA!AM156</f>
        <v>141070.1877396</v>
      </c>
      <c r="AT156" s="155" t="n">
        <f aca="false">IVA!AN156+IVA!AO156+IVA!AP156</f>
        <v>154040.4750927</v>
      </c>
      <c r="AU156" s="409" t="n">
        <f aca="false">IVA!AQ156+IVA!AR156+IVA!AS156+IVA!AT156</f>
        <v>532930.2800451</v>
      </c>
      <c r="AV156" s="130" t="n">
        <f aca="false">IVA!AQ156/IVA!CJ16</f>
        <v>0.000184604899107206</v>
      </c>
      <c r="AW156" s="130" t="n">
        <f aca="false">IVA!AR156/IVA!CK16</f>
        <v>0.000134209240598098</v>
      </c>
      <c r="AX156" s="130" t="n">
        <f aca="false">IVA!AS156/IVA!CL16</f>
        <v>0.000170485191168185</v>
      </c>
      <c r="AY156" s="130" t="n">
        <f aca="false">IVA!AT156/IVA!CM16</f>
        <v>0.000170001035283701</v>
      </c>
      <c r="AZ156" s="271" t="n">
        <f aca="false">IVA!AU156/IVA!CN16</f>
        <v>0.000655949851677582</v>
      </c>
      <c r="BA156" s="266" t="n">
        <v>2006</v>
      </c>
      <c r="BB156" s="430" t="s">
        <v>571</v>
      </c>
      <c r="BC156" s="431"/>
      <c r="BD156" s="431"/>
      <c r="BE156" s="431"/>
      <c r="BF156" s="432" t="n">
        <v>2920.1863934865</v>
      </c>
      <c r="BG156" s="432" t="n">
        <v>7661.6140235155</v>
      </c>
      <c r="BH156" s="432" t="n">
        <v>1802.827797563</v>
      </c>
      <c r="BI156" s="432" t="n">
        <v>3657.533088145</v>
      </c>
      <c r="BJ156" s="432" t="n">
        <v>1470.5688411145</v>
      </c>
      <c r="BK156" s="432" t="n">
        <v>3669.5001045335</v>
      </c>
      <c r="BL156" s="432" t="n">
        <v>3420.7643278125</v>
      </c>
      <c r="BM156" s="432" t="n">
        <v>5062.241794851</v>
      </c>
      <c r="BN156" s="432" t="n">
        <v>3406.5088563235</v>
      </c>
      <c r="BO156" s="432" t="n">
        <v>3984.086031812</v>
      </c>
      <c r="BP156" s="432" t="n">
        <v>3053.10760345</v>
      </c>
      <c r="BQ156" s="433" t="n">
        <v>4485.4831499835</v>
      </c>
      <c r="BR156" s="175" t="n">
        <f aca="false">IVA!BF156+IVA!BG156+IVA!BH156</f>
        <v>12384.628214565</v>
      </c>
      <c r="BS156" s="175" t="n">
        <f aca="false">IVA!BI156+IVA!BJ156+IVA!BK156</f>
        <v>8797.602033793</v>
      </c>
      <c r="BT156" s="175" t="n">
        <f aca="false">IVA!BL156+IVA!BM156+IVA!BN156</f>
        <v>11889.514978987</v>
      </c>
      <c r="BU156" s="176" t="n">
        <f aca="false">IVA!BO156+IVA!BP156+IVA!BQ156</f>
        <v>11522.6767852455</v>
      </c>
      <c r="BV156" s="137" t="n">
        <f aca="false">IVA!BR156+IVA!BS156+IVA!BT156+IVA!BU156</f>
        <v>44594.4220125905</v>
      </c>
      <c r="BW156" s="138" t="n">
        <f aca="false">IVA!BR156/IVA!CJ15</f>
        <v>2.18041532385289E-005</v>
      </c>
      <c r="BX156" s="139" t="n">
        <f aca="false">IVA!BS156/IVA!CK15</f>
        <v>1.29704868344855E-005</v>
      </c>
      <c r="BY156" s="138" t="n">
        <f aca="false">IVA!BT156/IVA!CL15</f>
        <v>1.77934215528725E-005</v>
      </c>
      <c r="BZ156" s="138" t="n">
        <f aca="false">IVA!BU156/IVA!CM15</f>
        <v>1.63840572430449E-005</v>
      </c>
      <c r="CA156" s="273" t="n">
        <f aca="false">IVA!BV156/IVA!CN15</f>
        <v>6.81414509492391E-005</v>
      </c>
      <c r="CI156" s="53" t="n">
        <v>2002</v>
      </c>
      <c r="CJ156" s="377" t="n">
        <f aca="false">IVA!CJ132+IVA!CJ108</f>
        <v>4471849.38003785</v>
      </c>
      <c r="CK156" s="377" t="n">
        <f aca="false">IVA!CK132+IVA!CK108</f>
        <v>4623502.73871798</v>
      </c>
      <c r="CL156" s="377" t="n">
        <f aca="false">IVA!CL132+IVA!CL108</f>
        <v>5336266.16662915</v>
      </c>
      <c r="CM156" s="377" t="n">
        <f aca="false">IVA!CM132+IVA!CM108</f>
        <v>5341264.58581931</v>
      </c>
      <c r="CN156" s="378" t="n">
        <f aca="false">IVA!CN132+IVA!CN108</f>
        <v>17840847.7101331</v>
      </c>
      <c r="CO156" s="376" t="n">
        <f aca="false">22421189021/1000</f>
        <v>22421189.021</v>
      </c>
      <c r="CP156" s="377" t="n">
        <v>20114831.021</v>
      </c>
      <c r="CQ156" s="377" t="n">
        <f aca="false">IVA!CN156-IVA!CP156</f>
        <v>-2273983.31086691</v>
      </c>
    </row>
    <row r="157" customFormat="false" ht="12.75" hidden="false" customHeight="true" outlineLevel="0" collapsed="false">
      <c r="AA157" s="404" t="n">
        <v>2008</v>
      </c>
      <c r="AB157" s="404" t="s">
        <v>569</v>
      </c>
      <c r="AC157" s="405"/>
      <c r="AD157" s="406"/>
      <c r="AE157" s="407" t="n">
        <f aca="false">IVA!AE140*0.21</f>
        <v>47590.0810518</v>
      </c>
      <c r="AF157" s="408" t="n">
        <f aca="false">IVA!AF140*0.21</f>
        <v>81974.6525682</v>
      </c>
      <c r="AG157" s="407" t="n">
        <f aca="false">IVA!AG140*0.21</f>
        <v>69101.6024139</v>
      </c>
      <c r="AH157" s="407" t="n">
        <f aca="false">IVA!AH140*0.21</f>
        <v>54274.4387367</v>
      </c>
      <c r="AI157" s="407" t="n">
        <f aca="false">IVA!AI140*0.21</f>
        <v>52469.4666594</v>
      </c>
      <c r="AJ157" s="407" t="n">
        <f aca="false">IVA!AJ140*0.21</f>
        <v>58237.0872489</v>
      </c>
      <c r="AK157" s="407" t="n">
        <f aca="false">IVA!AK140*0.21</f>
        <v>57678.1733388</v>
      </c>
      <c r="AL157" s="407" t="n">
        <f aca="false">IVA!AL140*0.21</f>
        <v>62000.2188624</v>
      </c>
      <c r="AM157" s="407" t="n">
        <f aca="false">IVA!AM140*0.21</f>
        <v>58593.6064854</v>
      </c>
      <c r="AN157" s="407" t="n">
        <f aca="false">IVA!AN140*0.21</f>
        <v>60261.2933034</v>
      </c>
      <c r="AO157" s="407" t="n">
        <f aca="false">IVA!AO140*0.21</f>
        <v>60815.9201853</v>
      </c>
      <c r="AP157" s="407" t="n">
        <f aca="false">IVA!AP140*0.21</f>
        <v>95040.9279519</v>
      </c>
      <c r="AQ157" s="155" t="n">
        <f aca="false">IVA!AE157+IVA!AF157+IVA!AG157</f>
        <v>198666.3360339</v>
      </c>
      <c r="AR157" s="155" t="n">
        <f aca="false">IVA!AH157+IVA!AI157+IVA!AJ157</f>
        <v>164980.992645</v>
      </c>
      <c r="AS157" s="155" t="n">
        <f aca="false">IVA!AK157+IVA!AL157+IVA!AM157</f>
        <v>178271.9986866</v>
      </c>
      <c r="AT157" s="155" t="n">
        <f aca="false">IVA!AN157+IVA!AO157+IVA!AP157</f>
        <v>216118.1414406</v>
      </c>
      <c r="AU157" s="409" t="n">
        <f aca="false">IVA!AQ157+IVA!AR157+IVA!AS157+IVA!AT157</f>
        <v>758037.4688061</v>
      </c>
      <c r="AV157" s="130" t="n">
        <f aca="false">IVA!AQ157/IVA!CJ17</f>
        <v>0.000223813330397356</v>
      </c>
      <c r="AW157" s="130" t="n">
        <f aca="false">IVA!AR157/IVA!CK17</f>
        <v>0.000148907494715684</v>
      </c>
      <c r="AX157" s="130" t="n">
        <f aca="false">IVA!AS157/IVA!CL17</f>
        <v>0.000168570625433054</v>
      </c>
      <c r="AY157" s="130" t="n">
        <f aca="false">IVA!AT157/IVA!CM17</f>
        <v>0.00020049992152245</v>
      </c>
      <c r="AZ157" s="271" t="n">
        <f aca="false">IVA!AU157/IVA!CN17</f>
        <v>0.000733993315768166</v>
      </c>
      <c r="BA157" s="266" t="n">
        <v>2007</v>
      </c>
      <c r="BB157" s="430" t="s">
        <v>571</v>
      </c>
      <c r="BC157" s="431"/>
      <c r="BD157" s="431"/>
      <c r="BE157" s="431"/>
      <c r="BF157" s="432" t="n">
        <v>5030.601858131</v>
      </c>
      <c r="BG157" s="432" t="n">
        <v>5443.354032625</v>
      </c>
      <c r="BH157" s="432" t="n">
        <v>2505.466698734</v>
      </c>
      <c r="BI157" s="432" t="n">
        <v>2306.3515889005</v>
      </c>
      <c r="BJ157" s="432" t="n">
        <v>3040.263064623</v>
      </c>
      <c r="BK157" s="432" t="n">
        <v>6078.9204308445</v>
      </c>
      <c r="BL157" s="432" t="n">
        <v>3108.617831139</v>
      </c>
      <c r="BM157" s="432" t="n">
        <v>4089.9835055005</v>
      </c>
      <c r="BN157" s="432" t="n">
        <v>2888.13986887</v>
      </c>
      <c r="BO157" s="432" t="n">
        <v>2145.3878624415</v>
      </c>
      <c r="BP157" s="432" t="n">
        <v>5644.731823417</v>
      </c>
      <c r="BQ157" s="433" t="n">
        <v>7486.0486810985</v>
      </c>
      <c r="BR157" s="175" t="n">
        <f aca="false">IVA!BF157+IVA!BG157+IVA!BH157</f>
        <v>12979.42258949</v>
      </c>
      <c r="BS157" s="175" t="n">
        <f aca="false">IVA!BI157+IVA!BJ157+IVA!BK157</f>
        <v>11425.535084368</v>
      </c>
      <c r="BT157" s="175" t="n">
        <f aca="false">IVA!BL157+IVA!BM157+IVA!BN157</f>
        <v>10086.7412055095</v>
      </c>
      <c r="BU157" s="176" t="n">
        <f aca="false">IVA!BO157+IVA!BP157+IVA!BQ157</f>
        <v>15276.168366957</v>
      </c>
      <c r="BV157" s="137" t="n">
        <f aca="false">IVA!BR157+IVA!BS157+IVA!BT157+IVA!BU157</f>
        <v>49767.8672463245</v>
      </c>
      <c r="BW157" s="138" t="n">
        <f aca="false">IVA!BR157/IVA!CJ16</f>
        <v>1.90559998083891E-005</v>
      </c>
      <c r="BX157" s="139" t="n">
        <f aca="false">IVA!BS157/IVA!CK16</f>
        <v>1.36812230338748E-005</v>
      </c>
      <c r="BY157" s="138" t="n">
        <f aca="false">IVA!BT157/IVA!CL16</f>
        <v>1.21899604036791E-005</v>
      </c>
      <c r="BZ157" s="138" t="n">
        <f aca="false">IVA!BU157/IVA!CM16</f>
        <v>1.6858974474001E-005</v>
      </c>
      <c r="CA157" s="273" t="n">
        <f aca="false">IVA!BV157/IVA!CN16</f>
        <v>6.1256089888106E-005</v>
      </c>
      <c r="CI157" s="53" t="n">
        <v>2003</v>
      </c>
      <c r="CJ157" s="377" t="n">
        <f aca="false">IVA!CJ133+IVA!CJ109</f>
        <v>5759990.1267723</v>
      </c>
      <c r="CK157" s="377" t="n">
        <f aca="false">IVA!CK133+IVA!CK109</f>
        <v>6134236.05070128</v>
      </c>
      <c r="CL157" s="377" t="n">
        <f aca="false">IVA!CL133+IVA!CL109</f>
        <v>6763017.30305904</v>
      </c>
      <c r="CM157" s="377" t="n">
        <f aca="false">IVA!CM133+IVA!CM109</f>
        <v>6945699.72883141</v>
      </c>
      <c r="CN157" s="378" t="n">
        <f aca="false">IVA!CN133+IVA!CN109</f>
        <v>22483000.8957992</v>
      </c>
      <c r="CO157" s="376" t="n">
        <f aca="false">23924364413/1000</f>
        <v>23924364.413</v>
      </c>
      <c r="CP157" s="377" t="n">
        <v>21457283.032</v>
      </c>
      <c r="CQ157" s="377" t="n">
        <f aca="false">IVA!CN157-IVA!CP157</f>
        <v>1025717.86379922</v>
      </c>
    </row>
    <row r="158" customFormat="false" ht="12.75" hidden="false" customHeight="true" outlineLevel="0" collapsed="false">
      <c r="AA158" s="404" t="n">
        <v>2009</v>
      </c>
      <c r="AB158" s="404" t="s">
        <v>569</v>
      </c>
      <c r="AC158" s="405"/>
      <c r="AD158" s="406"/>
      <c r="AE158" s="407" t="n">
        <f aca="false">IVA!AE141*0.21</f>
        <v>56347.83</v>
      </c>
      <c r="AF158" s="408" t="n">
        <f aca="false">IVA!AF141*0.21</f>
        <v>90885.9</v>
      </c>
      <c r="AG158" s="407" t="n">
        <f aca="false">IVA!AG141*0.21</f>
        <v>69466.95</v>
      </c>
      <c r="AH158" s="407" t="n">
        <f aca="false">IVA!AH141*0.21</f>
        <v>68997.18</v>
      </c>
      <c r="AI158" s="407" t="n">
        <f aca="false">IVA!AI141*0.21</f>
        <v>70907.76</v>
      </c>
      <c r="AJ158" s="407" t="n">
        <f aca="false">IVA!AJ141*0.21</f>
        <v>72481.5</v>
      </c>
      <c r="AK158" s="407" t="n">
        <f aca="false">IVA!AK141*0.21</f>
        <v>73567.62</v>
      </c>
      <c r="AL158" s="407" t="n">
        <f aca="false">IVA!AL141*0.21</f>
        <v>72953.58</v>
      </c>
      <c r="AM158" s="407" t="n">
        <f aca="false">IVA!AM141*0.21</f>
        <v>86963.1</v>
      </c>
      <c r="AN158" s="407" t="n">
        <f aca="false">IVA!AN141*0.21</f>
        <v>89668.74</v>
      </c>
      <c r="AO158" s="407" t="n">
        <f aca="false">IVA!AO141*0.21</f>
        <v>99218.28</v>
      </c>
      <c r="AP158" s="407" t="n">
        <f aca="false">IVA!AP141*0.21</f>
        <v>104803.23</v>
      </c>
      <c r="AQ158" s="155" t="n">
        <f aca="false">IVA!AE158+IVA!AF158+IVA!AG158</f>
        <v>216700.68</v>
      </c>
      <c r="AR158" s="155" t="n">
        <f aca="false">IVA!AH158+IVA!AI158+IVA!AJ158</f>
        <v>212386.44</v>
      </c>
      <c r="AS158" s="155" t="n">
        <f aca="false">IVA!AK158+IVA!AL158+IVA!AM158</f>
        <v>233484.3</v>
      </c>
      <c r="AT158" s="155" t="n">
        <f aca="false">IVA!AN158+IVA!AO158+IVA!AP158</f>
        <v>293690.25</v>
      </c>
      <c r="AU158" s="409" t="n">
        <f aca="false">IVA!AQ158+IVA!AR158+IVA!AS158+IVA!AT158</f>
        <v>956261.67</v>
      </c>
      <c r="AV158" s="130" t="n">
        <f aca="false">IVA!AQ158/IVA!CJ18</f>
        <v>0.000218236629397701</v>
      </c>
      <c r="AW158" s="130" t="n">
        <f aca="false">IVA!AR158/IVA!CK18</f>
        <v>0.000177673863896813</v>
      </c>
      <c r="AX158" s="130" t="n">
        <f aca="false">IVA!AS158/IVA!CL18</f>
        <v>0.00019976498743265</v>
      </c>
      <c r="AY158" s="130" t="n">
        <f aca="false">IVA!AT158/IVA!CM18</f>
        <v>0.000239805136432335</v>
      </c>
      <c r="AZ158" s="271" t="n">
        <f aca="false">IVA!AU158/IVA!CN18</f>
        <v>0.000834828853778691</v>
      </c>
      <c r="BA158" s="266" t="n">
        <v>2008</v>
      </c>
      <c r="BB158" s="430" t="s">
        <v>571</v>
      </c>
      <c r="BC158" s="431"/>
      <c r="BD158" s="431"/>
      <c r="BE158" s="431"/>
      <c r="BF158" s="432" t="n">
        <v>8288.422826347</v>
      </c>
      <c r="BG158" s="432" t="n">
        <v>3036.029137607</v>
      </c>
      <c r="BH158" s="432" t="n">
        <v>2158.6640616955</v>
      </c>
      <c r="BI158" s="432" t="n">
        <v>5517.3833281145</v>
      </c>
      <c r="BJ158" s="432" t="n">
        <v>7497.1140783225</v>
      </c>
      <c r="BK158" s="432" t="n">
        <v>4284.674027409</v>
      </c>
      <c r="BL158" s="432" t="n">
        <v>2215.9023988315</v>
      </c>
      <c r="BM158" s="432" t="n">
        <v>5074.183577419</v>
      </c>
      <c r="BN158" s="432" t="n">
        <v>4918.6316062655</v>
      </c>
      <c r="BO158" s="432" t="n">
        <v>9315.6580863885</v>
      </c>
      <c r="BP158" s="432" t="n">
        <v>6893.334229433</v>
      </c>
      <c r="BQ158" s="433" t="n">
        <v>5620.0737033785</v>
      </c>
      <c r="BR158" s="175" t="n">
        <f aca="false">IVA!BF158+IVA!BG158+IVA!BH158</f>
        <v>13483.1160256495</v>
      </c>
      <c r="BS158" s="175" t="n">
        <f aca="false">IVA!BI158+IVA!BJ158+IVA!BK158</f>
        <v>17299.171433846</v>
      </c>
      <c r="BT158" s="175" t="n">
        <f aca="false">IVA!BL158+IVA!BM158+IVA!BN158</f>
        <v>12208.717582516</v>
      </c>
      <c r="BU158" s="176" t="n">
        <f aca="false">IVA!BO158+IVA!BP158+IVA!BQ158</f>
        <v>21829.0660192</v>
      </c>
      <c r="BV158" s="137" t="n">
        <f aca="false">IVA!BR158+IVA!BS158+IVA!BT158+IVA!BU158</f>
        <v>64820.0710612115</v>
      </c>
      <c r="BW158" s="138" t="n">
        <f aca="false">IVA!BR158/IVA!CJ17</f>
        <v>1.51897959265713E-005</v>
      </c>
      <c r="BX158" s="139" t="n">
        <f aca="false">IVA!BS158/IVA!CK17</f>
        <v>1.56137760936742E-005</v>
      </c>
      <c r="BY158" s="138" t="n">
        <f aca="false">IVA!BT158/IVA!CL17</f>
        <v>1.15443321092632E-005</v>
      </c>
      <c r="BZ158" s="138" t="n">
        <f aca="false">IVA!BU158/IVA!CM17</f>
        <v>2.02515438758801E-005</v>
      </c>
      <c r="CA158" s="273" t="n">
        <f aca="false">IVA!BV158/IVA!CN17</f>
        <v>6.27640464283128E-005</v>
      </c>
      <c r="CI158" s="53" t="n">
        <v>2004</v>
      </c>
      <c r="CJ158" s="377" t="n">
        <f aca="false">IVA!CJ134+IVA!CJ110</f>
        <v>7805169.01673481</v>
      </c>
      <c r="CK158" s="377" t="n">
        <f aca="false">IVA!CK134+IVA!CK110</f>
        <v>8910459.35943813</v>
      </c>
      <c r="CL158" s="377" t="n">
        <f aca="false">IVA!CL134+IVA!CL110</f>
        <v>9306541.29447308</v>
      </c>
      <c r="CM158" s="377" t="n">
        <f aca="false">IVA!CM134+IVA!CM110</f>
        <v>9182265.51925381</v>
      </c>
      <c r="CN158" s="378" t="n">
        <f aca="false">IVA!CN134+IVA!CN110</f>
        <v>30498389.5561226</v>
      </c>
      <c r="CO158" s="376" t="n">
        <f aca="false">24571037720/1000</f>
        <v>24571037.72</v>
      </c>
      <c r="CP158" s="377" t="n">
        <v>21483727.846</v>
      </c>
      <c r="CQ158" s="377" t="n">
        <f aca="false">IVA!CN158-IVA!CP158</f>
        <v>9014661.71012263</v>
      </c>
    </row>
    <row r="159" customFormat="false" ht="12.75" hidden="false" customHeight="true" outlineLevel="0" collapsed="false">
      <c r="AA159" s="404" t="n">
        <v>2010</v>
      </c>
      <c r="AB159" s="404" t="s">
        <v>569</v>
      </c>
      <c r="AC159" s="405"/>
      <c r="AD159" s="406"/>
      <c r="AE159" s="407" t="n">
        <f aca="false">IVA!AE142*0.21</f>
        <v>70419.93</v>
      </c>
      <c r="AF159" s="408" t="n">
        <f aca="false">IVA!AF142*0.21</f>
        <v>109166.82</v>
      </c>
      <c r="AG159" s="407" t="n">
        <f aca="false">IVA!AG142*0.21</f>
        <v>111965.07</v>
      </c>
      <c r="AH159" s="407" t="n">
        <f aca="false">IVA!AH142*0.21</f>
        <v>97829.76</v>
      </c>
      <c r="AI159" s="407" t="n">
        <f aca="false">IVA!AI142*0.21</f>
        <v>123920.37</v>
      </c>
      <c r="AJ159" s="407" t="n">
        <f aca="false">IVA!AJ142*0.21</f>
        <v>105259.77</v>
      </c>
      <c r="AK159" s="407" t="n">
        <f aca="false">IVA!AK142*0.21</f>
        <v>104940.36</v>
      </c>
      <c r="AL159" s="407" t="n">
        <f aca="false">IVA!AL142*0.21</f>
        <v>103973.31</v>
      </c>
      <c r="AM159" s="407" t="n">
        <f aca="false">IVA!AM142*0.21</f>
        <v>121565.22</v>
      </c>
      <c r="AN159" s="407" t="n">
        <f aca="false">IVA!AN142*0.21</f>
        <v>120675.24</v>
      </c>
      <c r="AO159" s="407" t="n">
        <f aca="false">IVA!AO142*0.21</f>
        <v>125734.14</v>
      </c>
      <c r="AP159" s="407" t="n">
        <f aca="false">IVA!AP142*0.21</f>
        <v>140165.34</v>
      </c>
      <c r="AQ159" s="155" t="n">
        <f aca="false">IVA!AE159+IVA!AF159+IVA!AG159</f>
        <v>291551.82</v>
      </c>
      <c r="AR159" s="155" t="n">
        <f aca="false">IVA!AH159+IVA!AI159+IVA!AJ159</f>
        <v>327009.9</v>
      </c>
      <c r="AS159" s="155" t="n">
        <f aca="false">IVA!AK159+IVA!AL159+IVA!AM159</f>
        <v>330478.89</v>
      </c>
      <c r="AT159" s="155" t="n">
        <f aca="false">IVA!AN159+IVA!AO159+IVA!AP159</f>
        <v>386574.72</v>
      </c>
      <c r="AU159" s="409" t="n">
        <f aca="false">IVA!AQ159+IVA!AR159+IVA!AS159+IVA!AT159</f>
        <v>1335615.33</v>
      </c>
      <c r="AV159" s="130" t="n">
        <f aca="false">IVA!AQ159/IVA!CJ19</f>
        <v>0.000239491022120437</v>
      </c>
      <c r="AW159" s="130" t="n">
        <f aca="false">IVA!AR159/IVA!CK19</f>
        <v>0.000216808995527375</v>
      </c>
      <c r="AX159" s="130" t="n">
        <f aca="false">IVA!AS159/IVA!CL19</f>
        <v>0.000225451025956913</v>
      </c>
      <c r="AY159" s="130" t="n">
        <f aca="false">IVA!AT159/IVA!CM19</f>
        <v>0.000244807241522788</v>
      </c>
      <c r="AZ159" s="271" t="n">
        <f aca="false">IVA!AU159/IVA!CN19</f>
        <v>0.000925803452310804</v>
      </c>
      <c r="BA159" s="266" t="n">
        <v>2009</v>
      </c>
      <c r="BB159" s="430" t="s">
        <v>571</v>
      </c>
      <c r="BC159" s="431"/>
      <c r="BD159" s="431"/>
      <c r="BE159" s="431"/>
      <c r="BF159" s="432" t="n">
        <v>18407.22125</v>
      </c>
      <c r="BG159" s="432" t="n">
        <v>9754.8192</v>
      </c>
      <c r="BH159" s="432" t="n">
        <v>2902.41355</v>
      </c>
      <c r="BI159" s="432" t="n">
        <v>5822.569</v>
      </c>
      <c r="BJ159" s="432" t="n">
        <v>5895.1495</v>
      </c>
      <c r="BK159" s="432" t="n">
        <v>4481.44265</v>
      </c>
      <c r="BL159" s="432" t="n">
        <v>3714.5087</v>
      </c>
      <c r="BM159" s="432" t="n">
        <v>13321.74755</v>
      </c>
      <c r="BN159" s="432" t="n">
        <v>6223.37465</v>
      </c>
      <c r="BO159" s="432" t="n">
        <v>4908.0547</v>
      </c>
      <c r="BP159" s="432" t="n">
        <v>11974.97605</v>
      </c>
      <c r="BQ159" s="433" t="n">
        <v>4208.86255</v>
      </c>
      <c r="BR159" s="175" t="n">
        <f aca="false">IVA!BF159+IVA!BG159+IVA!BH159</f>
        <v>31064.454</v>
      </c>
      <c r="BS159" s="175" t="n">
        <f aca="false">IVA!BI159+IVA!BJ159+IVA!BK159</f>
        <v>16199.16115</v>
      </c>
      <c r="BT159" s="175" t="n">
        <f aca="false">IVA!BL159+IVA!BM159+IVA!BN159</f>
        <v>23259.6309</v>
      </c>
      <c r="BU159" s="176" t="n">
        <f aca="false">IVA!BO159+IVA!BP159+IVA!BQ159</f>
        <v>21091.8933</v>
      </c>
      <c r="BV159" s="137" t="n">
        <f aca="false">IVA!BR159+IVA!BS159+IVA!BT159+IVA!BU159</f>
        <v>91615.13935</v>
      </c>
      <c r="BW159" s="138" t="n">
        <f aca="false">IVA!BR159/IVA!CJ18</f>
        <v>3.12846352629809E-005</v>
      </c>
      <c r="BX159" s="139" t="n">
        <f aca="false">IVA!BS159/IVA!CK18</f>
        <v>1.35515598519738E-005</v>
      </c>
      <c r="BY159" s="138" t="n">
        <f aca="false">IVA!BT159/IVA!CL18</f>
        <v>1.99005238229147E-005</v>
      </c>
      <c r="BZ159" s="138" t="n">
        <f aca="false">IVA!BU159/IVA!CM18</f>
        <v>1.72220369944959E-005</v>
      </c>
      <c r="CA159" s="273" t="n">
        <f aca="false">IVA!BV159/IVA!CN18</f>
        <v>7.99812061612127E-005</v>
      </c>
      <c r="CI159" s="53" t="n">
        <v>2005</v>
      </c>
      <c r="CJ159" s="377" t="n">
        <f aca="false">IVA!CJ135+IVA!CJ111</f>
        <v>9733954.8374663</v>
      </c>
      <c r="CK159" s="377" t="n">
        <f aca="false">IVA!CK135+IVA!CK111</f>
        <v>10449634.6105799</v>
      </c>
      <c r="CL159" s="377" t="n">
        <f aca="false">IVA!CL135+IVA!CL111</f>
        <v>11435679.6419169</v>
      </c>
      <c r="CM159" s="377" t="n">
        <f aca="false">IVA!CM135+IVA!CM111</f>
        <v>12052330.6390758</v>
      </c>
      <c r="CN159" s="378" t="n">
        <f aca="false">IVA!CN135+IVA!CN111</f>
        <v>37748426.1485509</v>
      </c>
      <c r="CO159" s="376" t="n">
        <f aca="false">28965287000/1000</f>
        <v>28965287</v>
      </c>
      <c r="CP159" s="377" t="n">
        <v>25267808</v>
      </c>
      <c r="CQ159" s="377" t="n">
        <f aca="false">IVA!CN159-IVA!CP159</f>
        <v>12480618.1485509</v>
      </c>
    </row>
    <row r="160" customFormat="false" ht="12.75" hidden="false" customHeight="true" outlineLevel="0" collapsed="false">
      <c r="AA160" s="404" t="n">
        <v>2011</v>
      </c>
      <c r="AB160" s="404" t="s">
        <v>569</v>
      </c>
      <c r="AC160" s="405"/>
      <c r="AD160" s="406"/>
      <c r="AE160" s="407" t="n">
        <f aca="false">IVA!AE143*0.21</f>
        <v>108472.35</v>
      </c>
      <c r="AF160" s="408" t="n">
        <f aca="false">IVA!AF143*0.21</f>
        <v>144702.18</v>
      </c>
      <c r="AG160" s="407" t="n">
        <f aca="false">IVA!AG143*0.21</f>
        <v>137062.59</v>
      </c>
      <c r="AH160" s="407" t="n">
        <f aca="false">IVA!AH143*0.21</f>
        <v>127158.15</v>
      </c>
      <c r="AI160" s="407" t="n">
        <f aca="false">IVA!AI143*0.21</f>
        <v>137623.5</v>
      </c>
      <c r="AJ160" s="407" t="n">
        <f aca="false">IVA!AJ143*0.21</f>
        <v>111207.39</v>
      </c>
      <c r="AK160" s="407" t="n">
        <f aca="false">IVA!AK143*0.21</f>
        <v>102120.48</v>
      </c>
      <c r="AL160" s="407" t="n">
        <f aca="false">IVA!AL143*0.21</f>
        <v>148849.47</v>
      </c>
      <c r="AM160" s="407" t="n">
        <f aca="false">IVA!AM143*0.21</f>
        <v>135061.92</v>
      </c>
      <c r="AN160" s="407" t="n">
        <f aca="false">IVA!AN143*0.21</f>
        <v>170928.24</v>
      </c>
      <c r="AO160" s="407" t="n">
        <f aca="false">IVA!AO143*0.21</f>
        <v>163566.06</v>
      </c>
      <c r="AP160" s="407" t="n">
        <f aca="false">IVA!AP143*0.21</f>
        <v>206348.52</v>
      </c>
      <c r="AQ160" s="155" t="n">
        <f aca="false">IVA!AE160+IVA!AF160+IVA!AG160</f>
        <v>390237.12</v>
      </c>
      <c r="AR160" s="155" t="n">
        <f aca="false">IVA!AH160+IVA!AI160+IVA!AJ160</f>
        <v>375989.04</v>
      </c>
      <c r="AS160" s="155" t="n">
        <f aca="false">IVA!AK160+IVA!AL160+IVA!AM160</f>
        <v>386031.87</v>
      </c>
      <c r="AT160" s="155" t="n">
        <f aca="false">IVA!AN160+IVA!AO160+IVA!AP160</f>
        <v>540842.82</v>
      </c>
      <c r="AU160" s="409" t="n">
        <f aca="false">IVA!AQ160+IVA!AR160+IVA!AS160+IVA!AT160</f>
        <v>1693100.85</v>
      </c>
      <c r="AV160" s="130" t="n">
        <f aca="false">IVA!AQ160/IVA!CJ20</f>
        <v>0.000248942395284451</v>
      </c>
      <c r="AW160" s="130" t="n">
        <f aca="false">IVA!AR160/IVA!CK20</f>
        <v>0.000190255965605595</v>
      </c>
      <c r="AX160" s="130" t="n">
        <f aca="false">IVA!AS160/IVA!CL20</f>
        <v>0.000206944222646549</v>
      </c>
      <c r="AY160" s="130" t="n">
        <f aca="false">IVA!AT160/IVA!CM20</f>
        <v>0.000276096557468301</v>
      </c>
      <c r="AZ160" s="271" t="n">
        <f aca="false">IVA!AU160/IVA!CN20</f>
        <v>0.000919153368502565</v>
      </c>
      <c r="BA160" s="266" t="n">
        <v>2010</v>
      </c>
      <c r="BB160" s="430" t="s">
        <v>571</v>
      </c>
      <c r="BC160" s="431"/>
      <c r="BD160" s="431"/>
      <c r="BE160" s="431"/>
      <c r="BF160" s="432" t="n">
        <v>15047.55055</v>
      </c>
      <c r="BG160" s="432" t="n">
        <v>4676.60355</v>
      </c>
      <c r="BH160" s="432" t="n">
        <v>6296.7616</v>
      </c>
      <c r="BI160" s="432" t="n">
        <v>8877.4016</v>
      </c>
      <c r="BJ160" s="432" t="n">
        <v>7670.14595</v>
      </c>
      <c r="BK160" s="432" t="n">
        <v>7344.34015</v>
      </c>
      <c r="BL160" s="432" t="n">
        <v>5401.6021</v>
      </c>
      <c r="BM160" s="432" t="n">
        <v>7995.95175</v>
      </c>
      <c r="BN160" s="432" t="n">
        <v>9571.75505</v>
      </c>
      <c r="BO160" s="432" t="n">
        <v>7015.30855</v>
      </c>
      <c r="BP160" s="432" t="n">
        <v>10281.43105</v>
      </c>
      <c r="BQ160" s="433" t="n">
        <v>7919.339</v>
      </c>
      <c r="BR160" s="175" t="n">
        <f aca="false">IVA!BF160+IVA!BG160+IVA!BH160</f>
        <v>26020.9157</v>
      </c>
      <c r="BS160" s="175" t="n">
        <f aca="false">IVA!BI160+IVA!BJ160+IVA!BK160</f>
        <v>23891.8877</v>
      </c>
      <c r="BT160" s="175" t="n">
        <f aca="false">IVA!BL160+IVA!BM160+IVA!BN160</f>
        <v>22969.3089</v>
      </c>
      <c r="BU160" s="176" t="n">
        <f aca="false">IVA!BO160+IVA!BP160+IVA!BQ160</f>
        <v>25216.0786</v>
      </c>
      <c r="BV160" s="137" t="n">
        <f aca="false">IVA!BR160+IVA!BS160+IVA!BT160+IVA!BU160</f>
        <v>98098.1909</v>
      </c>
      <c r="BW160" s="138" t="n">
        <f aca="false">IVA!BR160/IVA!CJ19</f>
        <v>2.13745045306276E-005</v>
      </c>
      <c r="BX160" s="139" t="n">
        <f aca="false">IVA!BS160/IVA!CK19</f>
        <v>1.58404261567917E-005</v>
      </c>
      <c r="BY160" s="138" t="n">
        <f aca="false">IVA!BT160/IVA!CL19</f>
        <v>1.56695462667109E-005</v>
      </c>
      <c r="BZ160" s="138" t="n">
        <f aca="false">IVA!BU160/IVA!CM19</f>
        <v>1.59686557985163E-005</v>
      </c>
      <c r="CA160" s="273" t="n">
        <f aca="false">IVA!BV160/IVA!CN19</f>
        <v>6.79983538379005E-005</v>
      </c>
      <c r="CI160" s="53" t="n">
        <v>2006</v>
      </c>
      <c r="CJ160" s="377" t="n">
        <f aca="false">IVA!CJ136+IVA!CJ112</f>
        <v>12938651.8985852</v>
      </c>
      <c r="CK160" s="377" t="n">
        <f aca="false">IVA!CK136+IVA!CK112</f>
        <v>13437576.7811616</v>
      </c>
      <c r="CL160" s="377" t="n">
        <f aca="false">IVA!CL136+IVA!CL112</f>
        <v>14811905.6148522</v>
      </c>
      <c r="CM160" s="377" t="n">
        <f aca="false">IVA!CM136+IVA!CM112</f>
        <v>15421988.8257665</v>
      </c>
      <c r="CN160" s="378" t="n">
        <f aca="false">IVA!CN136+IVA!CN112</f>
        <v>49695551.3203725</v>
      </c>
      <c r="CO160" s="376" t="n">
        <f aca="false">35609272116/1000</f>
        <v>35609272.116</v>
      </c>
      <c r="CP160" s="377" t="n">
        <v>31684381.116</v>
      </c>
      <c r="CQ160" s="377" t="n">
        <f aca="false">IVA!CN160-IVA!CP160</f>
        <v>18011170.2043725</v>
      </c>
    </row>
    <row r="161" customFormat="false" ht="12.75" hidden="false" customHeight="true" outlineLevel="0" collapsed="false">
      <c r="AA161" s="419" t="n">
        <v>2012</v>
      </c>
      <c r="AB161" s="419" t="s">
        <v>569</v>
      </c>
      <c r="AC161" s="420"/>
      <c r="AD161" s="421"/>
      <c r="AE161" s="422" t="n">
        <f aca="false">IVA!AE144*0.21</f>
        <v>160567.7238333</v>
      </c>
      <c r="AF161" s="423" t="n">
        <f aca="false">IVA!AF144*0.21</f>
        <v>202221.9510381</v>
      </c>
      <c r="AG161" s="422" t="n">
        <f aca="false">IVA!AG144*0.21</f>
        <v>196992.0601005</v>
      </c>
      <c r="AH161" s="422" t="n">
        <f aca="false">IVA!AH144*0.21</f>
        <v>181777.2918822</v>
      </c>
      <c r="AI161" s="422" t="n">
        <f aca="false">IVA!AI144*0.21</f>
        <v>166385.0014848</v>
      </c>
      <c r="AJ161" s="422" t="n">
        <f aca="false">IVA!AJ144*0.21</f>
        <v>156851.1908964</v>
      </c>
      <c r="AK161" s="422" t="n">
        <f aca="false">IVA!AK144*0.21</f>
        <v>229433.7966081</v>
      </c>
      <c r="AL161" s="422" t="n">
        <f aca="false">IVA!AL144*0.21</f>
        <v>210884.8939386</v>
      </c>
      <c r="AM161" s="422" t="n">
        <f aca="false">IVA!AM144*0.21</f>
        <v>211119.8389419</v>
      </c>
      <c r="AN161" s="422" t="n">
        <f aca="false">IVA!AN144*0.21</f>
        <v>198958.0581177</v>
      </c>
      <c r="AO161" s="422" t="n">
        <f aca="false">IVA!AO144*0.21</f>
        <v>201243.9011058</v>
      </c>
      <c r="AP161" s="422" t="n">
        <f aca="false">IVA!AP144*0.21</f>
        <v>266973.1453704</v>
      </c>
      <c r="AQ161" s="326" t="n">
        <f aca="false">IVA!AE161+IVA!AF161+IVA!AG161</f>
        <v>559781.7349719</v>
      </c>
      <c r="AR161" s="326" t="n">
        <f aca="false">IVA!AH161+IVA!AI161+IVA!AJ161</f>
        <v>505013.4842634</v>
      </c>
      <c r="AS161" s="326" t="n">
        <f aca="false">IVA!AK161+IVA!AL161+IVA!AM161</f>
        <v>651438.5294886</v>
      </c>
      <c r="AT161" s="326" t="n">
        <f aca="false">IVA!AN161+IVA!AO161+IVA!AP161</f>
        <v>667175.1045939</v>
      </c>
      <c r="AU161" s="424" t="n">
        <f aca="false">IVA!AQ161+IVA!AR161+IVA!AS161+IVA!AT161</f>
        <v>2383408.8533178</v>
      </c>
      <c r="AV161" s="252" t="n">
        <f aca="false">IVA!AQ161/IVA!CJ21</f>
        <v>0.000298560608752783</v>
      </c>
      <c r="AW161" s="252" t="n">
        <f aca="false">IVA!AR161/IVA!CK21</f>
        <v>0.000222163467670109</v>
      </c>
      <c r="AX161" s="252" t="n">
        <f aca="false">IVA!AS161/IVA!CL21</f>
        <v>0.000298426737458641</v>
      </c>
      <c r="AY161" s="252" t="n">
        <f aca="false">IVA!AT161/IVA!CM21</f>
        <v>0.000286836452834296</v>
      </c>
      <c r="AZ161" s="296" t="n">
        <f aca="false">IVA!AU161/IVA!CN21</f>
        <v>0.00110126528591016</v>
      </c>
      <c r="BA161" s="266" t="n">
        <v>2011</v>
      </c>
      <c r="BB161" s="430" t="s">
        <v>571</v>
      </c>
      <c r="BC161" s="431"/>
      <c r="BD161" s="431"/>
      <c r="BE161" s="431"/>
      <c r="BF161" s="432" t="n">
        <v>10487.88225</v>
      </c>
      <c r="BG161" s="432" t="n">
        <v>14872.5509</v>
      </c>
      <c r="BH161" s="432" t="n">
        <v>8312.8866</v>
      </c>
      <c r="BI161" s="432" t="n">
        <v>7460.46895</v>
      </c>
      <c r="BJ161" s="432" t="n">
        <v>8542.72485</v>
      </c>
      <c r="BK161" s="432" t="n">
        <v>12120.13705</v>
      </c>
      <c r="BL161" s="432" t="n">
        <v>7768.53285</v>
      </c>
      <c r="BM161" s="432" t="n">
        <v>13259.6509</v>
      </c>
      <c r="BN161" s="432" t="n">
        <v>7158.85665</v>
      </c>
      <c r="BO161" s="432" t="n">
        <v>15080.615</v>
      </c>
      <c r="BP161" s="432" t="n">
        <v>9231.43315</v>
      </c>
      <c r="BQ161" s="433" t="n">
        <v>12525.7814</v>
      </c>
      <c r="BR161" s="175" t="n">
        <f aca="false">IVA!BF161+IVA!BG161+IVA!BH161</f>
        <v>33673.31975</v>
      </c>
      <c r="BS161" s="175" t="n">
        <f aca="false">IVA!BI161+IVA!BJ161+IVA!BK161</f>
        <v>28123.33085</v>
      </c>
      <c r="BT161" s="175" t="n">
        <f aca="false">IVA!BL161+IVA!BM161+IVA!BN161</f>
        <v>28187.0404</v>
      </c>
      <c r="BU161" s="176" t="n">
        <f aca="false">IVA!BO161+IVA!BP161+IVA!BQ161</f>
        <v>36837.82955</v>
      </c>
      <c r="BV161" s="137" t="n">
        <f aca="false">IVA!BR161+IVA!BS161+IVA!BT161+IVA!BU161</f>
        <v>126821.52055</v>
      </c>
      <c r="BW161" s="138" t="n">
        <f aca="false">IVA!BR161/IVA!CJ20</f>
        <v>2.14810853353577E-005</v>
      </c>
      <c r="BX161" s="139" t="n">
        <f aca="false">IVA!BS161/IVA!CK20</f>
        <v>1.42308176507282E-005</v>
      </c>
      <c r="BY161" s="138" t="n">
        <f aca="false">IVA!BT161/IVA!CL20</f>
        <v>1.51105274398325E-005</v>
      </c>
      <c r="BZ161" s="138" t="n">
        <f aca="false">IVA!BU161/IVA!CM20</f>
        <v>1.88054598253871E-005</v>
      </c>
      <c r="CA161" s="273" t="n">
        <f aca="false">IVA!BV161/IVA!CN20</f>
        <v>6.88490752409401E-005</v>
      </c>
      <c r="CI161" s="53" t="n">
        <v>2007</v>
      </c>
      <c r="CJ161" s="377" t="n">
        <f aca="false">IVA!CJ137+IVA!CJ113</f>
        <v>17486356.3114502</v>
      </c>
      <c r="CK161" s="377" t="n">
        <f aca="false">IVA!CK137+IVA!CK113</f>
        <v>18034151.6121972</v>
      </c>
      <c r="CL161" s="377" t="n">
        <f aca="false">IVA!CL137+IVA!CL113</f>
        <v>20314563.9982094</v>
      </c>
      <c r="CM161" s="377" t="n">
        <f aca="false">IVA!CM137+IVA!CM113</f>
        <v>20479853.5116435</v>
      </c>
      <c r="CN161" s="378" t="n">
        <f aca="false">IVA!CN137+IVA!CN113</f>
        <v>67676739.149327</v>
      </c>
      <c r="CO161" s="376" t="n">
        <f aca="false">47175129941/1000</f>
        <v>47175129.941</v>
      </c>
      <c r="CP161" s="377" t="n">
        <v>41908535.7</v>
      </c>
      <c r="CQ161" s="377" t="n">
        <f aca="false">IVA!CN161-IVA!CP161</f>
        <v>25768203.449327</v>
      </c>
    </row>
    <row r="162" customFormat="false" ht="12.75" hidden="false" customHeight="true" outlineLevel="0" collapsed="false">
      <c r="AA162" s="123" t="n">
        <v>1996</v>
      </c>
      <c r="AB162" s="123" t="s">
        <v>575</v>
      </c>
      <c r="AC162" s="124"/>
      <c r="AD162" s="125"/>
      <c r="AE162" s="434" t="n">
        <v>0</v>
      </c>
      <c r="AF162" s="434" t="n">
        <v>0</v>
      </c>
      <c r="AG162" s="434" t="n">
        <v>0</v>
      </c>
      <c r="AH162" s="434" t="n">
        <v>0</v>
      </c>
      <c r="AI162" s="434" t="n">
        <v>0</v>
      </c>
      <c r="AJ162" s="434" t="n">
        <v>0</v>
      </c>
      <c r="AK162" s="434" t="n">
        <v>0</v>
      </c>
      <c r="AL162" s="434" t="n">
        <v>0</v>
      </c>
      <c r="AM162" s="434" t="n">
        <v>0</v>
      </c>
      <c r="AN162" s="434" t="n">
        <v>0</v>
      </c>
      <c r="AO162" s="434" t="n">
        <v>0</v>
      </c>
      <c r="AP162" s="434" t="n">
        <v>0</v>
      </c>
      <c r="AQ162" s="155" t="n">
        <f aca="false">IVA!AE162+IVA!AF162+IVA!AG162</f>
        <v>0</v>
      </c>
      <c r="AR162" s="155" t="n">
        <f aca="false">IVA!AH162+IVA!AI162+IVA!AJ162</f>
        <v>0</v>
      </c>
      <c r="AS162" s="155" t="n">
        <f aca="false">IVA!AK162+IVA!AL162+IVA!AM162</f>
        <v>0</v>
      </c>
      <c r="AT162" s="155" t="n">
        <f aca="false">IVA!AN162+IVA!AO162+IVA!AP162</f>
        <v>0</v>
      </c>
      <c r="AU162" s="129" t="n">
        <f aca="false">IVA!AQ162+IVA!AR162+IVA!AS162+IVA!AT162</f>
        <v>0</v>
      </c>
      <c r="AV162" s="252"/>
      <c r="AW162" s="252"/>
      <c r="AX162" s="252"/>
      <c r="AY162" s="252"/>
      <c r="AZ162" s="296"/>
      <c r="BA162" s="297" t="n">
        <v>2012</v>
      </c>
      <c r="BB162" s="435" t="s">
        <v>571</v>
      </c>
      <c r="BC162" s="436"/>
      <c r="BD162" s="436"/>
      <c r="BE162" s="436"/>
      <c r="BF162" s="437" t="n">
        <v>17678.466336545</v>
      </c>
      <c r="BG162" s="437" t="n">
        <v>16721.446589298</v>
      </c>
      <c r="BH162" s="437" t="n">
        <v>11467.1767994715</v>
      </c>
      <c r="BI162" s="437" t="n">
        <v>13354.3534122075</v>
      </c>
      <c r="BJ162" s="437" t="n">
        <v>12513.1593849215</v>
      </c>
      <c r="BK162" s="437" t="n">
        <v>13936.799126346</v>
      </c>
      <c r="BL162" s="437" t="n">
        <v>10872.93002829</v>
      </c>
      <c r="BM162" s="437" t="n">
        <v>15701.524709791</v>
      </c>
      <c r="BN162" s="437" t="n">
        <v>15108.4564039945</v>
      </c>
      <c r="BO162" s="437" t="n">
        <v>14713.6095646575</v>
      </c>
      <c r="BP162" s="437" t="n">
        <v>18048.7167815265</v>
      </c>
      <c r="BQ162" s="438" t="n">
        <v>13526.0784558535</v>
      </c>
      <c r="BR162" s="259" t="n">
        <f aca="false">IVA!BF162+IVA!BG162+IVA!BH162</f>
        <v>45867.0897253145</v>
      </c>
      <c r="BS162" s="259" t="n">
        <f aca="false">IVA!BI162+IVA!BJ162+IVA!BK162</f>
        <v>39804.311923475</v>
      </c>
      <c r="BT162" s="259" t="n">
        <f aca="false">IVA!BL162+IVA!BM162+IVA!BN162</f>
        <v>41682.9111420755</v>
      </c>
      <c r="BU162" s="260" t="n">
        <f aca="false">IVA!BO162+IVA!BP162+IVA!BQ162</f>
        <v>46288.4048020375</v>
      </c>
      <c r="BV162" s="261" t="n">
        <f aca="false">IVA!BR162+IVA!BS162+IVA!BT162+IVA!BU162</f>
        <v>173642.717592902</v>
      </c>
      <c r="BW162" s="264" t="n">
        <f aca="false">IVA!BR162/IVA!CJ21</f>
        <v>2.44632959144261E-005</v>
      </c>
      <c r="BX162" s="263" t="n">
        <f aca="false">IVA!BS162/IVA!CK21</f>
        <v>1.75105501945956E-005</v>
      </c>
      <c r="BY162" s="264" t="n">
        <f aca="false">IVA!BT162/IVA!CL21</f>
        <v>1.90951173699739E-005</v>
      </c>
      <c r="BZ162" s="264" t="n">
        <f aca="false">IVA!BU162/IVA!CM21</f>
        <v>1.99006254120589E-005</v>
      </c>
      <c r="CA162" s="303" t="n">
        <f aca="false">IVA!BV162/IVA!CN21</f>
        <v>8.02324354757556E-005</v>
      </c>
      <c r="CI162" s="53" t="n">
        <v>2008</v>
      </c>
      <c r="CJ162" s="377" t="n">
        <f aca="false">IVA!CJ138+IVA!CJ114</f>
        <v>23532743.9821917</v>
      </c>
      <c r="CK162" s="377" t="n">
        <f aca="false">IVA!CK138+IVA!CK114</f>
        <v>24943262.756579</v>
      </c>
      <c r="CL162" s="377" t="n">
        <f aca="false">IVA!CL138+IVA!CL114</f>
        <v>27816278.7210366</v>
      </c>
      <c r="CM162" s="377" t="n">
        <f aca="false">IVA!CM138+IVA!CM114</f>
        <v>27557139.2697316</v>
      </c>
      <c r="CN162" s="378" t="n">
        <f aca="false">IVA!CN138+IVA!CN114</f>
        <v>92189520.2664046</v>
      </c>
      <c r="CO162" s="376" t="n">
        <f aca="false">68300033000/1000</f>
        <v>68300033</v>
      </c>
      <c r="CP162" s="377" t="n">
        <v>60508991.805</v>
      </c>
      <c r="CQ162" s="377" t="n">
        <f aca="false">IVA!CN162-IVA!CP162</f>
        <v>31680528.4614046</v>
      </c>
    </row>
    <row r="163" customFormat="false" ht="12.75" hidden="false" customHeight="true" outlineLevel="0" collapsed="false">
      <c r="AA163" s="123" t="n">
        <v>1997</v>
      </c>
      <c r="AB163" s="123" t="s">
        <v>575</v>
      </c>
      <c r="AC163" s="124"/>
      <c r="AD163" s="125"/>
      <c r="AE163" s="434" t="n">
        <v>0</v>
      </c>
      <c r="AF163" s="434" t="n">
        <v>0</v>
      </c>
      <c r="AG163" s="434" t="n">
        <v>0</v>
      </c>
      <c r="AH163" s="434" t="n">
        <v>0</v>
      </c>
      <c r="AI163" s="434" t="n">
        <v>0</v>
      </c>
      <c r="AJ163" s="434" t="n">
        <v>0</v>
      </c>
      <c r="AK163" s="434" t="n">
        <v>0</v>
      </c>
      <c r="AL163" s="434" t="n">
        <v>0</v>
      </c>
      <c r="AM163" s="434" t="n">
        <v>0</v>
      </c>
      <c r="AN163" s="434" t="n">
        <v>0</v>
      </c>
      <c r="AO163" s="434" t="n">
        <v>0</v>
      </c>
      <c r="AP163" s="434" t="n">
        <v>0</v>
      </c>
      <c r="AQ163" s="155" t="n">
        <f aca="false">IVA!AE163+IVA!AF163+IVA!AG163</f>
        <v>0</v>
      </c>
      <c r="AR163" s="155" t="n">
        <f aca="false">IVA!AH163+IVA!AI163+IVA!AJ163</f>
        <v>0</v>
      </c>
      <c r="AS163" s="155" t="n">
        <f aca="false">IVA!AK163+IVA!AL163+IVA!AM163</f>
        <v>0</v>
      </c>
      <c r="AT163" s="155" t="n">
        <f aca="false">IVA!AN163+IVA!AO163+IVA!AP163</f>
        <v>0</v>
      </c>
      <c r="AU163" s="129" t="n">
        <f aca="false">IVA!AQ163+IVA!AR163+IVA!AS163+IVA!AT163</f>
        <v>0</v>
      </c>
      <c r="AV163" s="130" t="n">
        <f aca="false">IVA!AQ163/IVA!CJ6</f>
        <v>0</v>
      </c>
      <c r="AW163" s="130" t="n">
        <f aca="false">IVA!AR163/IVA!CK6</f>
        <v>0</v>
      </c>
      <c r="AX163" s="130" t="n">
        <f aca="false">IVA!AS163/IVA!CL6</f>
        <v>0</v>
      </c>
      <c r="AY163" s="130" t="n">
        <f aca="false">IVA!AT163/IVA!CM6</f>
        <v>0</v>
      </c>
      <c r="AZ163" s="271" t="n">
        <f aca="false">IVA!AU163/IVA!CN6</f>
        <v>0</v>
      </c>
      <c r="BA163" s="266" t="n">
        <v>1996</v>
      </c>
      <c r="BB163" s="369" t="s">
        <v>576</v>
      </c>
      <c r="BC163" s="370"/>
      <c r="BD163" s="370"/>
      <c r="BE163" s="370"/>
      <c r="BF163" s="371" t="n">
        <f aca="false">IVA!BF146+IVA!BF129+IVA!BF112+IVA!BF95+IVA!BF78+IVA!BF43+IVA!BF26+IVA!BF9</f>
        <v>1793336.16666667</v>
      </c>
      <c r="BG163" s="371" t="n">
        <f aca="false">IVA!BG146+IVA!BG129+IVA!BG112+IVA!BG95+IVA!BG78+IVA!BG43+IVA!BG26+IVA!BG9</f>
        <v>1809247.81666667</v>
      </c>
      <c r="BH163" s="371" t="n">
        <f aca="false">IVA!BH146+IVA!BH129+IVA!BH112+IVA!BH95+IVA!BH78+IVA!BH43+IVA!BH26+IVA!BH9</f>
        <v>1795922.58666667</v>
      </c>
      <c r="BI163" s="371" t="n">
        <f aca="false">IVA!BI146+IVA!BI129+IVA!BI112+IVA!BI95+IVA!BI78+IVA!BI43+IVA!BI26+IVA!BI9</f>
        <v>1723692.11666667</v>
      </c>
      <c r="BJ163" s="371" t="n">
        <f aca="false">IVA!BJ146+IVA!BJ129+IVA!BJ112+IVA!BJ95+IVA!BJ78+IVA!BJ43+IVA!BJ26+IVA!BJ9</f>
        <v>1912376.31666667</v>
      </c>
      <c r="BK163" s="371" t="n">
        <f aca="false">IVA!BK146+IVA!BK129+IVA!BK112+IVA!BK95+IVA!BK78+IVA!BK43+IVA!BK26+IVA!BK9</f>
        <v>1995148.84666667</v>
      </c>
      <c r="BL163" s="371" t="n">
        <f aca="false">IVA!BL146+IVA!BL129+IVA!BL112+IVA!BL95+IVA!BL78+IVA!BL43+IVA!BL26+IVA!BL9</f>
        <v>1831660.27666667</v>
      </c>
      <c r="BM163" s="371" t="n">
        <f aca="false">IVA!BM146+IVA!BM129+IVA!BM112+IVA!BM95+IVA!BM78+IVA!BM43+IVA!BM26+IVA!BM9</f>
        <v>1845048.08666667</v>
      </c>
      <c r="BN163" s="371" t="n">
        <f aca="false">IVA!BN146+IVA!BN129+IVA!BN112+IVA!BN95+IVA!BN78+IVA!BN43+IVA!BN26+IVA!BN9</f>
        <v>1636161.84666667</v>
      </c>
      <c r="BO163" s="371" t="n">
        <f aca="false">IVA!BO146+IVA!BO129+IVA!BO112+IVA!BO95+IVA!BO78+IVA!BO43+IVA!BO26+IVA!BO9</f>
        <v>1977331.63666667</v>
      </c>
      <c r="BP163" s="371" t="n">
        <f aca="false">IVA!BP146+IVA!BP129+IVA!BP112+IVA!BP95+IVA!BP78+IVA!BP43+IVA!BP26+IVA!BP9</f>
        <v>1930706.94666667</v>
      </c>
      <c r="BQ163" s="372" t="n">
        <f aca="false">IVA!BQ146+IVA!BQ129+IVA!BQ112+IVA!BQ95+IVA!BQ78+IVA!BQ43+IVA!BQ26+IVA!BQ9</f>
        <v>1790628.44666667</v>
      </c>
      <c r="BR163" s="175" t="n">
        <f aca="false">IVA!BF163+IVA!BG163+IVA!BH163</f>
        <v>5398506.57</v>
      </c>
      <c r="BS163" s="175" t="n">
        <f aca="false">IVA!BI163+IVA!BJ163+IVA!BK163</f>
        <v>5631217.28</v>
      </c>
      <c r="BT163" s="175" t="n">
        <f aca="false">IVA!BL163+IVA!BM163+IVA!BN163</f>
        <v>5312870.21</v>
      </c>
      <c r="BU163" s="176" t="n">
        <f aca="false">IVA!BO163+IVA!BP163+IVA!BQ163</f>
        <v>5698667.03</v>
      </c>
      <c r="BV163" s="137" t="n">
        <f aca="false">IVA!BR163+IVA!BS163+IVA!BT163+IVA!BU163</f>
        <v>22041261.09</v>
      </c>
      <c r="BW163" s="264"/>
      <c r="BX163" s="263"/>
      <c r="BY163" s="264"/>
      <c r="BZ163" s="264"/>
      <c r="CA163" s="303"/>
      <c r="CI163" s="53" t="n">
        <v>2009</v>
      </c>
      <c r="CJ163" s="377" t="n">
        <f aca="false">IVA!CJ139+IVA!CJ115</f>
        <v>28818934.14788</v>
      </c>
      <c r="CK163" s="377" t="n">
        <f aca="false">IVA!CK139+IVA!CK115</f>
        <v>28542380.6210925</v>
      </c>
      <c r="CL163" s="377" t="n">
        <f aca="false">IVA!CL139+IVA!CL115</f>
        <v>31973733.4891095</v>
      </c>
      <c r="CM163" s="377" t="n">
        <f aca="false">IVA!CM139+IVA!CM115</f>
        <v>31929621.4784295</v>
      </c>
      <c r="CN163" s="378" t="n">
        <f aca="false">IVA!CN139+IVA!CN115</f>
        <v>108542927.837947</v>
      </c>
      <c r="CO163" s="376" t="n">
        <f aca="false">97630595000/1000</f>
        <v>97630595</v>
      </c>
      <c r="CP163" s="377" t="n">
        <v>86799722.063</v>
      </c>
      <c r="CQ163" s="377" t="n">
        <f aca="false">IVA!CN163-IVA!CP163</f>
        <v>21743205.7749465</v>
      </c>
    </row>
    <row r="164" customFormat="false" ht="12.75" hidden="false" customHeight="true" outlineLevel="0" collapsed="false">
      <c r="AA164" s="123" t="n">
        <v>1998</v>
      </c>
      <c r="AB164" s="123" t="s">
        <v>575</v>
      </c>
      <c r="AC164" s="124"/>
      <c r="AD164" s="125"/>
      <c r="AE164" s="434" t="n">
        <v>0</v>
      </c>
      <c r="AF164" s="434" t="n">
        <v>0</v>
      </c>
      <c r="AG164" s="434" t="n">
        <v>0</v>
      </c>
      <c r="AH164" s="434" t="n">
        <v>0</v>
      </c>
      <c r="AI164" s="434" t="n">
        <v>0</v>
      </c>
      <c r="AJ164" s="434" t="n">
        <v>0</v>
      </c>
      <c r="AK164" s="434" t="n">
        <v>0</v>
      </c>
      <c r="AL164" s="434" t="n">
        <v>0</v>
      </c>
      <c r="AM164" s="434" t="n">
        <v>0</v>
      </c>
      <c r="AN164" s="434" t="n">
        <v>15349</v>
      </c>
      <c r="AO164" s="434" t="n">
        <v>24646</v>
      </c>
      <c r="AP164" s="434" t="n">
        <v>22162</v>
      </c>
      <c r="AQ164" s="155" t="n">
        <f aca="false">IVA!AE164+IVA!AF164+IVA!AG164</f>
        <v>0</v>
      </c>
      <c r="AR164" s="155" t="n">
        <f aca="false">IVA!AH164+IVA!AI164+IVA!AJ164</f>
        <v>0</v>
      </c>
      <c r="AS164" s="155" t="n">
        <f aca="false">IVA!AK164+IVA!AL164+IVA!AM164</f>
        <v>0</v>
      </c>
      <c r="AT164" s="155" t="n">
        <f aca="false">IVA!AN164+IVA!AO164+IVA!AP164</f>
        <v>62157</v>
      </c>
      <c r="AU164" s="129" t="n">
        <f aca="false">IVA!AQ164+IVA!AR164+IVA!AS164+IVA!AT164</f>
        <v>62157</v>
      </c>
      <c r="AV164" s="130" t="n">
        <f aca="false">IVA!AQ164/IVA!CJ7</f>
        <v>0</v>
      </c>
      <c r="AW164" s="130" t="n">
        <f aca="false">IVA!AR164/IVA!CK7</f>
        <v>0</v>
      </c>
      <c r="AX164" s="130" t="n">
        <f aca="false">IVA!AS164/IVA!CL7</f>
        <v>0</v>
      </c>
      <c r="AY164" s="130" t="n">
        <f aca="false">IVA!AT164/IVA!CM7</f>
        <v>0.000210398348589673</v>
      </c>
      <c r="AZ164" s="271" t="n">
        <f aca="false">IVA!AU164/IVA!CN7</f>
        <v>0.000207918853612736</v>
      </c>
      <c r="BA164" s="272" t="n">
        <v>1997</v>
      </c>
      <c r="BB164" s="369" t="s">
        <v>576</v>
      </c>
      <c r="BC164" s="370"/>
      <c r="BD164" s="370"/>
      <c r="BE164" s="370"/>
      <c r="BF164" s="371" t="n">
        <f aca="false">IVA!BF147+IVA!BF130+IVA!BF113+IVA!BF96+IVA!BF79+IVA!BF44+IVA!BF27+IVA!BF10</f>
        <v>2078488.23883124</v>
      </c>
      <c r="BG164" s="371" t="n">
        <f aca="false">IVA!BG147+IVA!BG130+IVA!BG113+IVA!BG96+IVA!BG79+IVA!BG44+IVA!BG27+IVA!BG10</f>
        <v>1819904.74590621</v>
      </c>
      <c r="BH164" s="371" t="n">
        <f aca="false">IVA!BH147+IVA!BH130+IVA!BH113+IVA!BH96+IVA!BH79+IVA!BH44+IVA!BH27+IVA!BH10</f>
        <v>1828072.82781709</v>
      </c>
      <c r="BI164" s="371" t="n">
        <f aca="false">IVA!BI147+IVA!BI130+IVA!BI113+IVA!BI96+IVA!BI79+IVA!BI44+IVA!BI27+IVA!BI10</f>
        <v>1947960.69710955</v>
      </c>
      <c r="BJ164" s="371" t="n">
        <f aca="false">IVA!BJ147+IVA!BJ130+IVA!BJ113+IVA!BJ96+IVA!BJ79+IVA!BJ44+IVA!BJ27+IVA!BJ10</f>
        <v>2448618.86950875</v>
      </c>
      <c r="BK164" s="371" t="n">
        <f aca="false">IVA!BK147+IVA!BK130+IVA!BK113+IVA!BK96+IVA!BK79+IVA!BK44+IVA!BK27+IVA!BK10</f>
        <v>1989191.69538729</v>
      </c>
      <c r="BL164" s="371" t="n">
        <f aca="false">IVA!BL147+IVA!BL130+IVA!BL113+IVA!BL96+IVA!BL79+IVA!BL44+IVA!BL27+IVA!BL10</f>
        <v>1904199.91509344</v>
      </c>
      <c r="BM164" s="371" t="n">
        <f aca="false">IVA!BM147+IVA!BM130+IVA!BM113+IVA!BM96+IVA!BM79+IVA!BM44+IVA!BM27+IVA!BM10</f>
        <v>2046901.7589939</v>
      </c>
      <c r="BN164" s="371" t="n">
        <f aca="false">IVA!BN147+IVA!BN130+IVA!BN113+IVA!BN96+IVA!BN79+IVA!BN44+IVA!BN27+IVA!BN10</f>
        <v>2153386.48065603</v>
      </c>
      <c r="BO164" s="371" t="n">
        <f aca="false">IVA!BO147+IVA!BO130+IVA!BO113+IVA!BO96+IVA!BO79+IVA!BO44+IVA!BO27+IVA!BO10</f>
        <v>1956793.38501866</v>
      </c>
      <c r="BP164" s="371" t="n">
        <f aca="false">IVA!BP147+IVA!BP130+IVA!BP113+IVA!BP96+IVA!BP79+IVA!BP44+IVA!BP27+IVA!BP10</f>
        <v>2088710.4875853</v>
      </c>
      <c r="BQ164" s="372" t="n">
        <f aca="false">IVA!BQ147+IVA!BQ130+IVA!BQ113+IVA!BQ96+IVA!BQ79+IVA!BQ44+IVA!BQ27+IVA!BQ10</f>
        <v>2031976.02018096</v>
      </c>
      <c r="BR164" s="175" t="n">
        <f aca="false">IVA!BF164+IVA!BG164+IVA!BH164</f>
        <v>5726465.81255454</v>
      </c>
      <c r="BS164" s="175" t="n">
        <f aca="false">IVA!BI164+IVA!BJ164+IVA!BK164</f>
        <v>6385771.26200559</v>
      </c>
      <c r="BT164" s="175" t="n">
        <f aca="false">IVA!BL164+IVA!BM164+IVA!BN164</f>
        <v>6104488.15474337</v>
      </c>
      <c r="BU164" s="176" t="n">
        <f aca="false">IVA!BO164+IVA!BP164+IVA!BQ164</f>
        <v>6077479.89278492</v>
      </c>
      <c r="BV164" s="137" t="n">
        <f aca="false">IVA!BR164+IVA!BS164+IVA!BT164+IVA!BU164</f>
        <v>24294205.1220884</v>
      </c>
      <c r="BW164" s="138" t="n">
        <f aca="false">IVA!BR164/IVA!CJ6</f>
        <v>0.0211106164290885</v>
      </c>
      <c r="BX164" s="139" t="n">
        <f aca="false">IVA!BS164/IVA!CK6</f>
        <v>0.0212949518090997</v>
      </c>
      <c r="BY164" s="138" t="n">
        <f aca="false">IVA!BT164/IVA!CL6</f>
        <v>0.0204666599451263</v>
      </c>
      <c r="BZ164" s="138" t="n">
        <f aca="false">IVA!BU164/IVA!CM6</f>
        <v>0.0201216055471205</v>
      </c>
      <c r="CA164" s="273" t="n">
        <f aca="false">IVA!BV164/IVA!CN6</f>
        <v>0.0829553310578018</v>
      </c>
      <c r="CI164" s="53" t="n">
        <v>2010</v>
      </c>
      <c r="CJ164" s="377" t="n">
        <f aca="false">IVA!CJ140+IVA!CJ116</f>
        <v>36120896.608842</v>
      </c>
      <c r="CK164" s="377" t="n">
        <f aca="false">IVA!CK140+IVA!CK116</f>
        <v>38654024.4693215</v>
      </c>
      <c r="CL164" s="377" t="n">
        <f aca="false">IVA!CL140+IVA!CL116</f>
        <v>42845471.7993985</v>
      </c>
      <c r="CM164" s="377" t="n">
        <f aca="false">IVA!CM140+IVA!CM116</f>
        <v>43901945.939339</v>
      </c>
      <c r="CN164" s="378" t="n">
        <f aca="false">IVA!CN140+IVA!CN116</f>
        <v>145003711.130621</v>
      </c>
      <c r="CO164" s="376" t="n">
        <f aca="false">114995896000/1000</f>
        <v>114995896</v>
      </c>
      <c r="CP164" s="377" t="n">
        <v>101813838</v>
      </c>
      <c r="CQ164" s="377" t="n">
        <f aca="false">IVA!CN164-IVA!CP164</f>
        <v>43189873.130621</v>
      </c>
    </row>
    <row r="165" customFormat="false" ht="12.75" hidden="false" customHeight="true" outlineLevel="0" collapsed="false">
      <c r="AA165" s="123" t="n">
        <v>1999</v>
      </c>
      <c r="AB165" s="123" t="s">
        <v>575</v>
      </c>
      <c r="AC165" s="124"/>
      <c r="AD165" s="125"/>
      <c r="AE165" s="434" t="n">
        <v>22983</v>
      </c>
      <c r="AF165" s="434" t="n">
        <v>24849</v>
      </c>
      <c r="AG165" s="434" t="n">
        <v>24929</v>
      </c>
      <c r="AH165" s="434" t="n">
        <v>22542</v>
      </c>
      <c r="AI165" s="434" t="n">
        <v>22536</v>
      </c>
      <c r="AJ165" s="434" t="n">
        <v>21377</v>
      </c>
      <c r="AK165" s="434" t="n">
        <v>23345</v>
      </c>
      <c r="AL165" s="434" t="n">
        <v>22808</v>
      </c>
      <c r="AM165" s="434" t="n">
        <v>23244</v>
      </c>
      <c r="AN165" s="434" t="n">
        <v>21985</v>
      </c>
      <c r="AO165" s="434" t="n">
        <v>23370</v>
      </c>
      <c r="AP165" s="434" t="n">
        <v>22291</v>
      </c>
      <c r="AQ165" s="155" t="n">
        <f aca="false">IVA!AE165+IVA!AF165+IVA!AG165</f>
        <v>72761</v>
      </c>
      <c r="AR165" s="155" t="n">
        <f aca="false">IVA!AH165+IVA!AI165+IVA!AJ165</f>
        <v>66455</v>
      </c>
      <c r="AS165" s="155" t="n">
        <f aca="false">IVA!AK165+IVA!AL165+IVA!AM165</f>
        <v>69397</v>
      </c>
      <c r="AT165" s="155" t="n">
        <f aca="false">IVA!AN165+IVA!AO165+IVA!AP165</f>
        <v>67646</v>
      </c>
      <c r="AU165" s="129" t="n">
        <f aca="false">IVA!AQ165+IVA!AR165+IVA!AS165+IVA!AT165</f>
        <v>276259</v>
      </c>
      <c r="AV165" s="130" t="n">
        <f aca="false">IVA!AQ165/IVA!CJ8</f>
        <v>0.000268742659171327</v>
      </c>
      <c r="AW165" s="130" t="n">
        <f aca="false">IVA!AR165/IVA!CK8</f>
        <v>0.000230083554847915</v>
      </c>
      <c r="AX165" s="130" t="n">
        <f aca="false">IVA!AS165/IVA!CL8</f>
        <v>0.000243423918989641</v>
      </c>
      <c r="AY165" s="130" t="n">
        <f aca="false">IVA!AT165/IVA!CM8</f>
        <v>0.000233722398142266</v>
      </c>
      <c r="AZ165" s="271" t="n">
        <f aca="false">IVA!AU165/IVA!CN8</f>
        <v>0.000974379421188841</v>
      </c>
      <c r="BA165" s="266" t="n">
        <v>1998</v>
      </c>
      <c r="BB165" s="369" t="s">
        <v>576</v>
      </c>
      <c r="BC165" s="370"/>
      <c r="BD165" s="370"/>
      <c r="BE165" s="370"/>
      <c r="BF165" s="371" t="n">
        <f aca="false">IVA!BF148+IVA!BF131+IVA!BF114+IVA!BF97+IVA!BF80+IVA!BF45+IVA!BF28+IVA!BF11</f>
        <v>2032067.04165974</v>
      </c>
      <c r="BG165" s="371" t="n">
        <f aca="false">IVA!BG148+IVA!BG131+IVA!BG114+IVA!BG97+IVA!BG80+IVA!BG45+IVA!BG28+IVA!BG11</f>
        <v>2026559.42750327</v>
      </c>
      <c r="BH165" s="371" t="n">
        <f aca="false">IVA!BH148+IVA!BH131+IVA!BH114+IVA!BH97+IVA!BH80+IVA!BH45+IVA!BH28+IVA!BH11</f>
        <v>2070187.36506569</v>
      </c>
      <c r="BI165" s="371" t="n">
        <f aca="false">IVA!BI148+IVA!BI131+IVA!BI114+IVA!BI97+IVA!BI80+IVA!BI45+IVA!BI28+IVA!BI11</f>
        <v>1963396.2803293</v>
      </c>
      <c r="BJ165" s="371" t="n">
        <f aca="false">IVA!BJ148+IVA!BJ131+IVA!BJ114+IVA!BJ97+IVA!BJ80+IVA!BJ45+IVA!BJ28+IVA!BJ11</f>
        <v>2487428.20418733</v>
      </c>
      <c r="BK165" s="371" t="n">
        <f aca="false">IVA!BK148+IVA!BK131+IVA!BK114+IVA!BK97+IVA!BK80+IVA!BK45+IVA!BK28+IVA!BK11</f>
        <v>2388548.16038712</v>
      </c>
      <c r="BL165" s="371" t="n">
        <f aca="false">IVA!BL148+IVA!BL131+IVA!BL114+IVA!BL97+IVA!BL80+IVA!BL45+IVA!BL28+IVA!BL11</f>
        <v>2098245.62200787</v>
      </c>
      <c r="BM165" s="371" t="n">
        <f aca="false">IVA!BM148+IVA!BM131+IVA!BM114+IVA!BM97+IVA!BM80+IVA!BM45+IVA!BM28+IVA!BM11</f>
        <v>2131347.01797056</v>
      </c>
      <c r="BN165" s="371" t="n">
        <f aca="false">IVA!BN148+IVA!BN131+IVA!BN114+IVA!BN97+IVA!BN80+IVA!BN45+IVA!BN28+IVA!BN11</f>
        <v>2099591.0212591</v>
      </c>
      <c r="BO165" s="371" t="n">
        <f aca="false">IVA!BO148+IVA!BO131+IVA!BO114+IVA!BO97+IVA!BO80+IVA!BO45+IVA!BO28+IVA!BO11</f>
        <v>1953804.51419404</v>
      </c>
      <c r="BP165" s="371" t="n">
        <f aca="false">IVA!BP148+IVA!BP131+IVA!BP114+IVA!BP97+IVA!BP80+IVA!BP45+IVA!BP28+IVA!BP11</f>
        <v>2085171.87272092</v>
      </c>
      <c r="BQ165" s="372" t="n">
        <f aca="false">IVA!BQ148+IVA!BQ131+IVA!BQ114+IVA!BQ97+IVA!BQ80+IVA!BQ45+IVA!BQ28+IVA!BQ11</f>
        <v>2080694.31807647</v>
      </c>
      <c r="BR165" s="175" t="n">
        <f aca="false">IVA!BF165+IVA!BG165+IVA!BH165</f>
        <v>6128813.8342287</v>
      </c>
      <c r="BS165" s="175" t="n">
        <f aca="false">IVA!BI165+IVA!BJ165+IVA!BK165</f>
        <v>6839372.64490375</v>
      </c>
      <c r="BT165" s="175" t="n">
        <f aca="false">IVA!BL165+IVA!BM165+IVA!BN165</f>
        <v>6329183.66123754</v>
      </c>
      <c r="BU165" s="176" t="n">
        <f aca="false">IVA!BO165+IVA!BP165+IVA!BQ165</f>
        <v>6119670.70499144</v>
      </c>
      <c r="BV165" s="137" t="n">
        <f aca="false">IVA!BR165+IVA!BS165+IVA!BT165+IVA!BU165</f>
        <v>25417040.8453614</v>
      </c>
      <c r="BW165" s="138" t="n">
        <f aca="false">IVA!BR165/IVA!CJ7</f>
        <v>0.021674660968966</v>
      </c>
      <c r="BX165" s="139" t="n">
        <f aca="false">IVA!BS165/IVA!CK7</f>
        <v>0.0219119986029749</v>
      </c>
      <c r="BY165" s="138" t="n">
        <f aca="false">IVA!BT165/IVA!CL7</f>
        <v>0.0207191700189025</v>
      </c>
      <c r="BZ165" s="138" t="n">
        <f aca="false">IVA!BU165/IVA!CM7</f>
        <v>0.0207147804791544</v>
      </c>
      <c r="CA165" s="273" t="n">
        <f aca="false">IVA!BV165/IVA!CN7</f>
        <v>0.0850215099634092</v>
      </c>
      <c r="CI165" s="53" t="n">
        <v>2011</v>
      </c>
      <c r="CJ165" s="377" t="n">
        <f aca="false">IVA!CJ141+IVA!CJ117</f>
        <v>48904053.1875385</v>
      </c>
      <c r="CK165" s="377" t="n">
        <f aca="false">IVA!CK141+IVA!CK117</f>
        <v>52228818.5102085</v>
      </c>
      <c r="CL165" s="377" t="n">
        <f aca="false">IVA!CL141+IVA!CL117</f>
        <v>57697834.32708</v>
      </c>
      <c r="CM165" s="377" t="n">
        <f aca="false">IVA!CM141+IVA!CM117</f>
        <v>57681733.2475295</v>
      </c>
      <c r="CN165" s="378" t="n">
        <f aca="false">IVA!CN141+IVA!CN117</f>
        <v>194154706.266871</v>
      </c>
      <c r="CO165" s="376" t="n">
        <f aca="false">160948903483/1000</f>
        <v>160948903.483</v>
      </c>
      <c r="CP165" s="377" t="n">
        <v>190817640</v>
      </c>
      <c r="CQ165" s="377" t="n">
        <f aca="false">IVA!CN165-IVA!CP165</f>
        <v>3337066.26687148</v>
      </c>
    </row>
    <row r="166" customFormat="false" ht="12.75" hidden="false" customHeight="true" outlineLevel="0" collapsed="false">
      <c r="AA166" s="123" t="n">
        <v>2000</v>
      </c>
      <c r="AB166" s="123" t="s">
        <v>575</v>
      </c>
      <c r="AC166" s="124"/>
      <c r="AD166" s="125"/>
      <c r="AE166" s="434" t="n">
        <v>23077.31492</v>
      </c>
      <c r="AF166" s="434" t="n">
        <v>22004.09653</v>
      </c>
      <c r="AG166" s="434" t="n">
        <v>28295.59597</v>
      </c>
      <c r="AH166" s="434" t="n">
        <v>25012.08298</v>
      </c>
      <c r="AI166" s="434" t="n">
        <v>28934.5642</v>
      </c>
      <c r="AJ166" s="434" t="n">
        <v>28291.59928</v>
      </c>
      <c r="AK166" s="434" t="n">
        <v>27680.8406</v>
      </c>
      <c r="AL166" s="434" t="n">
        <v>28615.4063</v>
      </c>
      <c r="AM166" s="434" t="n">
        <v>27199.8885</v>
      </c>
      <c r="AN166" s="434" t="n">
        <v>27592.4577</v>
      </c>
      <c r="AO166" s="434" t="n">
        <v>29494.9881</v>
      </c>
      <c r="AP166" s="434" t="n">
        <v>25410.87673</v>
      </c>
      <c r="AQ166" s="155" t="n">
        <f aca="false">IVA!AE166+IVA!AF166+IVA!AG166</f>
        <v>73377.00742</v>
      </c>
      <c r="AR166" s="155" t="n">
        <f aca="false">IVA!AH166+IVA!AI166+IVA!AJ166</f>
        <v>82238.24646</v>
      </c>
      <c r="AS166" s="155" t="n">
        <f aca="false">IVA!AK166+IVA!AL166+IVA!AM166</f>
        <v>83496.1354</v>
      </c>
      <c r="AT166" s="155" t="n">
        <f aca="false">IVA!AN166+IVA!AO166+IVA!AP166</f>
        <v>82498.32253</v>
      </c>
      <c r="AU166" s="129" t="n">
        <f aca="false">IVA!AQ166+IVA!AR166+IVA!AS166+IVA!AT166</f>
        <v>321609.71181</v>
      </c>
      <c r="AV166" s="130" t="n">
        <f aca="false">IVA!AQ166/IVA!CJ9</f>
        <v>0.000271320522622058</v>
      </c>
      <c r="AW166" s="130" t="n">
        <f aca="false">IVA!AR166/IVA!CK9</f>
        <v>0.000281834724282509</v>
      </c>
      <c r="AX166" s="130" t="n">
        <f aca="false">IVA!AS166/IVA!CL9</f>
        <v>0.000290425742473139</v>
      </c>
      <c r="AY166" s="130" t="n">
        <f aca="false">IVA!AT166/IVA!CM9</f>
        <v>0.000287371486522113</v>
      </c>
      <c r="AZ166" s="271" t="n">
        <f aca="false">IVA!AU166/IVA!CN9</f>
        <v>0.00113161674996109</v>
      </c>
      <c r="BA166" s="266" t="n">
        <v>1999</v>
      </c>
      <c r="BB166" s="369" t="s">
        <v>576</v>
      </c>
      <c r="BC166" s="370"/>
      <c r="BD166" s="370"/>
      <c r="BE166" s="370"/>
      <c r="BF166" s="371" t="n">
        <f aca="false">IVA!BF149+IVA!BF132+IVA!BF115+IVA!BF98+IVA!BF81+IVA!BF46+IVA!BF29+IVA!BF12</f>
        <v>2041300.74088482</v>
      </c>
      <c r="BG166" s="371" t="n">
        <f aca="false">IVA!BG149+IVA!BG132+IVA!BG115+IVA!BG98+IVA!BG81+IVA!BG46+IVA!BG29+IVA!BG12</f>
        <v>1912416.28968538</v>
      </c>
      <c r="BH166" s="371" t="n">
        <f aca="false">IVA!BH149+IVA!BH132+IVA!BH115+IVA!BH98+IVA!BH81+IVA!BH46+IVA!BH29+IVA!BH12</f>
        <v>2069521.05635706</v>
      </c>
      <c r="BI166" s="371" t="n">
        <f aca="false">IVA!BI149+IVA!BI132+IVA!BI115+IVA!BI98+IVA!BI81+IVA!BI46+IVA!BI29+IVA!BI12</f>
        <v>1938783.79001849</v>
      </c>
      <c r="BJ166" s="371" t="n">
        <f aca="false">IVA!BJ149+IVA!BJ132+IVA!BJ115+IVA!BJ98+IVA!BJ81+IVA!BJ46+IVA!BJ29+IVA!BJ12</f>
        <v>2144413.79306427</v>
      </c>
      <c r="BK166" s="371" t="n">
        <f aca="false">IVA!BK149+IVA!BK132+IVA!BK115+IVA!BK98+IVA!BK81+IVA!BK46+IVA!BK29+IVA!BK12</f>
        <v>2044238.53603952</v>
      </c>
      <c r="BL166" s="371" t="n">
        <f aca="false">IVA!BL149+IVA!BL132+IVA!BL115+IVA!BL98+IVA!BL81+IVA!BL46+IVA!BL29+IVA!BL12</f>
        <v>1880669.21383107</v>
      </c>
      <c r="BM166" s="371" t="n">
        <f aca="false">IVA!BM149+IVA!BM132+IVA!BM115+IVA!BM98+IVA!BM81+IVA!BM46+IVA!BM29+IVA!BM12</f>
        <v>2048020.7083026</v>
      </c>
      <c r="BN166" s="371" t="n">
        <f aca="false">IVA!BN149+IVA!BN132+IVA!BN115+IVA!BN98+IVA!BN81+IVA!BN46+IVA!BN29+IVA!BN12</f>
        <v>2028879.56283708</v>
      </c>
      <c r="BO166" s="371" t="n">
        <f aca="false">IVA!BO149+IVA!BO132+IVA!BO115+IVA!BO98+IVA!BO81+IVA!BO46+IVA!BO29+IVA!BO12</f>
        <v>1979506.14569458</v>
      </c>
      <c r="BP166" s="371" t="n">
        <f aca="false">IVA!BP149+IVA!BP132+IVA!BP115+IVA!BP98+IVA!BP81+IVA!BP46+IVA!BP29+IVA!BP12</f>
        <v>2089213.00972976</v>
      </c>
      <c r="BQ166" s="372" t="n">
        <f aca="false">IVA!BQ149+IVA!BQ132+IVA!BQ115+IVA!BQ98+IVA!BQ81+IVA!BQ46+IVA!BQ29+IVA!BQ12</f>
        <v>1898645.8467722</v>
      </c>
      <c r="BR166" s="175" t="n">
        <f aca="false">IVA!BF166+IVA!BG166+IVA!BH166</f>
        <v>6023238.08692726</v>
      </c>
      <c r="BS166" s="175" t="n">
        <f aca="false">IVA!BI166+IVA!BJ166+IVA!BK166</f>
        <v>6127436.11912228</v>
      </c>
      <c r="BT166" s="175" t="n">
        <f aca="false">IVA!BL166+IVA!BM166+IVA!BN166</f>
        <v>5957569.48497075</v>
      </c>
      <c r="BU166" s="176" t="n">
        <f aca="false">IVA!BO166+IVA!BP166+IVA!BQ166</f>
        <v>5967365.00219653</v>
      </c>
      <c r="BV166" s="137" t="n">
        <f aca="false">IVA!BR166+IVA!BS166+IVA!BT166+IVA!BU166</f>
        <v>24075608.6932168</v>
      </c>
      <c r="BW166" s="138" t="n">
        <f aca="false">IVA!BR166/IVA!CJ8</f>
        <v>0.0222468220654313</v>
      </c>
      <c r="BX166" s="139" t="n">
        <f aca="false">IVA!BS166/IVA!CK8</f>
        <v>0.0212146909095051</v>
      </c>
      <c r="BY166" s="138" t="n">
        <f aca="false">IVA!BT166/IVA!CL8</f>
        <v>0.0208973718126818</v>
      </c>
      <c r="BZ166" s="138" t="n">
        <f aca="false">IVA!BU166/IVA!CM8</f>
        <v>0.0206177284525855</v>
      </c>
      <c r="CA166" s="273" t="n">
        <f aca="false">IVA!BV166/IVA!CN8</f>
        <v>0.0849158856843239</v>
      </c>
      <c r="CI166" s="233" t="n">
        <v>2012</v>
      </c>
      <c r="CJ166" s="396" t="n">
        <f aca="false">IVA!CJ142+IVA!CJ118</f>
        <v>63679753.9289152</v>
      </c>
      <c r="CK166" s="396" t="n">
        <f aca="false">IVA!CK142+IVA!CK118</f>
        <v>65432242.9938196</v>
      </c>
      <c r="CL166" s="396" t="n">
        <f aca="false">IVA!CL142+IVA!CL118</f>
        <v>73811909.4879669</v>
      </c>
      <c r="CM166" s="396" t="n">
        <f aca="false">IVA!CM142+IVA!CM118</f>
        <v>75345835.7796662</v>
      </c>
      <c r="CN166" s="397" t="n">
        <f aca="false">IVA!CN142+IVA!CN118</f>
        <v>251180945.17259</v>
      </c>
      <c r="CO166" s="399" t="n">
        <f aca="false">218058376000/1000</f>
        <v>218058376</v>
      </c>
      <c r="CP166" s="396" t="n">
        <v>249602518.071</v>
      </c>
      <c r="CQ166" s="396" t="n">
        <f aca="false">IVA!CN166-IVA!CP166</f>
        <v>1578427.10159007</v>
      </c>
    </row>
    <row r="167" customFormat="false" ht="12.75" hidden="false" customHeight="true" outlineLevel="0" collapsed="false">
      <c r="AA167" s="123" t="n">
        <v>2001</v>
      </c>
      <c r="AB167" s="123" t="s">
        <v>575</v>
      </c>
      <c r="AC167" s="124"/>
      <c r="AD167" s="125"/>
      <c r="AE167" s="434" t="n">
        <v>30561.94416</v>
      </c>
      <c r="AF167" s="434" t="n">
        <v>25605.32993</v>
      </c>
      <c r="AG167" s="434" t="n">
        <v>28897.48781</v>
      </c>
      <c r="AH167" s="434" t="n">
        <v>24571.33096</v>
      </c>
      <c r="AI167" s="434" t="n">
        <v>29063.85766</v>
      </c>
      <c r="AJ167" s="434" t="n">
        <v>26832.42746</v>
      </c>
      <c r="AK167" s="434" t="n">
        <v>26181.7887</v>
      </c>
      <c r="AL167" s="434" t="n">
        <v>25700.01504</v>
      </c>
      <c r="AM167" s="434" t="n">
        <v>23506.6303</v>
      </c>
      <c r="AN167" s="434" t="n">
        <v>24317.6293</v>
      </c>
      <c r="AO167" s="434" t="n">
        <v>22879.36648</v>
      </c>
      <c r="AP167" s="434" t="n">
        <v>16171.6659</v>
      </c>
      <c r="AQ167" s="155" t="n">
        <f aca="false">IVA!AE167+IVA!AF167+IVA!AG167</f>
        <v>85064.7619</v>
      </c>
      <c r="AR167" s="155" t="n">
        <f aca="false">IVA!AH167+IVA!AI167+IVA!AJ167</f>
        <v>80467.61608</v>
      </c>
      <c r="AS167" s="155" t="n">
        <f aca="false">IVA!AK167+IVA!AL167+IVA!AM167</f>
        <v>75388.43404</v>
      </c>
      <c r="AT167" s="155" t="n">
        <f aca="false">IVA!AN167+IVA!AO167+IVA!AP167</f>
        <v>63368.66168</v>
      </c>
      <c r="AU167" s="129" t="n">
        <f aca="false">IVA!AQ167+IVA!AR167+IVA!AS167+IVA!AT167</f>
        <v>304289.4737</v>
      </c>
      <c r="AV167" s="130" t="n">
        <f aca="false">IVA!AQ167/IVA!CJ10</f>
        <v>0.000323033603715476</v>
      </c>
      <c r="AW167" s="130" t="n">
        <f aca="false">IVA!AR167/IVA!CK10</f>
        <v>0.00027937615028708</v>
      </c>
      <c r="AX167" s="130" t="n">
        <f aca="false">IVA!AS167/IVA!CL10</f>
        <v>0.000277809648740434</v>
      </c>
      <c r="AY167" s="130" t="n">
        <f aca="false">IVA!AT167/IVA!CM10</f>
        <v>0.00025140014868335</v>
      </c>
      <c r="AZ167" s="271" t="n">
        <f aca="false">IVA!AU167/IVA!CN10</f>
        <v>0.00113246446158616</v>
      </c>
      <c r="BA167" s="266" t="n">
        <v>2000</v>
      </c>
      <c r="BB167" s="369" t="s">
        <v>576</v>
      </c>
      <c r="BC167" s="370"/>
      <c r="BD167" s="370"/>
      <c r="BE167" s="370"/>
      <c r="BF167" s="371" t="n">
        <f aca="false">IVA!BF150+IVA!BF133+IVA!BF116+IVA!BF99+IVA!BF82+IVA!BF47+IVA!BF30+IVA!BF13</f>
        <v>2150520.59907562</v>
      </c>
      <c r="BG167" s="371" t="n">
        <f aca="false">IVA!BG150+IVA!BG133+IVA!BG116+IVA!BG99+IVA!BG82+IVA!BG47+IVA!BG30+IVA!BG13</f>
        <v>1799177.48235852</v>
      </c>
      <c r="BH167" s="371" t="n">
        <f aca="false">IVA!BH150+IVA!BH133+IVA!BH116+IVA!BH99+IVA!BH82+IVA!BH47+IVA!BH30+IVA!BH13</f>
        <v>2030985.62544081</v>
      </c>
      <c r="BI167" s="371" t="n">
        <f aca="false">IVA!BI150+IVA!BI133+IVA!BI116+IVA!BI99+IVA!BI82+IVA!BI47+IVA!BI30+IVA!BI13</f>
        <v>2043850.89263006</v>
      </c>
      <c r="BJ167" s="371" t="n">
        <f aca="false">IVA!BJ150+IVA!BJ133+IVA!BJ116+IVA!BJ99+IVA!BJ82+IVA!BJ47+IVA!BJ30+IVA!BJ13</f>
        <v>2283238.11466904</v>
      </c>
      <c r="BK167" s="371" t="n">
        <f aca="false">IVA!BK150+IVA!BK133+IVA!BK116+IVA!BK99+IVA!BK82+IVA!BK47+IVA!BK30+IVA!BK13</f>
        <v>2536763.82618685</v>
      </c>
      <c r="BL167" s="371" t="n">
        <f aca="false">IVA!BL150+IVA!BL133+IVA!BL116+IVA!BL99+IVA!BL82+IVA!BL47+IVA!BL30+IVA!BL13</f>
        <v>2114111.13843637</v>
      </c>
      <c r="BM167" s="371" t="n">
        <f aca="false">IVA!BM150+IVA!BM133+IVA!BM116+IVA!BM99+IVA!BM82+IVA!BM47+IVA!BM30+IVA!BM13</f>
        <v>2193647.33003388</v>
      </c>
      <c r="BN167" s="371" t="n">
        <f aca="false">IVA!BN150+IVA!BN133+IVA!BN116+IVA!BN99+IVA!BN82+IVA!BN47+IVA!BN30+IVA!BN13</f>
        <v>2101985.25936167</v>
      </c>
      <c r="BO167" s="371" t="n">
        <f aca="false">IVA!BO150+IVA!BO133+IVA!BO116+IVA!BO99+IVA!BO82+IVA!BO47+IVA!BO30+IVA!BO13</f>
        <v>2073297.69459099</v>
      </c>
      <c r="BP167" s="371" t="n">
        <f aca="false">IVA!BP150+IVA!BP133+IVA!BP116+IVA!BP99+IVA!BP82+IVA!BP47+IVA!BP30+IVA!BP13</f>
        <v>2056523.66318332</v>
      </c>
      <c r="BQ167" s="372" t="n">
        <f aca="false">IVA!BQ150+IVA!BQ133+IVA!BQ116+IVA!BQ99+IVA!BQ82+IVA!BQ47+IVA!BQ30+IVA!BQ13</f>
        <v>2116026.73252055</v>
      </c>
      <c r="BR167" s="175" t="n">
        <f aca="false">IVA!BF167+IVA!BG167+IVA!BH167</f>
        <v>5980683.70687495</v>
      </c>
      <c r="BS167" s="175" t="n">
        <f aca="false">IVA!BI167+IVA!BJ167+IVA!BK167</f>
        <v>6863852.83348595</v>
      </c>
      <c r="BT167" s="175" t="n">
        <f aca="false">IVA!BL167+IVA!BM167+IVA!BN167</f>
        <v>6409743.72783193</v>
      </c>
      <c r="BU167" s="176" t="n">
        <f aca="false">IVA!BO167+IVA!BP167+IVA!BQ167</f>
        <v>6245848.09029486</v>
      </c>
      <c r="BV167" s="137" t="n">
        <f aca="false">IVA!BR167+IVA!BS167+IVA!BT167+IVA!BU167</f>
        <v>25500128.3584877</v>
      </c>
      <c r="BW167" s="138" t="n">
        <f aca="false">IVA!BR167/IVA!CJ9</f>
        <v>0.0221143146339906</v>
      </c>
      <c r="BX167" s="139" t="n">
        <f aca="false">IVA!BS167/IVA!CK9</f>
        <v>0.0235227786840292</v>
      </c>
      <c r="BY167" s="138" t="n">
        <f aca="false">IVA!BT167/IVA!CL9</f>
        <v>0.0222950987168459</v>
      </c>
      <c r="BZ167" s="138" t="n">
        <f aca="false">IVA!BU167/IVA!CM9</f>
        <v>0.0217565472273286</v>
      </c>
      <c r="CA167" s="273" t="n">
        <f aca="false">IVA!BV167/IVA!CN9</f>
        <v>0.0897248164995404</v>
      </c>
      <c r="CO167" s="399" t="n">
        <f aca="false">287022501303/1000</f>
        <v>287022501.303</v>
      </c>
      <c r="CP167" s="28"/>
    </row>
    <row r="168" customFormat="false" ht="12.75" hidden="false" customHeight="true" outlineLevel="0" collapsed="false">
      <c r="AA168" s="123" t="n">
        <v>2002</v>
      </c>
      <c r="AB168" s="123" t="s">
        <v>575</v>
      </c>
      <c r="AC168" s="124"/>
      <c r="AD168" s="125"/>
      <c r="AE168" s="434" t="n">
        <v>18300.8126</v>
      </c>
      <c r="AF168" s="434" t="n">
        <v>16718.32806</v>
      </c>
      <c r="AG168" s="434" t="n">
        <v>17077.13961</v>
      </c>
      <c r="AH168" s="434" t="n">
        <v>15635.67386</v>
      </c>
      <c r="AI168" s="434" t="n">
        <v>23381.06751</v>
      </c>
      <c r="AJ168" s="434" t="n">
        <v>18417.64028</v>
      </c>
      <c r="AK168" s="434" t="n">
        <v>21558.05376</v>
      </c>
      <c r="AL168" s="434" t="n">
        <v>19823.59799</v>
      </c>
      <c r="AM168" s="434" t="n">
        <v>19376.90781</v>
      </c>
      <c r="AN168" s="434" t="n">
        <v>20510.92993</v>
      </c>
      <c r="AO168" s="434" t="n">
        <v>19869.42714</v>
      </c>
      <c r="AP168" s="434" t="n">
        <v>20617.14865</v>
      </c>
      <c r="AQ168" s="155" t="n">
        <f aca="false">IVA!AE168+IVA!AF168+IVA!AG168</f>
        <v>52096.28027</v>
      </c>
      <c r="AR168" s="155" t="n">
        <f aca="false">IVA!AH168+IVA!AI168+IVA!AJ168</f>
        <v>57434.38165</v>
      </c>
      <c r="AS168" s="155" t="n">
        <f aca="false">IVA!AK168+IVA!AL168+IVA!AM168</f>
        <v>60758.55956</v>
      </c>
      <c r="AT168" s="155" t="n">
        <f aca="false">IVA!AN168+IVA!AO168+IVA!AP168</f>
        <v>60997.50572</v>
      </c>
      <c r="AU168" s="129" t="n">
        <f aca="false">IVA!AQ168+IVA!AR168+IVA!AS168+IVA!AT168</f>
        <v>231286.7272</v>
      </c>
      <c r="AV168" s="130" t="n">
        <f aca="false">IVA!AQ168/IVA!CJ11</f>
        <v>0.00021976267425134</v>
      </c>
      <c r="AW168" s="130" t="n">
        <f aca="false">IVA!AR168/IVA!CK11</f>
        <v>0.000169418855843165</v>
      </c>
      <c r="AX168" s="130" t="n">
        <f aca="false">IVA!AS168/IVA!CL11</f>
        <v>0.000181908461424681</v>
      </c>
      <c r="AY168" s="130" t="n">
        <f aca="false">IVA!AT168/IVA!CM11</f>
        <v>0.000179272914492792</v>
      </c>
      <c r="AZ168" s="271" t="n">
        <f aca="false">IVA!AU168/IVA!CN11</f>
        <v>0.000739927764904089</v>
      </c>
      <c r="BA168" s="266" t="n">
        <v>2001</v>
      </c>
      <c r="BB168" s="369" t="s">
        <v>576</v>
      </c>
      <c r="BC168" s="370"/>
      <c r="BD168" s="370"/>
      <c r="BE168" s="370"/>
      <c r="BF168" s="371" t="n">
        <f aca="false">IVA!BF151+IVA!BF134+IVA!BF117+IVA!BF100+IVA!BF83+IVA!BF48+IVA!BF31+IVA!BF14</f>
        <v>2160629.71742103</v>
      </c>
      <c r="BG168" s="371" t="n">
        <f aca="false">IVA!BG151+IVA!BG134+IVA!BG117+IVA!BG100+IVA!BG83+IVA!BG48+IVA!BG31+IVA!BG14</f>
        <v>1901574.62522405</v>
      </c>
      <c r="BH168" s="371" t="n">
        <f aca="false">IVA!BH151+IVA!BH134+IVA!BH117+IVA!BH100+IVA!BH83+IVA!BH48+IVA!BH31+IVA!BH14</f>
        <v>1887176.13697646</v>
      </c>
      <c r="BI168" s="371" t="n">
        <f aca="false">IVA!BI151+IVA!BI134+IVA!BI117+IVA!BI100+IVA!BI83+IVA!BI48+IVA!BI31+IVA!BI14</f>
        <v>1855963.51962236</v>
      </c>
      <c r="BJ168" s="371" t="n">
        <f aca="false">IVA!BJ151+IVA!BJ134+IVA!BJ117+IVA!BJ100+IVA!BJ83+IVA!BJ48+IVA!BJ31+IVA!BJ14</f>
        <v>2485027.78309399</v>
      </c>
      <c r="BK168" s="371" t="n">
        <f aca="false">IVA!BK151+IVA!BK134+IVA!BK117+IVA!BK100+IVA!BK83+IVA!BK48+IVA!BK31+IVA!BK14</f>
        <v>2459236.85540243</v>
      </c>
      <c r="BL168" s="371" t="n">
        <f aca="false">IVA!BL151+IVA!BL134+IVA!BL117+IVA!BL100+IVA!BL83+IVA!BL48+IVA!BL31+IVA!BL14</f>
        <v>1799522.86098091</v>
      </c>
      <c r="BM168" s="371" t="n">
        <f aca="false">IVA!BM151+IVA!BM134+IVA!BM117+IVA!BM100+IVA!BM83+IVA!BM48+IVA!BM31+IVA!BM14</f>
        <v>1973058.92113219</v>
      </c>
      <c r="BN168" s="371" t="n">
        <f aca="false">IVA!BN151+IVA!BN134+IVA!BN117+IVA!BN100+IVA!BN83+IVA!BN48+IVA!BN31+IVA!BN14</f>
        <v>1698273.66849825</v>
      </c>
      <c r="BO168" s="371" t="n">
        <f aca="false">IVA!BO151+IVA!BO134+IVA!BO117+IVA!BO100+IVA!BO83+IVA!BO48+IVA!BO31+IVA!BO14</f>
        <v>1662021.65414193</v>
      </c>
      <c r="BP168" s="371" t="n">
        <f aca="false">IVA!BP151+IVA!BP134+IVA!BP117+IVA!BP100+IVA!BP83+IVA!BP48+IVA!BP31+IVA!BP14</f>
        <v>1684297.96387064</v>
      </c>
      <c r="BQ168" s="372" t="n">
        <f aca="false">IVA!BQ151+IVA!BQ134+IVA!BQ117+IVA!BQ100+IVA!BQ83+IVA!BQ48+IVA!BQ31+IVA!BQ14</f>
        <v>1343461.39683923</v>
      </c>
      <c r="BR168" s="175" t="n">
        <f aca="false">IVA!BF168+IVA!BG168+IVA!BH168</f>
        <v>5949380.47962154</v>
      </c>
      <c r="BS168" s="175" t="n">
        <f aca="false">IVA!BI168+IVA!BJ168+IVA!BK168</f>
        <v>6800228.15811878</v>
      </c>
      <c r="BT168" s="175" t="n">
        <f aca="false">IVA!BL168+IVA!BM168+IVA!BN168</f>
        <v>5470855.45061135</v>
      </c>
      <c r="BU168" s="176" t="n">
        <f aca="false">IVA!BO168+IVA!BP168+IVA!BQ168</f>
        <v>4689781.01485179</v>
      </c>
      <c r="BV168" s="137" t="n">
        <f aca="false">IVA!BR168+IVA!BS168+IVA!BT168+IVA!BU168</f>
        <v>22910245.1032035</v>
      </c>
      <c r="BW168" s="138" t="n">
        <f aca="false">IVA!BR168/IVA!CJ10</f>
        <v>0.0225927842890565</v>
      </c>
      <c r="BX168" s="139" t="n">
        <f aca="false">IVA!BS168/IVA!CK10</f>
        <v>0.0236097657224025</v>
      </c>
      <c r="BY168" s="138" t="n">
        <f aca="false">IVA!BT168/IVA!CL10</f>
        <v>0.0201603395852156</v>
      </c>
      <c r="BZ168" s="138" t="n">
        <f aca="false">IVA!BU168/IVA!CM10</f>
        <v>0.0186055948345554</v>
      </c>
      <c r="CA168" s="273" t="n">
        <f aca="false">IVA!BV168/IVA!CN10</f>
        <v>0.0852643309350411</v>
      </c>
    </row>
    <row r="169" customFormat="false" ht="12.75" hidden="false" customHeight="true" outlineLevel="0" collapsed="false">
      <c r="AA169" s="123" t="n">
        <v>2003</v>
      </c>
      <c r="AB169" s="123" t="s">
        <v>575</v>
      </c>
      <c r="AC169" s="124"/>
      <c r="AD169" s="125"/>
      <c r="AE169" s="434" t="n">
        <v>22805.92199</v>
      </c>
      <c r="AF169" s="434" t="n">
        <v>20776.22496</v>
      </c>
      <c r="AG169" s="434" t="n">
        <v>21614.69926</v>
      </c>
      <c r="AH169" s="434" t="n">
        <v>23841.8064</v>
      </c>
      <c r="AI169" s="434" t="n">
        <v>23694.17091</v>
      </c>
      <c r="AJ169" s="434" t="n">
        <v>24309.51928</v>
      </c>
      <c r="AK169" s="434" t="n">
        <v>26143.01568</v>
      </c>
      <c r="AL169" s="434" t="n">
        <v>26051.87777</v>
      </c>
      <c r="AM169" s="434" t="n">
        <v>26782.81029</v>
      </c>
      <c r="AN169" s="434" t="n">
        <v>27752.50103</v>
      </c>
      <c r="AO169" s="434" t="n">
        <v>26400.52989</v>
      </c>
      <c r="AP169" s="434" t="n">
        <v>24494.03518</v>
      </c>
      <c r="AQ169" s="155" t="n">
        <f aca="false">IVA!AE169+IVA!AF169+IVA!AG169</f>
        <v>65196.84621</v>
      </c>
      <c r="AR169" s="155" t="n">
        <f aca="false">IVA!AH169+IVA!AI169+IVA!AJ169</f>
        <v>71845.49659</v>
      </c>
      <c r="AS169" s="155" t="n">
        <f aca="false">IVA!AK169+IVA!AL169+IVA!AM169</f>
        <v>78977.70374</v>
      </c>
      <c r="AT169" s="155" t="n">
        <f aca="false">IVA!AN169+IVA!AO169+IVA!AP169</f>
        <v>78647.0661</v>
      </c>
      <c r="AU169" s="129" t="n">
        <f aca="false">IVA!AQ169+IVA!AR169+IVA!AS169+IVA!AT169</f>
        <v>294667.11264</v>
      </c>
      <c r="AV169" s="130" t="n">
        <f aca="false">IVA!AQ169/IVA!CJ12</f>
        <v>0.000199158259694161</v>
      </c>
      <c r="AW169" s="130" t="n">
        <f aca="false">IVA!AR169/IVA!CK12</f>
        <v>0.000180010287631107</v>
      </c>
      <c r="AX169" s="130" t="n">
        <f aca="false">IVA!AS169/IVA!CL12</f>
        <v>0.000208998068177886</v>
      </c>
      <c r="AY169" s="130" t="n">
        <f aca="false">IVA!AT169/IVA!CM12</f>
        <v>0.000196977346368108</v>
      </c>
      <c r="AZ169" s="271" t="n">
        <f aca="false">IVA!AU169/IVA!CN12</f>
        <v>0.000783878091104721</v>
      </c>
      <c r="BA169" s="266" t="n">
        <v>2002</v>
      </c>
      <c r="BB169" s="369" t="s">
        <v>576</v>
      </c>
      <c r="BC169" s="370"/>
      <c r="BD169" s="370"/>
      <c r="BE169" s="370"/>
      <c r="BF169" s="371" t="n">
        <f aca="false">IVA!BF152+IVA!BF135+IVA!BF118+IVA!BF101+IVA!BF84+IVA!BF49+IVA!BF32+IVA!BF15</f>
        <v>1572585.84980774</v>
      </c>
      <c r="BG169" s="371" t="n">
        <f aca="false">IVA!BG152+IVA!BG135+IVA!BG118+IVA!BG101+IVA!BG84+IVA!BG49+IVA!BG32+IVA!BG15</f>
        <v>1433479.52251189</v>
      </c>
      <c r="BH169" s="371" t="n">
        <f aca="false">IVA!BH152+IVA!BH135+IVA!BH118+IVA!BH101+IVA!BH84+IVA!BH49+IVA!BH32+IVA!BH15</f>
        <v>1460570.72011503</v>
      </c>
      <c r="BI169" s="371" t="n">
        <f aca="false">IVA!BI152+IVA!BI135+IVA!BI118+IVA!BI101+IVA!BI84+IVA!BI49+IVA!BI32+IVA!BI15</f>
        <v>1284717.24578429</v>
      </c>
      <c r="BJ169" s="371" t="n">
        <f aca="false">IVA!BJ152+IVA!BJ135+IVA!BJ118+IVA!BJ101+IVA!BJ84+IVA!BJ49+IVA!BJ32+IVA!BJ15</f>
        <v>2261175.92787401</v>
      </c>
      <c r="BK169" s="371" t="n">
        <f aca="false">IVA!BK152+IVA!BK135+IVA!BK118+IVA!BK101+IVA!BK84+IVA!BK49+IVA!BK32+IVA!BK15</f>
        <v>2055282.19467035</v>
      </c>
      <c r="BL169" s="371" t="n">
        <f aca="false">IVA!BL152+IVA!BL135+IVA!BL118+IVA!BL101+IVA!BL84+IVA!BL49+IVA!BL32+IVA!BL15</f>
        <v>2056350.31326216</v>
      </c>
      <c r="BM169" s="371" t="n">
        <f aca="false">IVA!BM152+IVA!BM135+IVA!BM118+IVA!BM101+IVA!BM84+IVA!BM49+IVA!BM32+IVA!BM15</f>
        <v>2052170.82460293</v>
      </c>
      <c r="BN169" s="371" t="n">
        <f aca="false">IVA!BN152+IVA!BN135+IVA!BN118+IVA!BN101+IVA!BN84+IVA!BN49+IVA!BN32+IVA!BN15</f>
        <v>1959688.65034995</v>
      </c>
      <c r="BO169" s="371" t="n">
        <f aca="false">IVA!BO152+IVA!BO135+IVA!BO118+IVA!BO101+IVA!BO84+IVA!BO49+IVA!BO32+IVA!BO15</f>
        <v>2117418.19500366</v>
      </c>
      <c r="BP169" s="371" t="n">
        <f aca="false">IVA!BP152+IVA!BP135+IVA!BP118+IVA!BP101+IVA!BP84+IVA!BP49+IVA!BP32+IVA!BP15</f>
        <v>2371598.25714796</v>
      </c>
      <c r="BQ169" s="372" t="n">
        <f aca="false">IVA!BQ152+IVA!BQ135+IVA!BQ118+IVA!BQ101+IVA!BQ84+IVA!BQ49+IVA!BQ32+IVA!BQ15</f>
        <v>2097112.12357887</v>
      </c>
      <c r="BR169" s="175" t="n">
        <f aca="false">IVA!BF169+IVA!BG169+IVA!BH169</f>
        <v>4466636.09243465</v>
      </c>
      <c r="BS169" s="175" t="n">
        <f aca="false">IVA!BI169+IVA!BJ169+IVA!BK169</f>
        <v>5601175.36832866</v>
      </c>
      <c r="BT169" s="175" t="n">
        <f aca="false">IVA!BL169+IVA!BM169+IVA!BN169</f>
        <v>6068209.78821504</v>
      </c>
      <c r="BU169" s="176" t="n">
        <f aca="false">IVA!BO169+IVA!BP169+IVA!BQ169</f>
        <v>6586128.57573049</v>
      </c>
      <c r="BV169" s="137" t="n">
        <f aca="false">IVA!BR169+IVA!BS169+IVA!BT169+IVA!BU169</f>
        <v>22722149.8247088</v>
      </c>
      <c r="BW169" s="138" t="n">
        <f aca="false">IVA!BR169/IVA!CJ11</f>
        <v>0.0188420341623941</v>
      </c>
      <c r="BX169" s="139" t="n">
        <f aca="false">IVA!BS169/IVA!CK11</f>
        <v>0.0165222414696121</v>
      </c>
      <c r="BY169" s="138" t="n">
        <f aca="false">IVA!BT169/IVA!CL11</f>
        <v>0.0181679538516101</v>
      </c>
      <c r="BZ169" s="138" t="n">
        <f aca="false">IVA!BU169/IVA!CM11</f>
        <v>0.0193567663309933</v>
      </c>
      <c r="CA169" s="273" t="n">
        <f aca="false">IVA!BV169/IVA!CN11</f>
        <v>0.0726922367623552</v>
      </c>
      <c r="CP169" s="28" t="n">
        <f aca="false">249602518071/1000</f>
        <v>249602518.071</v>
      </c>
    </row>
    <row r="170" customFormat="false" ht="12.75" hidden="false" customHeight="true" outlineLevel="0" collapsed="false">
      <c r="AA170" s="123" t="n">
        <v>2004</v>
      </c>
      <c r="AB170" s="123" t="s">
        <v>575</v>
      </c>
      <c r="AC170" s="124"/>
      <c r="AD170" s="125"/>
      <c r="AE170" s="434" t="n">
        <v>31126.51097</v>
      </c>
      <c r="AF170" s="434" t="n">
        <v>27265.86991</v>
      </c>
      <c r="AG170" s="434" t="n">
        <v>31162.1054</v>
      </c>
      <c r="AH170" s="434" t="n">
        <v>29575.20761</v>
      </c>
      <c r="AI170" s="434" t="n">
        <v>29739.13007</v>
      </c>
      <c r="AJ170" s="434" t="n">
        <v>12682.60671</v>
      </c>
      <c r="AK170" s="434" t="n">
        <v>56883.57163</v>
      </c>
      <c r="AL170" s="434" t="n">
        <v>41088.98008</v>
      </c>
      <c r="AM170" s="434" t="n">
        <v>60674.34972</v>
      </c>
      <c r="AN170" s="434" t="n">
        <v>47500.16945</v>
      </c>
      <c r="AO170" s="434" t="n">
        <v>44329.85805</v>
      </c>
      <c r="AP170" s="434" t="n">
        <v>43954.79543</v>
      </c>
      <c r="AQ170" s="155" t="n">
        <f aca="false">IVA!AE170+IVA!AF170+IVA!AG170</f>
        <v>89554.48628</v>
      </c>
      <c r="AR170" s="155" t="n">
        <f aca="false">IVA!AH170+IVA!AI170+IVA!AJ170</f>
        <v>71996.94439</v>
      </c>
      <c r="AS170" s="155" t="n">
        <f aca="false">IVA!AK170+IVA!AL170+IVA!AM170</f>
        <v>158646.90143</v>
      </c>
      <c r="AT170" s="155" t="n">
        <f aca="false">IVA!AN170+IVA!AO170+IVA!AP170</f>
        <v>135784.82293</v>
      </c>
      <c r="AU170" s="129" t="n">
        <f aca="false">IVA!AQ170+IVA!AR170+IVA!AS170+IVA!AT170</f>
        <v>455983.15503</v>
      </c>
      <c r="AV170" s="130" t="n">
        <f aca="false">IVA!AQ170/IVA!CJ13</f>
        <v>0.000227980169595511</v>
      </c>
      <c r="AW170" s="130" t="n">
        <f aca="false">IVA!AR170/IVA!CK13</f>
        <v>0.000151824037372417</v>
      </c>
      <c r="AX170" s="130" t="n">
        <f aca="false">IVA!AS170/IVA!CL13</f>
        <v>0.000350926870016987</v>
      </c>
      <c r="AY170" s="130" t="n">
        <f aca="false">IVA!AT170/IVA!CM13</f>
        <v>0.00028800705605813</v>
      </c>
      <c r="AZ170" s="271" t="n">
        <f aca="false">IVA!AU170/IVA!CN13</f>
        <v>0.00101863029570065</v>
      </c>
      <c r="BA170" s="266" t="n">
        <v>2003</v>
      </c>
      <c r="BB170" s="369" t="s">
        <v>576</v>
      </c>
      <c r="BC170" s="370"/>
      <c r="BD170" s="370"/>
      <c r="BE170" s="370"/>
      <c r="BF170" s="371" t="n">
        <f aca="false">IVA!BF153+IVA!BF136+IVA!BF119+IVA!BF102+IVA!BF85+IVA!BF50+IVA!BF33+IVA!BF16</f>
        <v>2569086.84893246</v>
      </c>
      <c r="BG170" s="371" t="n">
        <f aca="false">IVA!BG153+IVA!BG136+IVA!BG119+IVA!BG102+IVA!BG85+IVA!BG50+IVA!BG33+IVA!BG16</f>
        <v>2016932.39613305</v>
      </c>
      <c r="BH170" s="371" t="n">
        <f aca="false">IVA!BH153+IVA!BH136+IVA!BH119+IVA!BH102+IVA!BH85+IVA!BH50+IVA!BH33+IVA!BH16</f>
        <v>2156181.25704048</v>
      </c>
      <c r="BI170" s="371" t="n">
        <f aca="false">IVA!BI153+IVA!BI136+IVA!BI119+IVA!BI102+IVA!BI85+IVA!BI50+IVA!BI33+IVA!BI16</f>
        <v>2444548.17096975</v>
      </c>
      <c r="BJ170" s="371" t="n">
        <f aca="false">IVA!BJ153+IVA!BJ136+IVA!BJ119+IVA!BJ102+IVA!BJ85+IVA!BJ50+IVA!BJ33+IVA!BJ16</f>
        <v>3198665.22411262</v>
      </c>
      <c r="BK170" s="371" t="n">
        <f aca="false">IVA!BK153+IVA!BK136+IVA!BK119+IVA!BK102+IVA!BK85+IVA!BK50+IVA!BK33+IVA!BK16</f>
        <v>2906502.93003632</v>
      </c>
      <c r="BL170" s="371" t="n">
        <f aca="false">IVA!BL153+IVA!BL136+IVA!BL119+IVA!BL102+IVA!BL85+IVA!BL50+IVA!BL33+IVA!BL16</f>
        <v>2804189.72557647</v>
      </c>
      <c r="BM170" s="371" t="n">
        <f aca="false">IVA!BM153+IVA!BM136+IVA!BM119+IVA!BM102+IVA!BM85+IVA!BM50+IVA!BM33+IVA!BM16</f>
        <v>2911929.70747825</v>
      </c>
      <c r="BN170" s="371" t="n">
        <f aca="false">IVA!BN153+IVA!BN136+IVA!BN119+IVA!BN102+IVA!BN85+IVA!BN50+IVA!BN33+IVA!BN16</f>
        <v>2940368.85084958</v>
      </c>
      <c r="BO170" s="371" t="n">
        <f aca="false">IVA!BO153+IVA!BO136+IVA!BO119+IVA!BO102+IVA!BO85+IVA!BO50+IVA!BO33+IVA!BO16</f>
        <v>2879329.38371819</v>
      </c>
      <c r="BP170" s="371" t="n">
        <f aca="false">IVA!BP153+IVA!BP136+IVA!BP119+IVA!BP102+IVA!BP85+IVA!BP50+IVA!BP33+IVA!BP16</f>
        <v>3147457.36961189</v>
      </c>
      <c r="BQ170" s="372" t="n">
        <f aca="false">IVA!BQ153+IVA!BQ136+IVA!BQ119+IVA!BQ102+IVA!BQ85+IVA!BQ50+IVA!BQ33+IVA!BQ16</f>
        <v>3203570.37857859</v>
      </c>
      <c r="BR170" s="175" t="n">
        <f aca="false">IVA!BF170+IVA!BG170+IVA!BH170</f>
        <v>6742200.50210599</v>
      </c>
      <c r="BS170" s="175" t="n">
        <f aca="false">IVA!BI170+IVA!BJ170+IVA!BK170</f>
        <v>8549716.32511869</v>
      </c>
      <c r="BT170" s="175" t="n">
        <f aca="false">IVA!BL170+IVA!BM170+IVA!BN170</f>
        <v>8656488.2839043</v>
      </c>
      <c r="BU170" s="176" t="n">
        <f aca="false">IVA!BO170+IVA!BP170+IVA!BQ170</f>
        <v>9230357.13190867</v>
      </c>
      <c r="BV170" s="137" t="n">
        <f aca="false">IVA!BR170+IVA!BS170+IVA!BT170+IVA!BU170</f>
        <v>33178762.2430376</v>
      </c>
      <c r="BW170" s="138" t="n">
        <f aca="false">IVA!BR170/IVA!CJ12</f>
        <v>0.0205955501924658</v>
      </c>
      <c r="BX170" s="139" t="n">
        <f aca="false">IVA!BS170/IVA!CK12</f>
        <v>0.0214214803696298</v>
      </c>
      <c r="BY170" s="138" t="n">
        <f aca="false">IVA!BT170/IVA!CL12</f>
        <v>0.0229075959779291</v>
      </c>
      <c r="BZ170" s="138" t="n">
        <f aca="false">IVA!BU170/IVA!CM12</f>
        <v>0.0231181065490924</v>
      </c>
      <c r="CA170" s="273" t="n">
        <f aca="false">IVA!BV170/IVA!CN12</f>
        <v>0.0882626655525834</v>
      </c>
      <c r="CP170" s="28" t="n">
        <v>249602518071</v>
      </c>
    </row>
    <row r="171" customFormat="false" ht="12.75" hidden="false" customHeight="true" outlineLevel="0" collapsed="false">
      <c r="AA171" s="123" t="n">
        <v>2005</v>
      </c>
      <c r="AB171" s="123" t="s">
        <v>575</v>
      </c>
      <c r="AC171" s="124"/>
      <c r="AD171" s="125"/>
      <c r="AE171" s="434" t="n">
        <v>45601.78642</v>
      </c>
      <c r="AF171" s="434" t="n">
        <v>47707.92971</v>
      </c>
      <c r="AG171" s="434" t="n">
        <v>47679.19811</v>
      </c>
      <c r="AH171" s="434" t="n">
        <v>47259.00879</v>
      </c>
      <c r="AI171" s="434" t="n">
        <v>52142.99351</v>
      </c>
      <c r="AJ171" s="434" t="n">
        <v>49143.22132</v>
      </c>
      <c r="AK171" s="434" t="n">
        <v>48630.01673</v>
      </c>
      <c r="AL171" s="434" t="n">
        <v>50428.13831</v>
      </c>
      <c r="AM171" s="434" t="n">
        <v>50710.53523</v>
      </c>
      <c r="AN171" s="434" t="n">
        <v>49445.42583</v>
      </c>
      <c r="AO171" s="434" t="n">
        <v>51272.49695</v>
      </c>
      <c r="AP171" s="434" t="n">
        <v>51551.56237</v>
      </c>
      <c r="AQ171" s="155" t="n">
        <f aca="false">IVA!AE171+IVA!AF171+IVA!AG171</f>
        <v>140988.91424</v>
      </c>
      <c r="AR171" s="155" t="n">
        <f aca="false">IVA!AH171+IVA!AI171+IVA!AJ171</f>
        <v>148545.22362</v>
      </c>
      <c r="AS171" s="155" t="n">
        <f aca="false">IVA!AK171+IVA!AL171+IVA!AM171</f>
        <v>149768.69027</v>
      </c>
      <c r="AT171" s="155" t="n">
        <f aca="false">IVA!AN171+IVA!AO171+IVA!AP171</f>
        <v>152269.48515</v>
      </c>
      <c r="AU171" s="129" t="n">
        <f aca="false">IVA!AQ171+IVA!AR171+IVA!AS171+IVA!AT171</f>
        <v>591572.31328</v>
      </c>
      <c r="AV171" s="130" t="n">
        <f aca="false">IVA!AQ171/IVA!CJ14</f>
        <v>0.000308669059382964</v>
      </c>
      <c r="AW171" s="130" t="n">
        <f aca="false">IVA!AR171/IVA!CK14</f>
        <v>0.000268903045953375</v>
      </c>
      <c r="AX171" s="130" t="n">
        <f aca="false">IVA!AS171/IVA!CL14</f>
        <v>0.000275194669053177</v>
      </c>
      <c r="AY171" s="130" t="n">
        <f aca="false">IVA!AT171/IVA!CM14</f>
        <v>0.000265115659766231</v>
      </c>
      <c r="AZ171" s="271" t="n">
        <f aca="false">IVA!AU171/IVA!CN14</f>
        <v>0.00111210612892807</v>
      </c>
      <c r="BA171" s="266" t="n">
        <v>2004</v>
      </c>
      <c r="BB171" s="369" t="s">
        <v>576</v>
      </c>
      <c r="BC171" s="370"/>
      <c r="BD171" s="370"/>
      <c r="BE171" s="370"/>
      <c r="BF171" s="371" t="n">
        <f aca="false">IVA!BF154+IVA!BF137+IVA!BF120+IVA!BF103+IVA!BF86+IVA!BF51+IVA!BF34+IVA!BF17</f>
        <v>3559521.19951312</v>
      </c>
      <c r="BG171" s="371" t="n">
        <f aca="false">IVA!BG154+IVA!BG137+IVA!BG120+IVA!BG103+IVA!BG86+IVA!BG51+IVA!BG34+IVA!BG17</f>
        <v>3075256.68849282</v>
      </c>
      <c r="BH171" s="371" t="n">
        <f aca="false">IVA!BH154+IVA!BH137+IVA!BH120+IVA!BH103+IVA!BH86+IVA!BH51+IVA!BH34+IVA!BH17</f>
        <v>3242999.98116583</v>
      </c>
      <c r="BI171" s="371" t="n">
        <f aca="false">IVA!BI154+IVA!BI137+IVA!BI120+IVA!BI103+IVA!BI86+IVA!BI51+IVA!BI34+IVA!BI17</f>
        <v>3262421.28332618</v>
      </c>
      <c r="BJ171" s="371" t="n">
        <f aca="false">IVA!BJ154+IVA!BJ137+IVA!BJ120+IVA!BJ103+IVA!BJ86+IVA!BJ51+IVA!BJ34+IVA!BJ17</f>
        <v>6209423.28862094</v>
      </c>
      <c r="BK171" s="371" t="n">
        <f aca="false">IVA!BK154+IVA!BK137+IVA!BK120+IVA!BK103+IVA!BK86+IVA!BK51+IVA!BK34+IVA!BK17</f>
        <v>4950979.01305491</v>
      </c>
      <c r="BL171" s="371" t="n">
        <f aca="false">IVA!BL154+IVA!BL137+IVA!BL120+IVA!BL103+IVA!BL86+IVA!BL51+IVA!BL34+IVA!BL17</f>
        <v>4062084.10008102</v>
      </c>
      <c r="BM171" s="371" t="n">
        <f aca="false">IVA!BM154+IVA!BM137+IVA!BM120+IVA!BM103+IVA!BM86+IVA!BM51+IVA!BM34+IVA!BM17</f>
        <v>4183601.38026556</v>
      </c>
      <c r="BN171" s="371" t="n">
        <f aca="false">IVA!BN154+IVA!BN137+IVA!BN120+IVA!BN103+IVA!BN86+IVA!BN51+IVA!BN34+IVA!BN17</f>
        <v>3945516.22730648</v>
      </c>
      <c r="BO171" s="371" t="n">
        <f aca="false">IVA!BO154+IVA!BO137+IVA!BO120+IVA!BO103+IVA!BO86+IVA!BO51+IVA!BO34+IVA!BO17</f>
        <v>3901192.71138157</v>
      </c>
      <c r="BP171" s="371" t="n">
        <f aca="false">IVA!BP154+IVA!BP137+IVA!BP120+IVA!BP103+IVA!BP86+IVA!BP51+IVA!BP34+IVA!BP17</f>
        <v>4063378.33190612</v>
      </c>
      <c r="BQ171" s="372" t="n">
        <f aca="false">IVA!BQ154+IVA!BQ137+IVA!BQ120+IVA!BQ103+IVA!BQ86+IVA!BQ51+IVA!BQ34+IVA!BQ17</f>
        <v>3685378.6371167</v>
      </c>
      <c r="BR171" s="175" t="n">
        <f aca="false">IVA!BF171+IVA!BG171+IVA!BH171</f>
        <v>9877777.86917176</v>
      </c>
      <c r="BS171" s="175" t="n">
        <f aca="false">IVA!BI171+IVA!BJ171+IVA!BK171</f>
        <v>14422823.585002</v>
      </c>
      <c r="BT171" s="175" t="n">
        <f aca="false">IVA!BL171+IVA!BM171+IVA!BN171</f>
        <v>12191201.7076531</v>
      </c>
      <c r="BU171" s="176" t="n">
        <f aca="false">IVA!BO171+IVA!BP171+IVA!BQ171</f>
        <v>11649949.6804044</v>
      </c>
      <c r="BV171" s="137" t="n">
        <f aca="false">IVA!BR171+IVA!BS171+IVA!BT171+IVA!BU171</f>
        <v>48141752.8422313</v>
      </c>
      <c r="BW171" s="138" t="n">
        <f aca="false">IVA!BR171/IVA!CJ13</f>
        <v>0.0251460040404864</v>
      </c>
      <c r="BX171" s="139" t="n">
        <f aca="false">IVA!BS171/IVA!CK13</f>
        <v>0.0304142255694016</v>
      </c>
      <c r="BY171" s="138" t="n">
        <f aca="false">IVA!BT171/IVA!CL13</f>
        <v>0.0269669323412542</v>
      </c>
      <c r="BZ171" s="138" t="n">
        <f aca="false">IVA!BU171/IVA!CM13</f>
        <v>0.0247101821711572</v>
      </c>
      <c r="CA171" s="273" t="n">
        <f aca="false">IVA!BV171/IVA!CN13</f>
        <v>0.107544867375645</v>
      </c>
    </row>
    <row r="172" customFormat="false" ht="12.75" hidden="false" customHeight="true" outlineLevel="0" collapsed="false">
      <c r="AA172" s="123" t="n">
        <v>2006</v>
      </c>
      <c r="AB172" s="123" t="s">
        <v>575</v>
      </c>
      <c r="AC172" s="124"/>
      <c r="AD172" s="125"/>
      <c r="AE172" s="434" t="n">
        <v>51206.93983</v>
      </c>
      <c r="AF172" s="434" t="n">
        <v>49437.95877</v>
      </c>
      <c r="AG172" s="434" t="n">
        <v>53532.34771</v>
      </c>
      <c r="AH172" s="434" t="n">
        <v>51280.20601</v>
      </c>
      <c r="AI172" s="434" t="n">
        <v>55127.0063</v>
      </c>
      <c r="AJ172" s="434" t="n">
        <v>54846.24322</v>
      </c>
      <c r="AK172" s="434" t="n">
        <v>55669.40509</v>
      </c>
      <c r="AL172" s="434" t="n">
        <v>56713.64324</v>
      </c>
      <c r="AM172" s="434" t="n">
        <v>57244.42531</v>
      </c>
      <c r="AN172" s="434" t="n">
        <v>59594.55639</v>
      </c>
      <c r="AO172" s="434" t="n">
        <v>58341.96366</v>
      </c>
      <c r="AP172" s="434" t="n">
        <v>58506.54452</v>
      </c>
      <c r="AQ172" s="155" t="n">
        <f aca="false">IVA!AE172+IVA!AF172+IVA!AG172</f>
        <v>154177.24631</v>
      </c>
      <c r="AR172" s="155" t="n">
        <f aca="false">IVA!AH172+IVA!AI172+IVA!AJ172</f>
        <v>161253.45553</v>
      </c>
      <c r="AS172" s="155" t="n">
        <f aca="false">IVA!AK172+IVA!AL172+IVA!AM172</f>
        <v>169627.47364</v>
      </c>
      <c r="AT172" s="155" t="n">
        <f aca="false">IVA!AN172+IVA!AO172+IVA!AP172</f>
        <v>176443.06457</v>
      </c>
      <c r="AU172" s="129" t="n">
        <f aca="false">IVA!AQ172+IVA!AR172+IVA!AS172+IVA!AT172</f>
        <v>661501.24005</v>
      </c>
      <c r="AV172" s="130" t="n">
        <f aca="false">IVA!AQ172/IVA!CJ15</f>
        <v>0.00027144168126776</v>
      </c>
      <c r="AW172" s="130" t="n">
        <f aca="false">IVA!AR172/IVA!CK15</f>
        <v>0.000237739308272099</v>
      </c>
      <c r="AX172" s="130" t="n">
        <f aca="false">IVA!AS172/IVA!CL15</f>
        <v>0.00025385839125983</v>
      </c>
      <c r="AY172" s="130" t="n">
        <f aca="false">IVA!AT172/IVA!CM15</f>
        <v>0.00025088382881266</v>
      </c>
      <c r="AZ172" s="271" t="n">
        <f aca="false">IVA!AU172/IVA!CN15</f>
        <v>0.00101079131127659</v>
      </c>
      <c r="BA172" s="266" t="n">
        <v>2005</v>
      </c>
      <c r="BB172" s="369" t="s">
        <v>576</v>
      </c>
      <c r="BC172" s="370"/>
      <c r="BD172" s="370"/>
      <c r="BE172" s="370"/>
      <c r="BF172" s="371" t="n">
        <f aca="false">IVA!BF155+IVA!BF138+IVA!BF121+IVA!BF104+IVA!BF87+IVA!BF52+IVA!BF35+IVA!BF18</f>
        <v>4348102.75503125</v>
      </c>
      <c r="BG172" s="371" t="n">
        <f aca="false">IVA!BG155+IVA!BG138+IVA!BG121+IVA!BG104+IVA!BG87+IVA!BG52+IVA!BG35+IVA!BG18</f>
        <v>3994693.07856046</v>
      </c>
      <c r="BH172" s="371" t="n">
        <f aca="false">IVA!BH155+IVA!BH138+IVA!BH121+IVA!BH104+IVA!BH87+IVA!BH52+IVA!BH35+IVA!BH18</f>
        <v>4111259.40470104</v>
      </c>
      <c r="BI172" s="371" t="n">
        <f aca="false">IVA!BI155+IVA!BI138+IVA!BI121+IVA!BI104+IVA!BI87+IVA!BI52+IVA!BI35+IVA!BI18</f>
        <v>4544836.15666738</v>
      </c>
      <c r="BJ172" s="371" t="n">
        <f aca="false">IVA!BJ155+IVA!BJ138+IVA!BJ121+IVA!BJ104+IVA!BJ87+IVA!BJ52+IVA!BJ35+IVA!BJ18</f>
        <v>5788023.91107133</v>
      </c>
      <c r="BK172" s="371" t="n">
        <f aca="false">IVA!BK155+IVA!BK138+IVA!BK121+IVA!BK104+IVA!BK87+IVA!BK52+IVA!BK35+IVA!BK18</f>
        <v>5583618.22093487</v>
      </c>
      <c r="BL172" s="371" t="n">
        <f aca="false">IVA!BL155+IVA!BL138+IVA!BL121+IVA!BL104+IVA!BL87+IVA!BL52+IVA!BL35+IVA!BL18</f>
        <v>4605975.63740867</v>
      </c>
      <c r="BM172" s="371" t="n">
        <f aca="false">IVA!BM155+IVA!BM138+IVA!BM121+IVA!BM104+IVA!BM87+IVA!BM52+IVA!BM35+IVA!BM18</f>
        <v>4950661.34360247</v>
      </c>
      <c r="BN172" s="371" t="n">
        <f aca="false">IVA!BN155+IVA!BN138+IVA!BN121+IVA!BN104+IVA!BN87+IVA!BN52+IVA!BN35+IVA!BN18</f>
        <v>4993003.86541992</v>
      </c>
      <c r="BO172" s="371" t="n">
        <f aca="false">IVA!BO155+IVA!BO138+IVA!BO121+IVA!BO104+IVA!BO87+IVA!BO52+IVA!BO35+IVA!BO18</f>
        <v>4755770.58220579</v>
      </c>
      <c r="BP172" s="371" t="n">
        <f aca="false">IVA!BP155+IVA!BP138+IVA!BP121+IVA!BP104+IVA!BP87+IVA!BP52+IVA!BP35+IVA!BP18</f>
        <v>4999185.28176791</v>
      </c>
      <c r="BQ172" s="372" t="n">
        <f aca="false">IVA!BQ155+IVA!BQ138+IVA!BQ121+IVA!BQ104+IVA!BQ87+IVA!BQ52+IVA!BQ35+IVA!BQ18</f>
        <v>5433497.64738225</v>
      </c>
      <c r="BR172" s="175" t="n">
        <f aca="false">IVA!BF172+IVA!BG172+IVA!BH172</f>
        <v>12454055.2382928</v>
      </c>
      <c r="BS172" s="175" t="n">
        <f aca="false">IVA!BI172+IVA!BJ172+IVA!BK172</f>
        <v>15916478.2886736</v>
      </c>
      <c r="BT172" s="175" t="n">
        <f aca="false">IVA!BL172+IVA!BM172+IVA!BN172</f>
        <v>14549640.8464311</v>
      </c>
      <c r="BU172" s="176" t="n">
        <f aca="false">IVA!BO172+IVA!BP172+IVA!BQ172</f>
        <v>15188453.5113559</v>
      </c>
      <c r="BV172" s="137" t="n">
        <f aca="false">IVA!BR172+IVA!BS172+IVA!BT172+IVA!BU172</f>
        <v>58108627.8847533</v>
      </c>
      <c r="BW172" s="138" t="n">
        <f aca="false">IVA!BR172/IVA!CJ14</f>
        <v>0.0272658424006549</v>
      </c>
      <c r="BX172" s="139" t="n">
        <f aca="false">IVA!BS172/IVA!CK14</f>
        <v>0.0288127035550057</v>
      </c>
      <c r="BY172" s="138" t="n">
        <f aca="false">IVA!BT172/IVA!CL14</f>
        <v>0.0267344502402864</v>
      </c>
      <c r="BZ172" s="138" t="n">
        <f aca="false">IVA!BU172/IVA!CM14</f>
        <v>0.0264445425130661</v>
      </c>
      <c r="CA172" s="273" t="n">
        <f aca="false">IVA!BV172/IVA!CN14</f>
        <v>0.109239326729018</v>
      </c>
    </row>
    <row r="173" customFormat="false" ht="12.75" hidden="false" customHeight="true" outlineLevel="0" collapsed="false">
      <c r="AA173" s="123" t="n">
        <v>2007</v>
      </c>
      <c r="AB173" s="123" t="s">
        <v>575</v>
      </c>
      <c r="AC173" s="124"/>
      <c r="AD173" s="125"/>
      <c r="AE173" s="434" t="n">
        <v>62258.21323</v>
      </c>
      <c r="AF173" s="434" t="n">
        <v>54992.459</v>
      </c>
      <c r="AG173" s="434" t="n">
        <v>62458.53992</v>
      </c>
      <c r="AH173" s="434" t="n">
        <v>58861.0202</v>
      </c>
      <c r="AI173" s="434" t="n">
        <v>62500.82461</v>
      </c>
      <c r="AJ173" s="434" t="n">
        <v>60565.25942</v>
      </c>
      <c r="AK173" s="434" t="n">
        <v>62927.99448</v>
      </c>
      <c r="AL173" s="434" t="n">
        <v>64306.47571</v>
      </c>
      <c r="AM173" s="434" t="n">
        <v>63417.32881</v>
      </c>
      <c r="AN173" s="434" t="n">
        <v>66022.39405</v>
      </c>
      <c r="AO173" s="434" t="n">
        <v>66106.95528</v>
      </c>
      <c r="AP173" s="434" t="n">
        <v>65811.46761</v>
      </c>
      <c r="AQ173" s="155" t="n">
        <f aca="false">IVA!AE173+IVA!AF173+IVA!AG173</f>
        <v>179709.21215</v>
      </c>
      <c r="AR173" s="155" t="n">
        <f aca="false">IVA!AH173+IVA!AI173+IVA!AJ173</f>
        <v>181927.10423</v>
      </c>
      <c r="AS173" s="155" t="n">
        <f aca="false">IVA!AK173+IVA!AL173+IVA!AM173</f>
        <v>190651.799</v>
      </c>
      <c r="AT173" s="155" t="n">
        <f aca="false">IVA!AN173+IVA!AO173+IVA!AP173</f>
        <v>197940.81694</v>
      </c>
      <c r="AU173" s="129" t="n">
        <f aca="false">IVA!AQ173+IVA!AR173+IVA!AS173+IVA!AT173</f>
        <v>750228.93232</v>
      </c>
      <c r="AV173" s="130" t="n">
        <f aca="false">IVA!AQ173/IVA!CJ16</f>
        <v>0.000263843687088912</v>
      </c>
      <c r="AW173" s="130" t="n">
        <f aca="false">IVA!AR173/IVA!CK16</f>
        <v>0.000217844089620183</v>
      </c>
      <c r="AX173" s="130" t="n">
        <f aca="false">IVA!AS173/IVA!CL16</f>
        <v>0.000230405225369594</v>
      </c>
      <c r="AY173" s="130" t="n">
        <f aca="false">IVA!AT173/IVA!CM16</f>
        <v>0.000218450013117989</v>
      </c>
      <c r="AZ173" s="271" t="n">
        <f aca="false">IVA!AU173/IVA!CN16</f>
        <v>0.000923408887252361</v>
      </c>
      <c r="BA173" s="266" t="n">
        <v>2006</v>
      </c>
      <c r="BB173" s="369" t="s">
        <v>576</v>
      </c>
      <c r="BC173" s="370"/>
      <c r="BD173" s="370"/>
      <c r="BE173" s="370"/>
      <c r="BF173" s="371" t="n">
        <f aca="false">IVA!BF156+IVA!BF139+IVA!BF122+IVA!BF105+IVA!BF88+IVA!BF53+IVA!BF36+IVA!BF19</f>
        <v>5470424.3351995</v>
      </c>
      <c r="BG173" s="371" t="n">
        <f aca="false">IVA!BG156+IVA!BG139+IVA!BG122+IVA!BG105+IVA!BG88+IVA!BG53+IVA!BG36+IVA!BG19</f>
        <v>5057598.71554106</v>
      </c>
      <c r="BH173" s="371" t="n">
        <f aca="false">IVA!BH156+IVA!BH139+IVA!BH122+IVA!BH105+IVA!BH88+IVA!BH53+IVA!BH36+IVA!BH19</f>
        <v>5086865.22170746</v>
      </c>
      <c r="BI173" s="371" t="n">
        <f aca="false">IVA!BI156+IVA!BI139+IVA!BI122+IVA!BI105+IVA!BI88+IVA!BI53+IVA!BI36+IVA!BI19</f>
        <v>4748785.91697385</v>
      </c>
      <c r="BJ173" s="371" t="n">
        <f aca="false">IVA!BJ156+IVA!BJ139+IVA!BJ122+IVA!BJ105+IVA!BJ88+IVA!BJ53+IVA!BJ36+IVA!BJ19</f>
        <v>6747882.27952566</v>
      </c>
      <c r="BK173" s="371" t="n">
        <f aca="false">IVA!BK156+IVA!BK139+IVA!BK122+IVA!BK105+IVA!BK88+IVA!BK53+IVA!BK36+IVA!BK19</f>
        <v>6958024.76242424</v>
      </c>
      <c r="BL173" s="371" t="n">
        <f aca="false">IVA!BL156+IVA!BL139+IVA!BL122+IVA!BL105+IVA!BL88+IVA!BL53+IVA!BL36+IVA!BL19</f>
        <v>5743312.12856498</v>
      </c>
      <c r="BM173" s="371" t="n">
        <f aca="false">IVA!BM156+IVA!BM139+IVA!BM122+IVA!BM105+IVA!BM88+IVA!BM53+IVA!BM36+IVA!BM19</f>
        <v>6260191.45016726</v>
      </c>
      <c r="BN173" s="371" t="n">
        <f aca="false">IVA!BN156+IVA!BN139+IVA!BN122+IVA!BN105+IVA!BN88+IVA!BN53+IVA!BN36+IVA!BN19</f>
        <v>6053538.25345283</v>
      </c>
      <c r="BO173" s="371" t="n">
        <f aca="false">IVA!BO156+IVA!BO139+IVA!BO122+IVA!BO105+IVA!BO88+IVA!BO53+IVA!BO36+IVA!BO19</f>
        <v>6352042.72492449</v>
      </c>
      <c r="BP173" s="371" t="n">
        <f aca="false">IVA!BP156+IVA!BP139+IVA!BP122+IVA!BP105+IVA!BP88+IVA!BP53+IVA!BP36+IVA!BP19</f>
        <v>6639755.29151129</v>
      </c>
      <c r="BQ173" s="372" t="n">
        <f aca="false">IVA!BQ156+IVA!BQ139+IVA!BQ122+IVA!BQ105+IVA!BQ88+IVA!BQ53+IVA!BQ36+IVA!BQ19</f>
        <v>6825640.72615848</v>
      </c>
      <c r="BR173" s="175" t="n">
        <f aca="false">IVA!BF173+IVA!BG173+IVA!BH173</f>
        <v>15614888.272448</v>
      </c>
      <c r="BS173" s="175" t="n">
        <f aca="false">IVA!BI173+IVA!BJ173+IVA!BK173</f>
        <v>18454692.9589238</v>
      </c>
      <c r="BT173" s="175" t="n">
        <f aca="false">IVA!BL173+IVA!BM173+IVA!BN173</f>
        <v>18057041.8321851</v>
      </c>
      <c r="BU173" s="176" t="n">
        <f aca="false">IVA!BO173+IVA!BP173+IVA!BQ173</f>
        <v>19817438.7425943</v>
      </c>
      <c r="BV173" s="137" t="n">
        <f aca="false">IVA!BR173+IVA!BS173+IVA!BT173+IVA!BU173</f>
        <v>71944061.8061511</v>
      </c>
      <c r="BW173" s="138" t="n">
        <f aca="false">IVA!BR173/IVA!CJ15</f>
        <v>0.027491290880622</v>
      </c>
      <c r="BX173" s="139" t="n">
        <f aca="false">IVA!BS173/IVA!CK15</f>
        <v>0.0272081359373552</v>
      </c>
      <c r="BY173" s="138" t="n">
        <f aca="false">IVA!BT173/IVA!CL15</f>
        <v>0.0270235209666473</v>
      </c>
      <c r="BZ173" s="138" t="n">
        <f aca="false">IVA!BU173/IVA!CM15</f>
        <v>0.028178352723124</v>
      </c>
      <c r="CA173" s="273" t="n">
        <f aca="false">IVA!BV173/IVA!CN15</f>
        <v>0.109932420634777</v>
      </c>
    </row>
    <row r="174" customFormat="false" ht="12.75" hidden="false" customHeight="true" outlineLevel="0" collapsed="false">
      <c r="AA174" s="123" t="n">
        <v>2008</v>
      </c>
      <c r="AB174" s="123" t="s">
        <v>575</v>
      </c>
      <c r="AC174" s="124"/>
      <c r="AD174" s="125"/>
      <c r="AE174" s="434" t="n">
        <v>71892.49195</v>
      </c>
      <c r="AF174" s="434" t="n">
        <v>66793.45177</v>
      </c>
      <c r="AG174" s="434" t="n">
        <v>67836.02688</v>
      </c>
      <c r="AH174" s="434" t="n">
        <v>85567.2324</v>
      </c>
      <c r="AI174" s="434" t="n">
        <v>87815.42708</v>
      </c>
      <c r="AJ174" s="434" t="n">
        <v>85431.76072</v>
      </c>
      <c r="AK174" s="434" t="n">
        <v>91645.65358</v>
      </c>
      <c r="AL174" s="434" t="n">
        <v>88671.83784</v>
      </c>
      <c r="AM174" s="434" t="n">
        <v>93209.0154</v>
      </c>
      <c r="AN174" s="434" t="n">
        <v>93386.34819</v>
      </c>
      <c r="AO174" s="434" t="n">
        <v>89434.64671</v>
      </c>
      <c r="AP174" s="434" t="n">
        <v>92732.59145</v>
      </c>
      <c r="AQ174" s="155" t="n">
        <f aca="false">IVA!AE174+IVA!AF174+IVA!AG174</f>
        <v>206521.9706</v>
      </c>
      <c r="AR174" s="155" t="n">
        <f aca="false">IVA!AH174+IVA!AI174+IVA!AJ174</f>
        <v>258814.4202</v>
      </c>
      <c r="AS174" s="155" t="n">
        <f aca="false">IVA!AK174+IVA!AL174+IVA!AM174</f>
        <v>273526.50682</v>
      </c>
      <c r="AT174" s="155" t="n">
        <f aca="false">IVA!AN174+IVA!AO174+IVA!AP174</f>
        <v>275553.58635</v>
      </c>
      <c r="AU174" s="129" t="n">
        <f aca="false">IVA!AQ174+IVA!AR174+IVA!AS174+IVA!AT174</f>
        <v>1014416.48397</v>
      </c>
      <c r="AV174" s="130" t="n">
        <f aca="false">IVA!AQ174/IVA!CJ17</f>
        <v>0.000232663323656019</v>
      </c>
      <c r="AW174" s="130" t="n">
        <f aca="false">IVA!AR174/IVA!CK17</f>
        <v>0.000233599072780475</v>
      </c>
      <c r="AX174" s="130" t="n">
        <f aca="false">IVA!AS174/IVA!CL17</f>
        <v>0.000258641484175112</v>
      </c>
      <c r="AY174" s="130" t="n">
        <f aca="false">IVA!AT174/IVA!CM17</f>
        <v>0.000255640142332011</v>
      </c>
      <c r="AZ174" s="271" t="n">
        <f aca="false">IVA!AU174/IVA!CN17</f>
        <v>0.000982240257611173</v>
      </c>
      <c r="BA174" s="266" t="n">
        <v>2007</v>
      </c>
      <c r="BB174" s="369" t="s">
        <v>576</v>
      </c>
      <c r="BC174" s="370"/>
      <c r="BD174" s="370"/>
      <c r="BE174" s="370"/>
      <c r="BF174" s="371" t="n">
        <f aca="false">IVA!BF157+IVA!BF140+IVA!BF123+IVA!BF106+IVA!BF89+IVA!BF54+IVA!BF37+IVA!BF20</f>
        <v>6853425.70274</v>
      </c>
      <c r="BG174" s="371" t="n">
        <f aca="false">IVA!BG157+IVA!BG140+IVA!BG123+IVA!BG106+IVA!BG89+IVA!BG54+IVA!BG37+IVA!BG20</f>
        <v>6322518.76381422</v>
      </c>
      <c r="BH174" s="371" t="n">
        <f aca="false">IVA!BH157+IVA!BH140+IVA!BH123+IVA!BH106+IVA!BH89+IVA!BH54+IVA!BH37+IVA!BH20</f>
        <v>6377889.91816765</v>
      </c>
      <c r="BI174" s="371" t="n">
        <f aca="false">IVA!BI157+IVA!BI140+IVA!BI123+IVA!BI106+IVA!BI89+IVA!BI54+IVA!BI37+IVA!BI20</f>
        <v>6041403.23477121</v>
      </c>
      <c r="BJ174" s="371" t="n">
        <f aca="false">IVA!BJ157+IVA!BJ140+IVA!BJ123+IVA!BJ106+IVA!BJ89+IVA!BJ54+IVA!BJ37+IVA!BJ20</f>
        <v>8815356.01922373</v>
      </c>
      <c r="BK174" s="371" t="n">
        <f aca="false">IVA!BK157+IVA!BK140+IVA!BK123+IVA!BK106+IVA!BK89+IVA!BK54+IVA!BK37+IVA!BK20</f>
        <v>8842152.42600573</v>
      </c>
      <c r="BL174" s="371" t="n">
        <f aca="false">IVA!BL157+IVA!BL140+IVA!BL123+IVA!BL106+IVA!BL89+IVA!BL54+IVA!BL37+IVA!BL20</f>
        <v>7983790.14725355</v>
      </c>
      <c r="BM174" s="371" t="n">
        <f aca="false">IVA!BM157+IVA!BM140+IVA!BM123+IVA!BM106+IVA!BM89+IVA!BM54+IVA!BM37+IVA!BM20</f>
        <v>8673132.1363103</v>
      </c>
      <c r="BN174" s="371" t="n">
        <f aca="false">IVA!BN157+IVA!BN140+IVA!BN123+IVA!BN106+IVA!BN89+IVA!BN54+IVA!BN37+IVA!BN20</f>
        <v>7813648.46459963</v>
      </c>
      <c r="BO174" s="371" t="n">
        <f aca="false">IVA!BO157+IVA!BO140+IVA!BO123+IVA!BO106+IVA!BO89+IVA!BO54+IVA!BO37+IVA!BO20</f>
        <v>8211035.22036229</v>
      </c>
      <c r="BP174" s="371" t="n">
        <f aca="false">IVA!BP157+IVA!BP140+IVA!BP123+IVA!BP106+IVA!BP89+IVA!BP54+IVA!BP37+IVA!BP20</f>
        <v>8649010.28675631</v>
      </c>
      <c r="BQ174" s="372" t="n">
        <f aca="false">IVA!BQ157+IVA!BQ140+IVA!BQ123+IVA!BQ106+IVA!BQ89+IVA!BQ54+IVA!BQ37+IVA!BQ20</f>
        <v>9198547.03495881</v>
      </c>
      <c r="BR174" s="175" t="n">
        <f aca="false">IVA!BF174+IVA!BG174+IVA!BH174</f>
        <v>19553834.3847219</v>
      </c>
      <c r="BS174" s="175" t="n">
        <f aca="false">IVA!BI174+IVA!BJ174+IVA!BK174</f>
        <v>23698911.6800007</v>
      </c>
      <c r="BT174" s="175" t="n">
        <f aca="false">IVA!BL174+IVA!BM174+IVA!BN174</f>
        <v>24470570.7481635</v>
      </c>
      <c r="BU174" s="176" t="n">
        <f aca="false">IVA!BO174+IVA!BP174+IVA!BQ174</f>
        <v>26058592.5420774</v>
      </c>
      <c r="BV174" s="137" t="n">
        <f aca="false">IVA!BR174+IVA!BS174+IVA!BT174+IVA!BU174</f>
        <v>93781909.3549634</v>
      </c>
      <c r="BW174" s="138" t="n">
        <f aca="false">IVA!BR174/IVA!CJ16</f>
        <v>0.0287083544525515</v>
      </c>
      <c r="BX174" s="139" t="n">
        <f aca="false">IVA!BS174/IVA!CK16</f>
        <v>0.0283776728144477</v>
      </c>
      <c r="BY174" s="138" t="n">
        <f aca="false">IVA!BT174/IVA!CL16</f>
        <v>0.0295730090024128</v>
      </c>
      <c r="BZ174" s="138" t="n">
        <f aca="false">IVA!BU174/IVA!CM16</f>
        <v>0.0287585954764381</v>
      </c>
      <c r="CA174" s="273" t="n">
        <f aca="false">IVA!BV174/IVA!CN16</f>
        <v>0.115430163822222</v>
      </c>
    </row>
    <row r="175" customFormat="false" ht="12.75" hidden="false" customHeight="true" outlineLevel="0" collapsed="false">
      <c r="AA175" s="123" t="n">
        <v>2009</v>
      </c>
      <c r="AB175" s="123" t="s">
        <v>575</v>
      </c>
      <c r="AC175" s="124"/>
      <c r="AD175" s="125"/>
      <c r="AE175" s="434" t="n">
        <v>89764</v>
      </c>
      <c r="AF175" s="434" t="n">
        <v>100392</v>
      </c>
      <c r="AG175" s="434" t="n">
        <v>105556</v>
      </c>
      <c r="AH175" s="434" t="n">
        <v>105743</v>
      </c>
      <c r="AI175" s="434" t="n">
        <v>103773</v>
      </c>
      <c r="AJ175" s="434" t="n">
        <v>108097</v>
      </c>
      <c r="AK175" s="434" t="n">
        <v>110232</v>
      </c>
      <c r="AL175" s="434" t="n">
        <v>108160</v>
      </c>
      <c r="AM175" s="434" t="n">
        <v>113545</v>
      </c>
      <c r="AN175" s="434" t="n">
        <v>112166</v>
      </c>
      <c r="AO175" s="434" t="n">
        <v>112805</v>
      </c>
      <c r="AP175" s="434" t="n">
        <v>115622</v>
      </c>
      <c r="AQ175" s="155" t="n">
        <f aca="false">IVA!AE175+IVA!AF175+IVA!AG175</f>
        <v>295712</v>
      </c>
      <c r="AR175" s="155" t="n">
        <f aca="false">IVA!AH175+IVA!AI175+IVA!AJ175</f>
        <v>317613</v>
      </c>
      <c r="AS175" s="155" t="n">
        <f aca="false">IVA!AK175+IVA!AL175+IVA!AM175</f>
        <v>331937</v>
      </c>
      <c r="AT175" s="155" t="n">
        <f aca="false">IVA!AN175+IVA!AO175+IVA!AP175</f>
        <v>340593</v>
      </c>
      <c r="AU175" s="129" t="n">
        <f aca="false">IVA!AQ175+IVA!AR175+IVA!AS175+IVA!AT175</f>
        <v>1285855</v>
      </c>
      <c r="AV175" s="130" t="n">
        <f aca="false">IVA!AQ175/IVA!CJ18</f>
        <v>0.000297807972510529</v>
      </c>
      <c r="AW175" s="130" t="n">
        <f aca="false">IVA!AR175/IVA!CK18</f>
        <v>0.000265702127376204</v>
      </c>
      <c r="AX175" s="130" t="n">
        <f aca="false">IVA!AS175/IVA!CL18</f>
        <v>0.000283999355131936</v>
      </c>
      <c r="AY175" s="130" t="n">
        <f aca="false">IVA!AT175/IVA!CM18</f>
        <v>0.000278102357272324</v>
      </c>
      <c r="AZ175" s="271" t="n">
        <f aca="false">IVA!AU175/IVA!CN18</f>
        <v>0.00112256811022824</v>
      </c>
      <c r="BA175" s="266" t="n">
        <v>2008</v>
      </c>
      <c r="BB175" s="369" t="s">
        <v>576</v>
      </c>
      <c r="BC175" s="370"/>
      <c r="BD175" s="370"/>
      <c r="BE175" s="370"/>
      <c r="BF175" s="371" t="n">
        <f aca="false">IVA!BF158+IVA!BF141+IVA!BF124+IVA!BF107+IVA!BF90+IVA!BF55+IVA!BF38+IVA!BF21</f>
        <v>9587194.77271465</v>
      </c>
      <c r="BG175" s="371" t="n">
        <f aca="false">IVA!BG158+IVA!BG141+IVA!BG124+IVA!BG107+IVA!BG90+IVA!BG55+IVA!BG38+IVA!BG21</f>
        <v>8698838.79984519</v>
      </c>
      <c r="BH175" s="371" t="n">
        <f aca="false">IVA!BH158+IVA!BH141+IVA!BH124+IVA!BH107+IVA!BH90+IVA!BH55+IVA!BH38+IVA!BH21</f>
        <v>7973899.44238453</v>
      </c>
      <c r="BI175" s="371" t="n">
        <f aca="false">IVA!BI158+IVA!BI141+IVA!BI124+IVA!BI107+IVA!BI90+IVA!BI55+IVA!BI38+IVA!BI21</f>
        <v>8846686.67371168</v>
      </c>
      <c r="BJ175" s="371" t="n">
        <f aca="false">IVA!BJ158+IVA!BJ141+IVA!BJ124+IVA!BJ107+IVA!BJ90+IVA!BJ55+IVA!BJ38+IVA!BJ21</f>
        <v>10495588.7643454</v>
      </c>
      <c r="BK175" s="371" t="n">
        <f aca="false">IVA!BK158+IVA!BK141+IVA!BK124+IVA!BK107+IVA!BK90+IVA!BK55+IVA!BK38+IVA!BK21</f>
        <v>11156939.4732033</v>
      </c>
      <c r="BL175" s="371" t="n">
        <f aca="false">IVA!BL158+IVA!BL141+IVA!BL124+IVA!BL107+IVA!BL90+IVA!BL55+IVA!BL38+IVA!BL21</f>
        <v>10209523.0641431</v>
      </c>
      <c r="BM175" s="371" t="n">
        <f aca="false">IVA!BM158+IVA!BM141+IVA!BM124+IVA!BM107+IVA!BM90+IVA!BM55+IVA!BM38+IVA!BM21</f>
        <v>10551937.0124369</v>
      </c>
      <c r="BN175" s="371" t="n">
        <f aca="false">IVA!BN158+IVA!BN141+IVA!BN124+IVA!BN107+IVA!BN90+IVA!BN55+IVA!BN38+IVA!BN21</f>
        <v>10347679.5126536</v>
      </c>
      <c r="BO175" s="371" t="n">
        <f aca="false">IVA!BO158+IVA!BO141+IVA!BO124+IVA!BO107+IVA!BO90+IVA!BO55+IVA!BO38+IVA!BO21</f>
        <v>10506486.2935417</v>
      </c>
      <c r="BP175" s="371" t="n">
        <f aca="false">IVA!BP158+IVA!BP141+IVA!BP124+IVA!BP107+IVA!BP90+IVA!BP55+IVA!BP38+IVA!BP21</f>
        <v>9822094.79237351</v>
      </c>
      <c r="BQ175" s="372" t="n">
        <f aca="false">IVA!BQ158+IVA!BQ141+IVA!BQ124+IVA!BQ107+IVA!BQ90+IVA!BQ55+IVA!BQ38+IVA!BQ21</f>
        <v>10106604.6939281</v>
      </c>
      <c r="BR175" s="175" t="n">
        <f aca="false">IVA!BF175+IVA!BG175+IVA!BH175</f>
        <v>26259933.0149444</v>
      </c>
      <c r="BS175" s="175" t="n">
        <f aca="false">IVA!BI175+IVA!BJ175+IVA!BK175</f>
        <v>30499214.9112603</v>
      </c>
      <c r="BT175" s="175" t="n">
        <f aca="false">IVA!BL175+IVA!BM175+IVA!BN175</f>
        <v>31109139.5892335</v>
      </c>
      <c r="BU175" s="176" t="n">
        <f aca="false">IVA!BO175+IVA!BP175+IVA!BQ175</f>
        <v>30435185.7798432</v>
      </c>
      <c r="BV175" s="137" t="n">
        <f aca="false">IVA!BR175+IVA!BS175+IVA!BT175+IVA!BU175</f>
        <v>118303473.295281</v>
      </c>
      <c r="BW175" s="138" t="n">
        <f aca="false">IVA!BR175/IVA!CJ17</f>
        <v>0.0295838901618605</v>
      </c>
      <c r="BX175" s="139" t="n">
        <f aca="false">IVA!BS175/IVA!CK17</f>
        <v>0.0275277873555009</v>
      </c>
      <c r="BY175" s="138" t="n">
        <f aca="false">IVA!BT175/IVA!CL17</f>
        <v>0.0294162131791673</v>
      </c>
      <c r="BZ175" s="138" t="n">
        <f aca="false">IVA!BU175/IVA!CM17</f>
        <v>0.0282357247739749</v>
      </c>
      <c r="CA175" s="273" t="n">
        <f aca="false">IVA!BV175/IVA!CN17</f>
        <v>0.114551011268159</v>
      </c>
    </row>
    <row r="176" customFormat="false" ht="12.75" hidden="false" customHeight="true" outlineLevel="0" collapsed="false">
      <c r="AA176" s="123" t="n">
        <v>2010</v>
      </c>
      <c r="AB176" s="123" t="s">
        <v>575</v>
      </c>
      <c r="AC176" s="124"/>
      <c r="AD176" s="125"/>
      <c r="AE176" s="434" t="n">
        <v>195199</v>
      </c>
      <c r="AF176" s="434" t="n">
        <v>207516</v>
      </c>
      <c r="AG176" s="434" t="n">
        <v>220637</v>
      </c>
      <c r="AH176" s="434" t="n">
        <v>215507</v>
      </c>
      <c r="AI176" s="434" t="n">
        <v>212162</v>
      </c>
      <c r="AJ176" s="434" t="n">
        <v>223120</v>
      </c>
      <c r="AK176" s="434" t="n">
        <v>229329</v>
      </c>
      <c r="AL176" s="434" t="n">
        <v>229070</v>
      </c>
      <c r="AM176" s="434" t="n">
        <v>231834</v>
      </c>
      <c r="AN176" s="434" t="n">
        <v>228663</v>
      </c>
      <c r="AO176" s="434" t="n">
        <v>242021</v>
      </c>
      <c r="AP176" s="434" t="n">
        <v>234874</v>
      </c>
      <c r="AQ176" s="155" t="n">
        <f aca="false">IVA!AE176+IVA!AF176+IVA!AG176</f>
        <v>623352</v>
      </c>
      <c r="AR176" s="155" t="n">
        <f aca="false">IVA!AH176+IVA!AI176+IVA!AJ176</f>
        <v>650789</v>
      </c>
      <c r="AS176" s="155" t="n">
        <f aca="false">IVA!AK176+IVA!AL176+IVA!AM176</f>
        <v>690233</v>
      </c>
      <c r="AT176" s="155" t="n">
        <f aca="false">IVA!AN176+IVA!AO176+IVA!AP176</f>
        <v>705558</v>
      </c>
      <c r="AU176" s="129" t="n">
        <f aca="false">IVA!AQ176+IVA!AR176+IVA!AS176+IVA!AT176</f>
        <v>2669932</v>
      </c>
      <c r="AV176" s="130" t="n">
        <f aca="false">IVA!AQ176/IVA!CJ19</f>
        <v>0.00051204347693943</v>
      </c>
      <c r="AW176" s="130" t="n">
        <f aca="false">IVA!AR176/IVA!CK19</f>
        <v>0.000431475956508548</v>
      </c>
      <c r="AX176" s="130" t="n">
        <f aca="false">IVA!AS176/IVA!CL19</f>
        <v>0.000470873458814019</v>
      </c>
      <c r="AY176" s="130" t="n">
        <f aca="false">IVA!AT176/IVA!CM19</f>
        <v>0.000446810664997275</v>
      </c>
      <c r="AZ176" s="271" t="n">
        <f aca="false">IVA!AU176/IVA!CN19</f>
        <v>0.00185070671735633</v>
      </c>
      <c r="BA176" s="266" t="n">
        <v>2009</v>
      </c>
      <c r="BB176" s="369" t="s">
        <v>576</v>
      </c>
      <c r="BC176" s="370"/>
      <c r="BD176" s="370"/>
      <c r="BE176" s="370"/>
      <c r="BF176" s="371" t="n">
        <f aca="false">IVA!BF159+IVA!BF142+IVA!BF125+IVA!BF108+IVA!BF91+IVA!BF56+IVA!BF39+IVA!BF22</f>
        <v>9633639.88961667</v>
      </c>
      <c r="BG176" s="371" t="n">
        <f aca="false">IVA!BG159+IVA!BG142+IVA!BG125+IVA!BG108+IVA!BG91+IVA!BG56+IVA!BG39+IVA!BG22</f>
        <v>9579871.64366667</v>
      </c>
      <c r="BH176" s="371" t="n">
        <f aca="false">IVA!BH159+IVA!BH142+IVA!BH125+IVA!BH108+IVA!BH91+IVA!BH56+IVA!BH39+IVA!BH22</f>
        <v>9207445.40821667</v>
      </c>
      <c r="BI176" s="371" t="n">
        <f aca="false">IVA!BI159+IVA!BI142+IVA!BI125+IVA!BI108+IVA!BI91+IVA!BI56+IVA!BI39+IVA!BI22</f>
        <v>9292309.22696667</v>
      </c>
      <c r="BJ176" s="371" t="n">
        <f aca="false">IVA!BJ159+IVA!BJ142+IVA!BJ125+IVA!BJ108+IVA!BJ91+IVA!BJ56+IVA!BJ39+IVA!BJ22</f>
        <v>11393425.2699667</v>
      </c>
      <c r="BK176" s="371" t="n">
        <f aca="false">IVA!BK159+IVA!BK142+IVA!BK125+IVA!BK108+IVA!BK91+IVA!BK56+IVA!BK39+IVA!BK22</f>
        <v>11537646.6243167</v>
      </c>
      <c r="BL176" s="371" t="n">
        <f aca="false">IVA!BL159+IVA!BL142+IVA!BL125+IVA!BL108+IVA!BL91+IVA!BL56+IVA!BL39+IVA!BL22</f>
        <v>10874459.6953667</v>
      </c>
      <c r="BM176" s="371" t="n">
        <f aca="false">IVA!BM159+IVA!BM142+IVA!BM125+IVA!BM108+IVA!BM91+IVA!BM56+IVA!BM39+IVA!BM22</f>
        <v>10838542.7692167</v>
      </c>
      <c r="BN176" s="371" t="n">
        <f aca="false">IVA!BN159+IVA!BN142+IVA!BN125+IVA!BN108+IVA!BN91+IVA!BN56+IVA!BN39+IVA!BN22</f>
        <v>10984976.8150167</v>
      </c>
      <c r="BO176" s="371" t="n">
        <f aca="false">IVA!BO159+IVA!BO142+IVA!BO125+IVA!BO108+IVA!BO91+IVA!BO56+IVA!BO39+IVA!BO22</f>
        <v>11149465.8050667</v>
      </c>
      <c r="BP176" s="371" t="n">
        <f aca="false">IVA!BP159+IVA!BP142+IVA!BP125+IVA!BP108+IVA!BP91+IVA!BP56+IVA!BP39+IVA!BP22</f>
        <v>11066341.3720167</v>
      </c>
      <c r="BQ176" s="372" t="n">
        <f aca="false">IVA!BQ159+IVA!BQ142+IVA!BQ125+IVA!BQ108+IVA!BQ91+IVA!BQ56+IVA!BQ39+IVA!BQ22</f>
        <v>11938757.0826167</v>
      </c>
      <c r="BR176" s="175" t="n">
        <f aca="false">IVA!BF176+IVA!BG176+IVA!BH176</f>
        <v>28420956.9415</v>
      </c>
      <c r="BS176" s="175" t="n">
        <f aca="false">IVA!BI176+IVA!BJ176+IVA!BK176</f>
        <v>32223381.12125</v>
      </c>
      <c r="BT176" s="175" t="n">
        <f aca="false">IVA!BL176+IVA!BM176+IVA!BN176</f>
        <v>32697979.2796</v>
      </c>
      <c r="BU176" s="176" t="n">
        <f aca="false">IVA!BO176+IVA!BP176+IVA!BQ176</f>
        <v>34154564.2597</v>
      </c>
      <c r="BV176" s="137" t="n">
        <f aca="false">IVA!BR176+IVA!BS176+IVA!BT176+IVA!BU176</f>
        <v>127496881.60205</v>
      </c>
      <c r="BW176" s="138" t="n">
        <f aca="false">IVA!BR176/IVA!CJ18</f>
        <v>0.0286224014025713</v>
      </c>
      <c r="BX176" s="139" t="n">
        <f aca="false">IVA!BS176/IVA!CK18</f>
        <v>0.0269567710237627</v>
      </c>
      <c r="BY176" s="138" t="n">
        <f aca="false">IVA!BT176/IVA!CL18</f>
        <v>0.0279758057388113</v>
      </c>
      <c r="BZ176" s="138" t="n">
        <f aca="false">IVA!BU176/IVA!CM18</f>
        <v>0.0278880212812114</v>
      </c>
      <c r="CA176" s="273" t="n">
        <f aca="false">IVA!BV176/IVA!CN18</f>
        <v>0.111306433027057</v>
      </c>
    </row>
    <row r="177" customFormat="false" ht="12.75" hidden="false" customHeight="true" outlineLevel="0" collapsed="false">
      <c r="AA177" s="123" t="n">
        <v>2011</v>
      </c>
      <c r="AB177" s="123" t="s">
        <v>575</v>
      </c>
      <c r="AC177" s="124"/>
      <c r="AD177" s="125"/>
      <c r="AE177" s="434" t="n">
        <v>254030</v>
      </c>
      <c r="AF177" s="434" t="n">
        <v>234474</v>
      </c>
      <c r="AG177" s="434" t="n">
        <v>249509</v>
      </c>
      <c r="AH177" s="434" t="n">
        <v>232915</v>
      </c>
      <c r="AI177" s="434" t="n">
        <v>277729</v>
      </c>
      <c r="AJ177" s="434" t="n">
        <v>252343</v>
      </c>
      <c r="AK177" s="434" t="n">
        <v>277460</v>
      </c>
      <c r="AL177" s="434" t="n">
        <v>268455</v>
      </c>
      <c r="AM177" s="434" t="n">
        <v>266348</v>
      </c>
      <c r="AN177" s="434" t="n">
        <v>264564</v>
      </c>
      <c r="AO177" s="434" t="n">
        <v>257188</v>
      </c>
      <c r="AP177" s="434" t="n">
        <v>262354</v>
      </c>
      <c r="AQ177" s="155" t="n">
        <f aca="false">IVA!AE177+IVA!AF177+IVA!AG177</f>
        <v>738013</v>
      </c>
      <c r="AR177" s="155" t="n">
        <f aca="false">IVA!AH177+IVA!AI177+IVA!AJ177</f>
        <v>762987</v>
      </c>
      <c r="AS177" s="155" t="n">
        <f aca="false">IVA!AK177+IVA!AL177+IVA!AM177</f>
        <v>812263</v>
      </c>
      <c r="AT177" s="155" t="n">
        <f aca="false">IVA!AN177+IVA!AO177+IVA!AP177</f>
        <v>784106</v>
      </c>
      <c r="AU177" s="129" t="n">
        <f aca="false">IVA!AQ177+IVA!AR177+IVA!AS177+IVA!AT177</f>
        <v>3097369</v>
      </c>
      <c r="AV177" s="130" t="n">
        <f aca="false">IVA!AQ177/IVA!CJ20</f>
        <v>0.000470797662639227</v>
      </c>
      <c r="AW177" s="130" t="n">
        <f aca="false">IVA!AR177/IVA!CK20</f>
        <v>0.000386082606103401</v>
      </c>
      <c r="AX177" s="130" t="n">
        <f aca="false">IVA!AS177/IVA!CL20</f>
        <v>0.000435438491437387</v>
      </c>
      <c r="AY177" s="130" t="n">
        <f aca="false">IVA!AT177/IVA!CM20</f>
        <v>0.000400280745689182</v>
      </c>
      <c r="AZ177" s="271" t="n">
        <f aca="false">IVA!AU177/IVA!CN20</f>
        <v>0.00168150476673933</v>
      </c>
      <c r="BA177" s="266" t="n">
        <v>2010</v>
      </c>
      <c r="BB177" s="369" t="s">
        <v>576</v>
      </c>
      <c r="BC177" s="370"/>
      <c r="BD177" s="370"/>
      <c r="BE177" s="370"/>
      <c r="BF177" s="371" t="n">
        <f aca="false">IVA!BF160+IVA!BF143+IVA!BF126+IVA!BF109+IVA!BF92+IVA!BF57+IVA!BF40+IVA!BF23</f>
        <v>12038466.7543167</v>
      </c>
      <c r="BG177" s="371" t="n">
        <f aca="false">IVA!BG160+IVA!BG143+IVA!BG126+IVA!BG109+IVA!BG92+IVA!BG57+IVA!BG40+IVA!BG23</f>
        <v>11829921.4304167</v>
      </c>
      <c r="BH177" s="371" t="n">
        <f aca="false">IVA!BH160+IVA!BH143+IVA!BH126+IVA!BH109+IVA!BH92+IVA!BH57+IVA!BH40+IVA!BH23</f>
        <v>11894641.2785667</v>
      </c>
      <c r="BI177" s="371" t="n">
        <f aca="false">IVA!BI160+IVA!BI143+IVA!BI126+IVA!BI109+IVA!BI92+IVA!BI57+IVA!BI40+IVA!BI23</f>
        <v>12160890.9433667</v>
      </c>
      <c r="BJ177" s="371" t="n">
        <f aca="false">IVA!BJ160+IVA!BJ143+IVA!BJ126+IVA!BJ109+IVA!BJ92+IVA!BJ57+IVA!BJ40+IVA!BJ23</f>
        <v>16910742.2540167</v>
      </c>
      <c r="BK177" s="371" t="n">
        <f aca="false">IVA!BK160+IVA!BK143+IVA!BK126+IVA!BK109+IVA!BK92+IVA!BK57+IVA!BK40+IVA!BK23</f>
        <v>16285171.6726167</v>
      </c>
      <c r="BL177" s="371" t="n">
        <f aca="false">IVA!BL160+IVA!BL143+IVA!BL126+IVA!BL109+IVA!BL92+IVA!BL57+IVA!BL40+IVA!BL23</f>
        <v>14651463.9597667</v>
      </c>
      <c r="BM177" s="371" t="n">
        <f aca="false">IVA!BM160+IVA!BM143+IVA!BM126+IVA!BM109+IVA!BM92+IVA!BM57+IVA!BM40+IVA!BM23</f>
        <v>14608959.1302167</v>
      </c>
      <c r="BN177" s="371" t="n">
        <f aca="false">IVA!BN160+IVA!BN143+IVA!BN126+IVA!BN109+IVA!BN92+IVA!BN57+IVA!BN40+IVA!BN23</f>
        <v>14889185.8357167</v>
      </c>
      <c r="BO177" s="371" t="n">
        <f aca="false">IVA!BO160+IVA!BO143+IVA!BO126+IVA!BO109+IVA!BO92+IVA!BO57+IVA!BO40+IVA!BO23</f>
        <v>14630495.3742167</v>
      </c>
      <c r="BP177" s="371" t="n">
        <f aca="false">IVA!BP160+IVA!BP143+IVA!BP126+IVA!BP109+IVA!BP92+IVA!BP57+IVA!BP40+IVA!BP23</f>
        <v>15295079.8455167</v>
      </c>
      <c r="BQ177" s="372" t="n">
        <f aca="false">IVA!BQ160+IVA!BQ143+IVA!BQ126+IVA!BQ109+IVA!BQ92+IVA!BQ57+IVA!BQ40+IVA!BQ23</f>
        <v>16852501.8761667</v>
      </c>
      <c r="BR177" s="175" t="n">
        <f aca="false">IVA!BF177+IVA!BG177+IVA!BH177</f>
        <v>35763029.4633</v>
      </c>
      <c r="BS177" s="175" t="n">
        <f aca="false">IVA!BI177+IVA!BJ177+IVA!BK177</f>
        <v>45356804.87</v>
      </c>
      <c r="BT177" s="175" t="n">
        <f aca="false">IVA!BL177+IVA!BM177+IVA!BN177</f>
        <v>44149608.9257</v>
      </c>
      <c r="BU177" s="176" t="n">
        <f aca="false">IVA!BO177+IVA!BP177+IVA!BQ177</f>
        <v>46778077.0959</v>
      </c>
      <c r="BV177" s="137" t="n">
        <f aca="false">IVA!BR177+IVA!BS177+IVA!BT177+IVA!BU177</f>
        <v>172047520.3549</v>
      </c>
      <c r="BW177" s="138" t="n">
        <f aca="false">IVA!BR177/IVA!CJ19</f>
        <v>0.0293770228575113</v>
      </c>
      <c r="BX177" s="139" t="n">
        <f aca="false">IVA!BS177/IVA!CK19</f>
        <v>0.0300717602255951</v>
      </c>
      <c r="BY177" s="138" t="n">
        <f aca="false">IVA!BT177/IVA!CL19</f>
        <v>0.0301186397348876</v>
      </c>
      <c r="BZ177" s="138" t="n">
        <f aca="false">IVA!BU177/IVA!CM19</f>
        <v>0.0296232821887256</v>
      </c>
      <c r="CA177" s="273" t="n">
        <f aca="false">IVA!BV177/IVA!CN19</f>
        <v>0.119257532261238</v>
      </c>
    </row>
    <row r="178" customFormat="false" ht="12.75" hidden="false" customHeight="true" outlineLevel="0" collapsed="false">
      <c r="AA178" s="245" t="n">
        <v>2012</v>
      </c>
      <c r="AB178" s="245" t="s">
        <v>575</v>
      </c>
      <c r="AC178" s="246"/>
      <c r="AD178" s="247"/>
      <c r="AE178" s="439" t="n">
        <v>267455.67386</v>
      </c>
      <c r="AF178" s="439" t="n">
        <v>261003.16847</v>
      </c>
      <c r="AG178" s="439" t="n">
        <v>294269.03448</v>
      </c>
      <c r="AH178" s="439" t="n">
        <v>240601.68868</v>
      </c>
      <c r="AI178" s="439" t="n">
        <v>310976.82864</v>
      </c>
      <c r="AJ178" s="439" t="n">
        <v>280785.58072</v>
      </c>
      <c r="AK178" s="439" t="n">
        <v>368662.16995</v>
      </c>
      <c r="AL178" s="439" t="n">
        <v>385482.17306</v>
      </c>
      <c r="AM178" s="439" t="n">
        <v>373063.08959</v>
      </c>
      <c r="AN178" s="439" t="n">
        <v>412427.83635</v>
      </c>
      <c r="AO178" s="439" t="n">
        <v>385319.10271</v>
      </c>
      <c r="AP178" s="439" t="n">
        <v>377011.33601</v>
      </c>
      <c r="AQ178" s="326" t="n">
        <f aca="false">IVA!AE178+IVA!AF178+IVA!AG178</f>
        <v>822727.87681</v>
      </c>
      <c r="AR178" s="326" t="n">
        <f aca="false">IVA!AH178+IVA!AI178+IVA!AJ178</f>
        <v>832364.09804</v>
      </c>
      <c r="AS178" s="326" t="n">
        <f aca="false">IVA!AK178+IVA!AL178+IVA!AM178</f>
        <v>1127207.4326</v>
      </c>
      <c r="AT178" s="326" t="n">
        <f aca="false">IVA!AN178+IVA!AO178+IVA!AP178</f>
        <v>1174758.27507</v>
      </c>
      <c r="AU178" s="250" t="n">
        <f aca="false">IVA!AQ178+IVA!AR178+IVA!AS178+IVA!AT178</f>
        <v>3957057.68252</v>
      </c>
      <c r="AV178" s="252" t="n">
        <f aca="false">IVA!AQ178/IVA!CJ21</f>
        <v>0.000438803412816978</v>
      </c>
      <c r="AW178" s="252" t="n">
        <f aca="false">IVA!AR178/IVA!CK21</f>
        <v>0.000366170211582349</v>
      </c>
      <c r="AX178" s="252" t="n">
        <f aca="false">IVA!AS178/IVA!CL21</f>
        <v>0.000516378478279485</v>
      </c>
      <c r="AY178" s="252" t="n">
        <f aca="false">IVA!AT178/IVA!CM21</f>
        <v>0.000505060057305225</v>
      </c>
      <c r="AZ178" s="296" t="n">
        <f aca="false">IVA!AU178/IVA!CN21</f>
        <v>0.00182837713891899</v>
      </c>
      <c r="BA178" s="266" t="n">
        <v>2011</v>
      </c>
      <c r="BB178" s="369" t="s">
        <v>576</v>
      </c>
      <c r="BC178" s="370"/>
      <c r="BD178" s="370"/>
      <c r="BE178" s="370"/>
      <c r="BF178" s="371" t="n">
        <f aca="false">IVA!BF161+IVA!BF144+IVA!BF127+IVA!BF110+IVA!BF93+IVA!BF58+IVA!BF41+IVA!BF24</f>
        <v>17019213.1997167</v>
      </c>
      <c r="BG178" s="371" t="n">
        <f aca="false">IVA!BG161+IVA!BG144+IVA!BG127+IVA!BG110+IVA!BG93+IVA!BG58+IVA!BG41+IVA!BG24</f>
        <v>15733536.8216667</v>
      </c>
      <c r="BH178" s="371" t="n">
        <f aca="false">IVA!BH161+IVA!BH144+IVA!BH127+IVA!BH110+IVA!BH93+IVA!BH58+IVA!BH41+IVA!BH24</f>
        <v>16017149.7628667</v>
      </c>
      <c r="BI178" s="371" t="n">
        <f aca="false">IVA!BI161+IVA!BI144+IVA!BI127+IVA!BI110+IVA!BI93+IVA!BI58+IVA!BI41+IVA!BI24</f>
        <v>16445856.9565167</v>
      </c>
      <c r="BJ178" s="371" t="n">
        <f aca="false">IVA!BJ161+IVA!BJ144+IVA!BJ127+IVA!BJ110+IVA!BJ93+IVA!BJ58+IVA!BJ41+IVA!BJ24</f>
        <v>22463385.5177167</v>
      </c>
      <c r="BK178" s="371" t="n">
        <f aca="false">IVA!BK161+IVA!BK144+IVA!BK127+IVA!BK110+IVA!BK93+IVA!BK58+IVA!BK41+IVA!BK24</f>
        <v>21349112.7697167</v>
      </c>
      <c r="BL178" s="371" t="n">
        <f aca="false">IVA!BL161+IVA!BL144+IVA!BL127+IVA!BL110+IVA!BL93+IVA!BL58+IVA!BL41+IVA!BL24</f>
        <v>19287139.1490167</v>
      </c>
      <c r="BM178" s="371" t="n">
        <f aca="false">IVA!BM161+IVA!BM144+IVA!BM127+IVA!BM110+IVA!BM93+IVA!BM58+IVA!BM41+IVA!BM24</f>
        <v>19820975.2534667</v>
      </c>
      <c r="BN178" s="371" t="n">
        <f aca="false">IVA!BN161+IVA!BN144+IVA!BN127+IVA!BN110+IVA!BN93+IVA!BN58+IVA!BN41+IVA!BN24</f>
        <v>20449575.7872167</v>
      </c>
      <c r="BO178" s="371" t="n">
        <f aca="false">IVA!BO161+IVA!BO144+IVA!BO127+IVA!BO110+IVA!BO93+IVA!BO58+IVA!BO41+IVA!BO24</f>
        <v>19406592.5453667</v>
      </c>
      <c r="BP178" s="371" t="n">
        <f aca="false">IVA!BP161+IVA!BP144+IVA!BP127+IVA!BP110+IVA!BP93+IVA!BP58+IVA!BP41+IVA!BP24</f>
        <v>21424829.3147167</v>
      </c>
      <c r="BQ178" s="372" t="n">
        <f aca="false">IVA!BQ161+IVA!BQ144+IVA!BQ127+IVA!BQ110+IVA!BQ93+IVA!BQ58+IVA!BQ41+IVA!BQ24</f>
        <v>20975687.7182667</v>
      </c>
      <c r="BR178" s="175" t="n">
        <f aca="false">IVA!BF178+IVA!BG178+IVA!BH178</f>
        <v>48769899.78425</v>
      </c>
      <c r="BS178" s="175" t="n">
        <f aca="false">IVA!BI178+IVA!BJ178+IVA!BK178</f>
        <v>60258355.24395</v>
      </c>
      <c r="BT178" s="175" t="n">
        <f aca="false">IVA!BL178+IVA!BM178+IVA!BN178</f>
        <v>59557690.1897</v>
      </c>
      <c r="BU178" s="176" t="n">
        <f aca="false">IVA!BO178+IVA!BP178+IVA!BQ178</f>
        <v>61807109.57835</v>
      </c>
      <c r="BV178" s="137" t="n">
        <f aca="false">IVA!BR178+IVA!BS178+IVA!BT178+IVA!BU178</f>
        <v>230393054.79625</v>
      </c>
      <c r="BW178" s="138" t="n">
        <f aca="false">IVA!BR178/IVA!CJ20</f>
        <v>0.0311115858739267</v>
      </c>
      <c r="BX178" s="139" t="n">
        <f aca="false">IVA!BS178/IVA!CK20</f>
        <v>0.0304916110393608</v>
      </c>
      <c r="BY178" s="138" t="n">
        <f aca="false">IVA!BT178/IVA!CL20</f>
        <v>0.031927726327185</v>
      </c>
      <c r="BZ178" s="138" t="n">
        <f aca="false">IVA!BU178/IVA!CM20</f>
        <v>0.0315521063617864</v>
      </c>
      <c r="CA178" s="273" t="n">
        <f aca="false">IVA!BV178/IVA!CN20</f>
        <v>0.125076159754789</v>
      </c>
    </row>
    <row r="179" customFormat="false" ht="12.75" hidden="false" customHeight="true" outlineLevel="0" collapsed="false">
      <c r="AA179" s="440" t="n">
        <v>1996</v>
      </c>
      <c r="AB179" s="440" t="s">
        <v>577</v>
      </c>
      <c r="AC179" s="441"/>
      <c r="AD179" s="442"/>
      <c r="AE179" s="443" t="n">
        <v>0</v>
      </c>
      <c r="AF179" s="443" t="n">
        <v>0</v>
      </c>
      <c r="AG179" s="443" t="n">
        <v>0</v>
      </c>
      <c r="AH179" s="443" t="n">
        <v>0</v>
      </c>
      <c r="AI179" s="443" t="n">
        <v>0</v>
      </c>
      <c r="AJ179" s="443" t="n">
        <v>0</v>
      </c>
      <c r="AK179" s="443" t="n">
        <v>0</v>
      </c>
      <c r="AL179" s="443" t="n">
        <v>0</v>
      </c>
      <c r="AM179" s="443" t="n">
        <v>0</v>
      </c>
      <c r="AN179" s="444" t="n">
        <v>0</v>
      </c>
      <c r="AO179" s="444" t="n">
        <v>0</v>
      </c>
      <c r="AP179" s="444" t="n">
        <v>0</v>
      </c>
      <c r="AQ179" s="155" t="n">
        <f aca="false">IVA!AE179+IVA!AF179+IVA!AG179</f>
        <v>0</v>
      </c>
      <c r="AR179" s="155" t="n">
        <f aca="false">IVA!AH179+IVA!AI179+IVA!AJ179</f>
        <v>0</v>
      </c>
      <c r="AS179" s="155" t="n">
        <f aca="false">IVA!AK179+IVA!AL179+IVA!AM179</f>
        <v>0</v>
      </c>
      <c r="AT179" s="155" t="n">
        <f aca="false">IVA!AN179+IVA!AO179+IVA!AP179</f>
        <v>0</v>
      </c>
      <c r="AU179" s="250"/>
      <c r="AV179" s="252"/>
      <c r="AW179" s="252"/>
      <c r="AX179" s="252"/>
      <c r="AY179" s="252"/>
      <c r="AZ179" s="296"/>
      <c r="BA179" s="297" t="n">
        <v>2012</v>
      </c>
      <c r="BB179" s="388" t="s">
        <v>576</v>
      </c>
      <c r="BC179" s="389"/>
      <c r="BD179" s="389"/>
      <c r="BE179" s="389"/>
      <c r="BF179" s="390" t="n">
        <f aca="false">IVA!BF162+IVA!BF145+IVA!BF128+IVA!BF111+IVA!BF94+IVA!BF59+IVA!BF42+IVA!BF25</f>
        <v>21749401.1743463</v>
      </c>
      <c r="BG179" s="390" t="n">
        <f aca="false">IVA!BG162+IVA!BG145+IVA!BG128+IVA!BG111+IVA!BG94+IVA!BG59+IVA!BG42+IVA!BG25</f>
        <v>19957020.6009329</v>
      </c>
      <c r="BH179" s="390" t="n">
        <f aca="false">IVA!BH162+IVA!BH145+IVA!BH128+IVA!BH111+IVA!BH94+IVA!BH59+IVA!BH42+IVA!BH25</f>
        <v>19420867.703431</v>
      </c>
      <c r="BI179" s="390" t="n">
        <f aca="false">IVA!BI162+IVA!BI145+IVA!BI128+IVA!BI111+IVA!BI94+IVA!BI59+IVA!BI42+IVA!BI25</f>
        <v>19313730.3065397</v>
      </c>
      <c r="BJ179" s="390" t="n">
        <f aca="false">IVA!BJ162+IVA!BJ145+IVA!BJ128+IVA!BJ111+IVA!BJ94+IVA!BJ59+IVA!BJ42+IVA!BJ25</f>
        <v>25806415.302789</v>
      </c>
      <c r="BK179" s="390" t="n">
        <f aca="false">IVA!BK162+IVA!BK145+IVA!BK128+IVA!BK111+IVA!BK94+IVA!BK59+IVA!BK42+IVA!BK25</f>
        <v>26233229.3182868</v>
      </c>
      <c r="BL179" s="390" t="n">
        <f aca="false">IVA!BL162+IVA!BL145+IVA!BL128+IVA!BL111+IVA!BL94+IVA!BL59+IVA!BL42+IVA!BL25</f>
        <v>23081671.5903943</v>
      </c>
      <c r="BM179" s="390" t="n">
        <f aca="false">IVA!BM162+IVA!BM145+IVA!BM128+IVA!BM111+IVA!BM94+IVA!BM59+IVA!BM42+IVA!BM25</f>
        <v>25336985.5414615</v>
      </c>
      <c r="BN179" s="390" t="n">
        <f aca="false">IVA!BN162+IVA!BN145+IVA!BN128+IVA!BN111+IVA!BN94+IVA!BN59+IVA!BN42+IVA!BN25</f>
        <v>24357713.4216881</v>
      </c>
      <c r="BO179" s="390" t="n">
        <f aca="false">IVA!BO162+IVA!BO145+IVA!BO128+IVA!BO111+IVA!BO94+IVA!BO59+IVA!BO42+IVA!BO25</f>
        <v>26039677.7498244</v>
      </c>
      <c r="BP179" s="390" t="n">
        <f aca="false">IVA!BP162+IVA!BP145+IVA!BP128+IVA!BP111+IVA!BP94+IVA!BP59+IVA!BP42+IVA!BP25</f>
        <v>27312874.3917568</v>
      </c>
      <c r="BQ179" s="391" t="n">
        <f aca="false">IVA!BQ162+IVA!BQ145+IVA!BQ128+IVA!BQ111+IVA!BQ94+IVA!BQ59+IVA!BQ42+IVA!BQ25</f>
        <v>27619280.6686761</v>
      </c>
      <c r="BR179" s="259" t="n">
        <f aca="false">IVA!BF179+IVA!BG179+IVA!BH179</f>
        <v>61127289.4787102</v>
      </c>
      <c r="BS179" s="259" t="n">
        <f aca="false">IVA!BI179+IVA!BJ179+IVA!BK179</f>
        <v>71353374.9276155</v>
      </c>
      <c r="BT179" s="259" t="n">
        <f aca="false">IVA!BL179+IVA!BM179+IVA!BN179</f>
        <v>72776370.5535439</v>
      </c>
      <c r="BU179" s="260" t="n">
        <f aca="false">IVA!BO179+IVA!BP179+IVA!BQ179</f>
        <v>80971832.8102573</v>
      </c>
      <c r="BV179" s="261" t="n">
        <f aca="false">IVA!BR179+IVA!BS179+IVA!BT179+IVA!BU179</f>
        <v>286228867.770127</v>
      </c>
      <c r="BW179" s="264" t="n">
        <f aca="false">IVA!BR179/IVA!CJ21</f>
        <v>0.0326023512701561</v>
      </c>
      <c r="BX179" s="263" t="n">
        <f aca="false">IVA!BS179/IVA!CK21</f>
        <v>0.0313894850293075</v>
      </c>
      <c r="BY179" s="264" t="n">
        <f aca="false">IVA!BT179/IVA!CL21</f>
        <v>0.0333391622467047</v>
      </c>
      <c r="BZ179" s="264" t="n">
        <f aca="false">IVA!BU179/IVA!CM21</f>
        <v>0.0348119603727165</v>
      </c>
      <c r="CA179" s="303" t="n">
        <f aca="false">IVA!BV179/IVA!CN21</f>
        <v>0.132253396416574</v>
      </c>
    </row>
    <row r="180" customFormat="false" ht="12.75" hidden="false" customHeight="true" outlineLevel="0" collapsed="false">
      <c r="AA180" s="440" t="n">
        <v>1997</v>
      </c>
      <c r="AB180" s="440" t="s">
        <v>577</v>
      </c>
      <c r="AC180" s="441"/>
      <c r="AD180" s="442"/>
      <c r="AE180" s="443" t="n">
        <v>0</v>
      </c>
      <c r="AF180" s="443" t="n">
        <v>0</v>
      </c>
      <c r="AG180" s="443" t="n">
        <v>0</v>
      </c>
      <c r="AH180" s="443" t="n">
        <v>0</v>
      </c>
      <c r="AI180" s="443" t="n">
        <v>0</v>
      </c>
      <c r="AJ180" s="443" t="n">
        <v>0</v>
      </c>
      <c r="AK180" s="443" t="n">
        <v>0</v>
      </c>
      <c r="AL180" s="443" t="n">
        <v>0</v>
      </c>
      <c r="AM180" s="443" t="n">
        <v>0</v>
      </c>
      <c r="AN180" s="443" t="n">
        <v>0</v>
      </c>
      <c r="AO180" s="443" t="n">
        <v>0</v>
      </c>
      <c r="AP180" s="443" t="n">
        <v>0</v>
      </c>
      <c r="AQ180" s="155" t="n">
        <f aca="false">IVA!AE180+IVA!AF180+IVA!AG180</f>
        <v>0</v>
      </c>
      <c r="AR180" s="155" t="n">
        <f aca="false">IVA!AH180+IVA!AI180+IVA!AJ180</f>
        <v>0</v>
      </c>
      <c r="AS180" s="155" t="n">
        <f aca="false">IVA!AK180+IVA!AL180+IVA!AM180</f>
        <v>0</v>
      </c>
      <c r="AT180" s="155" t="n">
        <f aca="false">IVA!AN180+IVA!AO180+IVA!AP180</f>
        <v>0</v>
      </c>
      <c r="AU180" s="129" t="n">
        <f aca="false">IVA!AQ180+IVA!AR180+IVA!AS180+IVA!AT180</f>
        <v>0</v>
      </c>
      <c r="AV180" s="130" t="n">
        <f aca="false">IVA!AQ180/IVA!CJ6</f>
        <v>0</v>
      </c>
      <c r="AW180" s="130" t="n">
        <f aca="false">IVA!AR180/IVA!CK6</f>
        <v>0</v>
      </c>
      <c r="AX180" s="130" t="n">
        <f aca="false">IVA!AS180/IVA!CL6</f>
        <v>0</v>
      </c>
      <c r="AY180" s="130" t="n">
        <f aca="false">IVA!AT180/IVA!CM6</f>
        <v>0</v>
      </c>
      <c r="AZ180" s="271" t="n">
        <f aca="false">IVA!AU180/IVA!CN6</f>
        <v>0</v>
      </c>
      <c r="BA180" s="266" t="n">
        <v>1996</v>
      </c>
      <c r="BB180" s="352" t="s">
        <v>578</v>
      </c>
      <c r="BC180" s="353"/>
      <c r="BD180" s="353"/>
      <c r="BE180" s="353"/>
      <c r="BF180" s="354" t="n">
        <f aca="false">IVA!BF163*0.15</f>
        <v>269000.425</v>
      </c>
      <c r="BG180" s="354" t="n">
        <f aca="false">IVA!BG163*0.15</f>
        <v>271387.1725</v>
      </c>
      <c r="BH180" s="354" t="n">
        <f aca="false">IVA!BH163*0.15</f>
        <v>269388.388</v>
      </c>
      <c r="BI180" s="354" t="n">
        <f aca="false">IVA!BI163*0.15</f>
        <v>258553.8175</v>
      </c>
      <c r="BJ180" s="354" t="n">
        <f aca="false">IVA!BJ163*0.15</f>
        <v>286856.4475</v>
      </c>
      <c r="BK180" s="354" t="n">
        <f aca="false">IVA!BK163*0.15</f>
        <v>299272.327</v>
      </c>
      <c r="BL180" s="354" t="n">
        <f aca="false">IVA!BL163*0.15</f>
        <v>274749.0415</v>
      </c>
      <c r="BM180" s="354" t="n">
        <f aca="false">IVA!BM163*0.15</f>
        <v>276757.213</v>
      </c>
      <c r="BN180" s="354" t="n">
        <f aca="false">IVA!BN163*0.15</f>
        <v>245424.277</v>
      </c>
      <c r="BO180" s="354" t="n">
        <f aca="false">IVA!BO163*0.15</f>
        <v>296599.7455</v>
      </c>
      <c r="BP180" s="354" t="n">
        <f aca="false">IVA!BP163*0.15</f>
        <v>289606.042</v>
      </c>
      <c r="BQ180" s="354" t="n">
        <f aca="false">IVA!BQ163*0.15</f>
        <v>268594.267</v>
      </c>
      <c r="BR180" s="175" t="n">
        <f aca="false">IVA!BF180+IVA!BG180+IVA!BH180</f>
        <v>809775.9855</v>
      </c>
      <c r="BS180" s="175" t="n">
        <f aca="false">IVA!BI180+IVA!BJ180+IVA!BK180</f>
        <v>844682.592</v>
      </c>
      <c r="BT180" s="175" t="n">
        <f aca="false">IVA!BL180+IVA!BM180+IVA!BN180</f>
        <v>796930.5315</v>
      </c>
      <c r="BU180" s="176" t="n">
        <f aca="false">IVA!BO180+IVA!BP180+IVA!BQ180</f>
        <v>854800.0545</v>
      </c>
      <c r="BV180" s="137" t="n">
        <f aca="false">IVA!BR180+IVA!BS180+IVA!BT180+IVA!BU180</f>
        <v>3306189.1635</v>
      </c>
      <c r="BW180" s="264"/>
      <c r="BX180" s="263"/>
      <c r="BY180" s="264"/>
      <c r="BZ180" s="264"/>
      <c r="CA180" s="303"/>
    </row>
    <row r="181" customFormat="false" ht="12.75" hidden="false" customHeight="true" outlineLevel="0" collapsed="false">
      <c r="AA181" s="440" t="n">
        <v>1998</v>
      </c>
      <c r="AB181" s="440" t="s">
        <v>577</v>
      </c>
      <c r="AC181" s="441"/>
      <c r="AD181" s="442"/>
      <c r="AE181" s="443" t="n">
        <v>0</v>
      </c>
      <c r="AF181" s="443" t="n">
        <v>0</v>
      </c>
      <c r="AG181" s="443" t="n">
        <v>0</v>
      </c>
      <c r="AH181" s="443" t="n">
        <v>0</v>
      </c>
      <c r="AI181" s="443" t="n">
        <v>0</v>
      </c>
      <c r="AJ181" s="443" t="n">
        <v>0</v>
      </c>
      <c r="AK181" s="443" t="n">
        <v>0</v>
      </c>
      <c r="AL181" s="443" t="n">
        <v>0</v>
      </c>
      <c r="AM181" s="443" t="n">
        <v>0</v>
      </c>
      <c r="AN181" s="444" t="n">
        <v>25627</v>
      </c>
      <c r="AO181" s="444" t="n">
        <v>38758</v>
      </c>
      <c r="AP181" s="444" t="n">
        <v>35245</v>
      </c>
      <c r="AQ181" s="155" t="n">
        <f aca="false">IVA!AE181+IVA!AF181+IVA!AG181</f>
        <v>0</v>
      </c>
      <c r="AR181" s="155" t="n">
        <f aca="false">IVA!AH181+IVA!AI181+IVA!AJ181</f>
        <v>0</v>
      </c>
      <c r="AS181" s="155" t="n">
        <f aca="false">IVA!AK181+IVA!AL181+IVA!AM181</f>
        <v>0</v>
      </c>
      <c r="AT181" s="155" t="n">
        <f aca="false">IVA!AN181+IVA!AO181+IVA!AP181</f>
        <v>99630</v>
      </c>
      <c r="AU181" s="129" t="n">
        <f aca="false">IVA!AQ181+IVA!AR181+IVA!AS181+IVA!AT181</f>
        <v>99630</v>
      </c>
      <c r="AV181" s="130" t="n">
        <f aca="false">IVA!AQ181/IVA!CJ7</f>
        <v>0</v>
      </c>
      <c r="AW181" s="130" t="n">
        <f aca="false">IVA!AR181/IVA!CK7</f>
        <v>0</v>
      </c>
      <c r="AX181" s="130" t="n">
        <f aca="false">IVA!AS181/IVA!CL7</f>
        <v>0</v>
      </c>
      <c r="AY181" s="130" t="n">
        <f aca="false">IVA!AT181/IVA!CM7</f>
        <v>0.000337242586836385</v>
      </c>
      <c r="AZ181" s="271" t="n">
        <f aca="false">IVA!AU181/IVA!CN7</f>
        <v>0.000333268262390991</v>
      </c>
      <c r="BA181" s="266" t="n">
        <v>1997</v>
      </c>
      <c r="BB181" s="352" t="s">
        <v>578</v>
      </c>
      <c r="BC181" s="353"/>
      <c r="BD181" s="353"/>
      <c r="BE181" s="353"/>
      <c r="BF181" s="354" t="n">
        <v>311773.235824686</v>
      </c>
      <c r="BG181" s="354" t="n">
        <v>272985.711885931</v>
      </c>
      <c r="BH181" s="354" t="n">
        <v>274210.924172563</v>
      </c>
      <c r="BI181" s="354" t="n">
        <v>292194.104566432</v>
      </c>
      <c r="BJ181" s="354" t="n">
        <v>367292.830426313</v>
      </c>
      <c r="BK181" s="354" t="n">
        <v>298378.754308093</v>
      </c>
      <c r="BL181" s="354" t="n">
        <v>285629.987264016</v>
      </c>
      <c r="BM181" s="354" t="n">
        <v>307035.263849085</v>
      </c>
      <c r="BN181" s="354" t="n">
        <v>323007.972098404</v>
      </c>
      <c r="BO181" s="354" t="n">
        <v>293519.007752798</v>
      </c>
      <c r="BP181" s="354" t="n">
        <v>313306.573137796</v>
      </c>
      <c r="BQ181" s="355" t="n">
        <v>304796.403027143</v>
      </c>
      <c r="BR181" s="175" t="n">
        <f aca="false">IVA!BF181+IVA!BG181+IVA!BH181</f>
        <v>858969.87188318</v>
      </c>
      <c r="BS181" s="175" t="n">
        <f aca="false">IVA!BI181+IVA!BJ181+IVA!BK181</f>
        <v>957865.689300838</v>
      </c>
      <c r="BT181" s="175" t="n">
        <f aca="false">IVA!BL181+IVA!BM181+IVA!BN181</f>
        <v>915673.223211505</v>
      </c>
      <c r="BU181" s="176" t="n">
        <f aca="false">IVA!BO181+IVA!BP181+IVA!BQ181</f>
        <v>911621.983917737</v>
      </c>
      <c r="BV181" s="137" t="n">
        <f aca="false">IVA!BR181+IVA!BS181+IVA!BT181+IVA!BU181</f>
        <v>3644130.76831326</v>
      </c>
      <c r="BW181" s="138" t="n">
        <f aca="false">IVA!BR181/IVA!CJ6</f>
        <v>0.00316659246436327</v>
      </c>
      <c r="BX181" s="139" t="n">
        <f aca="false">IVA!BS181/IVA!CK6</f>
        <v>0.00319424277136495</v>
      </c>
      <c r="BY181" s="138" t="n">
        <f aca="false">IVA!BT181/IVA!CL6</f>
        <v>0.00306999899176895</v>
      </c>
      <c r="BZ181" s="138" t="n">
        <f aca="false">IVA!BU181/IVA!CM6</f>
        <v>0.00301824083206807</v>
      </c>
      <c r="CA181" s="273" t="n">
        <f aca="false">IVA!BV181/IVA!CN6</f>
        <v>0.0124432996586703</v>
      </c>
    </row>
    <row r="182" customFormat="false" ht="12.75" hidden="false" customHeight="true" outlineLevel="0" collapsed="false">
      <c r="AA182" s="440" t="n">
        <v>1999</v>
      </c>
      <c r="AB182" s="440" t="s">
        <v>577</v>
      </c>
      <c r="AC182" s="441"/>
      <c r="AD182" s="442"/>
      <c r="AE182" s="444" t="n">
        <v>33246</v>
      </c>
      <c r="AF182" s="444" t="n">
        <v>32513</v>
      </c>
      <c r="AG182" s="444" t="n">
        <v>35578</v>
      </c>
      <c r="AH182" s="444" t="n">
        <v>32123</v>
      </c>
      <c r="AI182" s="444" t="n">
        <v>31900</v>
      </c>
      <c r="AJ182" s="444" t="n">
        <v>30036</v>
      </c>
      <c r="AK182" s="444" t="n">
        <v>32651</v>
      </c>
      <c r="AL182" s="444" t="n">
        <v>31854</v>
      </c>
      <c r="AM182" s="444" t="n">
        <v>32265</v>
      </c>
      <c r="AN182" s="444" t="n">
        <v>30383</v>
      </c>
      <c r="AO182" s="444" t="n">
        <v>32203</v>
      </c>
      <c r="AP182" s="444" t="n">
        <v>30657</v>
      </c>
      <c r="AQ182" s="155" t="n">
        <f aca="false">IVA!AE182+IVA!AF182+IVA!AG182</f>
        <v>101337</v>
      </c>
      <c r="AR182" s="155" t="n">
        <f aca="false">IVA!AH182+IVA!AI182+IVA!AJ182</f>
        <v>94059</v>
      </c>
      <c r="AS182" s="155" t="n">
        <f aca="false">IVA!AK182+IVA!AL182+IVA!AM182</f>
        <v>96770</v>
      </c>
      <c r="AT182" s="155" t="n">
        <f aca="false">IVA!AN182+IVA!AO182+IVA!AP182</f>
        <v>93243</v>
      </c>
      <c r="AU182" s="129" t="n">
        <f aca="false">IVA!AQ182+IVA!AR182+IVA!AS182+IVA!AT182</f>
        <v>385409</v>
      </c>
      <c r="AV182" s="130" t="n">
        <f aca="false">IVA!AQ182/IVA!CJ8</f>
        <v>0.000374288078124885</v>
      </c>
      <c r="AW182" s="130" t="n">
        <f aca="false">IVA!AR182/IVA!CK8</f>
        <v>0.000325655392151682</v>
      </c>
      <c r="AX182" s="130" t="n">
        <f aca="false">IVA!AS182/IVA!CL8</f>
        <v>0.000339440215580321</v>
      </c>
      <c r="AY182" s="130" t="n">
        <f aca="false">IVA!AT182/IVA!CM8</f>
        <v>0.000322162102267382</v>
      </c>
      <c r="AZ182" s="271" t="n">
        <f aca="false">IVA!AU182/IVA!CN8</f>
        <v>0.00135935697421974</v>
      </c>
      <c r="BA182" s="266" t="n">
        <v>1998</v>
      </c>
      <c r="BB182" s="352" t="s">
        <v>578</v>
      </c>
      <c r="BC182" s="353"/>
      <c r="BD182" s="353"/>
      <c r="BE182" s="353"/>
      <c r="BF182" s="354" t="n">
        <v>304810.056248961</v>
      </c>
      <c r="BG182" s="354" t="n">
        <v>303983.914125491</v>
      </c>
      <c r="BH182" s="354" t="n">
        <v>310528.104759853</v>
      </c>
      <c r="BI182" s="354" t="n">
        <v>294509.442049396</v>
      </c>
      <c r="BJ182" s="354" t="n">
        <v>373114.230628099</v>
      </c>
      <c r="BK182" s="354" t="n">
        <v>358282.224058068</v>
      </c>
      <c r="BL182" s="354" t="n">
        <v>314736.843301181</v>
      </c>
      <c r="BM182" s="354" t="n">
        <v>319702.052695585</v>
      </c>
      <c r="BN182" s="354" t="n">
        <v>314938.653188866</v>
      </c>
      <c r="BO182" s="354" t="n">
        <v>293070.677129107</v>
      </c>
      <c r="BP182" s="354" t="n">
        <v>312775.780908138</v>
      </c>
      <c r="BQ182" s="355" t="n">
        <v>312104.147711471</v>
      </c>
      <c r="BR182" s="175" t="n">
        <f aca="false">IVA!BF182+IVA!BG182+IVA!BH182</f>
        <v>919322.075134305</v>
      </c>
      <c r="BS182" s="175" t="n">
        <f aca="false">IVA!BI182+IVA!BJ182+IVA!BK182</f>
        <v>1025905.89673556</v>
      </c>
      <c r="BT182" s="175" t="n">
        <f aca="false">IVA!BL182+IVA!BM182+IVA!BN182</f>
        <v>949377.549185632</v>
      </c>
      <c r="BU182" s="176" t="n">
        <f aca="false">IVA!BO182+IVA!BP182+IVA!BQ182</f>
        <v>917950.605748716</v>
      </c>
      <c r="BV182" s="137" t="n">
        <f aca="false">IVA!BR182+IVA!BS182+IVA!BT182+IVA!BU182</f>
        <v>3812556.12680422</v>
      </c>
      <c r="BW182" s="138" t="n">
        <f aca="false">IVA!BR182/IVA!CJ7</f>
        <v>0.0032511991453449</v>
      </c>
      <c r="BX182" s="139" t="n">
        <f aca="false">IVA!BS182/IVA!CK7</f>
        <v>0.00328679979044624</v>
      </c>
      <c r="BY182" s="138" t="n">
        <f aca="false">IVA!BT182/IVA!CL7</f>
        <v>0.00310787550283538</v>
      </c>
      <c r="BZ182" s="138" t="n">
        <f aca="false">IVA!BU182/IVA!CM7</f>
        <v>0.00310721707187316</v>
      </c>
      <c r="CA182" s="273" t="n">
        <f aca="false">IVA!BV182/IVA!CN7</f>
        <v>0.0127532264945114</v>
      </c>
    </row>
    <row r="183" customFormat="false" ht="12.75" hidden="false" customHeight="true" outlineLevel="0" collapsed="false">
      <c r="AA183" s="440" t="n">
        <v>2000</v>
      </c>
      <c r="AB183" s="440" t="s">
        <v>577</v>
      </c>
      <c r="AC183" s="441"/>
      <c r="AD183" s="442"/>
      <c r="AE183" s="444" t="n">
        <v>31685.54277</v>
      </c>
      <c r="AF183" s="444" t="n">
        <v>30204.97614</v>
      </c>
      <c r="AG183" s="444" t="n">
        <v>33358.13397</v>
      </c>
      <c r="AH183" s="444" t="n">
        <v>27404.16898</v>
      </c>
      <c r="AI183" s="444" t="n">
        <v>30592.6695</v>
      </c>
      <c r="AJ183" s="444" t="n">
        <v>29630.0106</v>
      </c>
      <c r="AK183" s="444" t="n">
        <v>28557.9603</v>
      </c>
      <c r="AL183" s="444" t="n">
        <v>29113.8586</v>
      </c>
      <c r="AM183" s="444" t="n">
        <v>27571.7659</v>
      </c>
      <c r="AN183" s="444" t="n">
        <v>28079.3161</v>
      </c>
      <c r="AO183" s="444" t="n">
        <v>28190.66737</v>
      </c>
      <c r="AP183" s="444" t="n">
        <v>29163.37115</v>
      </c>
      <c r="AQ183" s="155" t="n">
        <f aca="false">IVA!AE183+IVA!AF183+IVA!AG183</f>
        <v>95248.65288</v>
      </c>
      <c r="AR183" s="155" t="n">
        <f aca="false">IVA!AH183+IVA!AI183+IVA!AJ183</f>
        <v>87626.84908</v>
      </c>
      <c r="AS183" s="155" t="n">
        <f aca="false">IVA!AK183+IVA!AL183+IVA!AM183</f>
        <v>85243.5848</v>
      </c>
      <c r="AT183" s="155" t="n">
        <f aca="false">IVA!AN183+IVA!AO183+IVA!AP183</f>
        <v>85433.35462</v>
      </c>
      <c r="AU183" s="129" t="n">
        <f aca="false">IVA!AQ183+IVA!AR183+IVA!AS183+IVA!AT183</f>
        <v>353552.44138</v>
      </c>
      <c r="AV183" s="130" t="n">
        <f aca="false">IVA!AQ183/IVA!CJ9</f>
        <v>0.000352193625593469</v>
      </c>
      <c r="AW183" s="130" t="n">
        <f aca="false">IVA!AR183/IVA!CK9</f>
        <v>0.000300301744179564</v>
      </c>
      <c r="AX183" s="130" t="n">
        <f aca="false">IVA!AS183/IVA!CL9</f>
        <v>0.000296503919468972</v>
      </c>
      <c r="AY183" s="130" t="n">
        <f aca="false">IVA!AT183/IVA!CM9</f>
        <v>0.000297595264519377</v>
      </c>
      <c r="AZ183" s="271" t="n">
        <f aca="false">IVA!AU183/IVA!CN9</f>
        <v>0.00124401051946965</v>
      </c>
      <c r="BA183" s="266" t="n">
        <v>1999</v>
      </c>
      <c r="BB183" s="352" t="s">
        <v>578</v>
      </c>
      <c r="BC183" s="353"/>
      <c r="BD183" s="353"/>
      <c r="BE183" s="353"/>
      <c r="BF183" s="354" t="n">
        <v>306195.111132722</v>
      </c>
      <c r="BG183" s="354" t="n">
        <v>286862.443452808</v>
      </c>
      <c r="BH183" s="354" t="n">
        <v>310428.158453559</v>
      </c>
      <c r="BI183" s="354" t="n">
        <v>290817.568502773</v>
      </c>
      <c r="BJ183" s="354" t="n">
        <v>321662.06895964</v>
      </c>
      <c r="BK183" s="354" t="n">
        <v>306635.780405928</v>
      </c>
      <c r="BL183" s="354" t="n">
        <v>282100.38207466</v>
      </c>
      <c r="BM183" s="354" t="n">
        <v>307203.10624539</v>
      </c>
      <c r="BN183" s="354" t="n">
        <v>304331.934425561</v>
      </c>
      <c r="BO183" s="354" t="n">
        <v>296925.921854187</v>
      </c>
      <c r="BP183" s="354" t="n">
        <v>313381.951459464</v>
      </c>
      <c r="BQ183" s="355" t="n">
        <v>284796.877015829</v>
      </c>
      <c r="BR183" s="175" t="n">
        <f aca="false">IVA!BF183+IVA!BG183+IVA!BH183</f>
        <v>903485.713039089</v>
      </c>
      <c r="BS183" s="175" t="n">
        <f aca="false">IVA!BI183+IVA!BJ183+IVA!BK183</f>
        <v>919115.417868341</v>
      </c>
      <c r="BT183" s="175" t="n">
        <f aca="false">IVA!BL183+IVA!BM183+IVA!BN183</f>
        <v>893635.422745611</v>
      </c>
      <c r="BU183" s="176" t="n">
        <f aca="false">IVA!BO183+IVA!BP183+IVA!BQ183</f>
        <v>895104.75032948</v>
      </c>
      <c r="BV183" s="137" t="n">
        <f aca="false">IVA!BR183+IVA!BS183+IVA!BT183+IVA!BU183</f>
        <v>3611341.30398252</v>
      </c>
      <c r="BW183" s="138" t="n">
        <f aca="false">IVA!BR183/IVA!CJ8</f>
        <v>0.00333702330981469</v>
      </c>
      <c r="BX183" s="139" t="n">
        <f aca="false">IVA!BS183/IVA!CK8</f>
        <v>0.00318220363642577</v>
      </c>
      <c r="BY183" s="138" t="n">
        <f aca="false">IVA!BT183/IVA!CL8</f>
        <v>0.00313460577190226</v>
      </c>
      <c r="BZ183" s="138" t="n">
        <f aca="false">IVA!BU183/IVA!CM8</f>
        <v>0.00309265926788783</v>
      </c>
      <c r="CA183" s="273" t="n">
        <f aca="false">IVA!BV183/IVA!CN8</f>
        <v>0.0127373828526486</v>
      </c>
    </row>
    <row r="184" customFormat="false" ht="12.75" hidden="false" customHeight="true" outlineLevel="0" collapsed="false">
      <c r="AA184" s="440" t="n">
        <v>2001</v>
      </c>
      <c r="AB184" s="440" t="s">
        <v>577</v>
      </c>
      <c r="AC184" s="441"/>
      <c r="AD184" s="442"/>
      <c r="AE184" s="444" t="n">
        <v>30825.38073</v>
      </c>
      <c r="AF184" s="444" t="n">
        <v>25806.43982</v>
      </c>
      <c r="AG184" s="444" t="n">
        <v>29386.18558</v>
      </c>
      <c r="AH184" s="444" t="n">
        <v>24464.39698</v>
      </c>
      <c r="AI184" s="444" t="n">
        <v>28836.57152</v>
      </c>
      <c r="AJ184" s="444" t="n">
        <v>26606.67695</v>
      </c>
      <c r="AK184" s="444" t="n">
        <v>25933.50351</v>
      </c>
      <c r="AL184" s="444" t="n">
        <v>25253.1923</v>
      </c>
      <c r="AM184" s="444" t="n">
        <v>23189.1174</v>
      </c>
      <c r="AN184" s="444" t="n">
        <v>24032.89045</v>
      </c>
      <c r="AO184" s="444" t="n">
        <v>22490.75849</v>
      </c>
      <c r="AP184" s="444" t="n">
        <v>15528.73768</v>
      </c>
      <c r="AQ184" s="155" t="n">
        <f aca="false">IVA!AE184+IVA!AF184+IVA!AG184</f>
        <v>86018.00613</v>
      </c>
      <c r="AR184" s="155" t="n">
        <f aca="false">IVA!AH184+IVA!AI184+IVA!AJ184</f>
        <v>79907.64545</v>
      </c>
      <c r="AS184" s="155" t="n">
        <f aca="false">IVA!AK184+IVA!AL184+IVA!AM184</f>
        <v>74375.81321</v>
      </c>
      <c r="AT184" s="155" t="n">
        <f aca="false">IVA!AN184+IVA!AO184+IVA!AP184</f>
        <v>62052.38662</v>
      </c>
      <c r="AU184" s="129" t="n">
        <f aca="false">IVA!AQ184+IVA!AR184+IVA!AS184+IVA!AT184</f>
        <v>302353.85141</v>
      </c>
      <c r="AV184" s="130" t="n">
        <f aca="false">IVA!AQ184/IVA!CJ10</f>
        <v>0.000326653550588423</v>
      </c>
      <c r="AW184" s="130" t="n">
        <f aca="false">IVA!AR184/IVA!CK10</f>
        <v>0.000277431983844673</v>
      </c>
      <c r="AX184" s="130" t="n">
        <f aca="false">IVA!AS184/IVA!CL10</f>
        <v>0.000274078097068459</v>
      </c>
      <c r="AY184" s="130" t="n">
        <f aca="false">IVA!AT184/IVA!CM10</f>
        <v>0.000246178139301754</v>
      </c>
      <c r="AZ184" s="271" t="n">
        <f aca="false">IVA!AU184/IVA!CN10</f>
        <v>0.00112526071763858</v>
      </c>
      <c r="BA184" s="266" t="n">
        <v>2000</v>
      </c>
      <c r="BB184" s="352" t="s">
        <v>578</v>
      </c>
      <c r="BC184" s="353"/>
      <c r="BD184" s="353"/>
      <c r="BE184" s="353"/>
      <c r="BF184" s="354" t="n">
        <v>322578.089861343</v>
      </c>
      <c r="BG184" s="354" t="n">
        <v>269876.622353778</v>
      </c>
      <c r="BH184" s="354" t="n">
        <v>304647.843816121</v>
      </c>
      <c r="BI184" s="354" t="n">
        <v>306577.633894509</v>
      </c>
      <c r="BJ184" s="354" t="n">
        <v>342485.717200356</v>
      </c>
      <c r="BK184" s="354" t="n">
        <v>380514.573928027</v>
      </c>
      <c r="BL184" s="354" t="n">
        <v>317116.670765456</v>
      </c>
      <c r="BM184" s="354" t="n">
        <v>329047.099505082</v>
      </c>
      <c r="BN184" s="354" t="n">
        <v>315297.788904251</v>
      </c>
      <c r="BO184" s="354" t="n">
        <v>310994.654188648</v>
      </c>
      <c r="BP184" s="354" t="n">
        <v>308478.549477498</v>
      </c>
      <c r="BQ184" s="355" t="n">
        <v>317404.009878082</v>
      </c>
      <c r="BR184" s="175" t="n">
        <f aca="false">IVA!BF184+IVA!BG184+IVA!BH184</f>
        <v>897102.556031242</v>
      </c>
      <c r="BS184" s="175" t="n">
        <f aca="false">IVA!BI184+IVA!BJ184+IVA!BK184</f>
        <v>1029577.92502289</v>
      </c>
      <c r="BT184" s="175" t="n">
        <f aca="false">IVA!BL184+IVA!BM184+IVA!BN184</f>
        <v>961461.559174789</v>
      </c>
      <c r="BU184" s="176" t="n">
        <f aca="false">IVA!BO184+IVA!BP184+IVA!BQ184</f>
        <v>936877.213544228</v>
      </c>
      <c r="BV184" s="137" t="n">
        <f aca="false">IVA!BR184+IVA!BS184+IVA!BT184+IVA!BU184</f>
        <v>3825019.25377315</v>
      </c>
      <c r="BW184" s="138" t="n">
        <f aca="false">IVA!BR184/IVA!CJ9</f>
        <v>0.00331714719509859</v>
      </c>
      <c r="BX184" s="139" t="n">
        <f aca="false">IVA!BS184/IVA!CK9</f>
        <v>0.00352841680260439</v>
      </c>
      <c r="BY184" s="138" t="n">
        <f aca="false">IVA!BT184/IVA!CL9</f>
        <v>0.00334426480752688</v>
      </c>
      <c r="BZ184" s="138" t="n">
        <f aca="false">IVA!BU184/IVA!CM9</f>
        <v>0.00326348208409929</v>
      </c>
      <c r="CA184" s="273" t="n">
        <f aca="false">IVA!BV184/IVA!CN9</f>
        <v>0.0134587224749311</v>
      </c>
    </row>
    <row r="185" customFormat="false" ht="12.75" hidden="false" customHeight="true" outlineLevel="0" collapsed="false">
      <c r="AA185" s="440" t="n">
        <v>2002</v>
      </c>
      <c r="AB185" s="440" t="s">
        <v>577</v>
      </c>
      <c r="AC185" s="441"/>
      <c r="AD185" s="442"/>
      <c r="AE185" s="444" t="n">
        <v>17826.29261</v>
      </c>
      <c r="AF185" s="444" t="n">
        <v>16050.77218</v>
      </c>
      <c r="AG185" s="444" t="n">
        <v>16381.46889</v>
      </c>
      <c r="AH185" s="444" t="n">
        <v>15171.18209</v>
      </c>
      <c r="AI185" s="444" t="n">
        <v>24437.29347</v>
      </c>
      <c r="AJ185" s="444" t="n">
        <v>16544.50626</v>
      </c>
      <c r="AK185" s="444" t="n">
        <v>21059.64356</v>
      </c>
      <c r="AL185" s="444" t="n">
        <v>18714.19207</v>
      </c>
      <c r="AM185" s="444" t="n">
        <v>18426.37294</v>
      </c>
      <c r="AN185" s="444" t="n">
        <v>19230.82262</v>
      </c>
      <c r="AO185" s="444" t="n">
        <v>18643.87089</v>
      </c>
      <c r="AP185" s="444" t="n">
        <v>20770.56626</v>
      </c>
      <c r="AQ185" s="155" t="n">
        <f aca="false">IVA!AE185+IVA!AF185+IVA!AG185</f>
        <v>50258.53368</v>
      </c>
      <c r="AR185" s="155" t="n">
        <f aca="false">IVA!AH185+IVA!AI185+IVA!AJ185</f>
        <v>56152.98182</v>
      </c>
      <c r="AS185" s="155" t="n">
        <f aca="false">IVA!AK185+IVA!AL185+IVA!AM185</f>
        <v>58200.20857</v>
      </c>
      <c r="AT185" s="155" t="n">
        <f aca="false">IVA!AN185+IVA!AO185+IVA!AP185</f>
        <v>58645.25977</v>
      </c>
      <c r="AU185" s="129" t="n">
        <f aca="false">IVA!AQ185+IVA!AR185+IVA!AS185+IVA!AT185</f>
        <v>223256.98384</v>
      </c>
      <c r="AV185" s="130" t="n">
        <f aca="false">IVA!AQ185/IVA!CJ11</f>
        <v>0.000212010333717207</v>
      </c>
      <c r="AW185" s="130" t="n">
        <f aca="false">IVA!AR185/IVA!CK11</f>
        <v>0.000165639006790394</v>
      </c>
      <c r="AX185" s="130" t="n">
        <f aca="false">IVA!AS185/IVA!CL11</f>
        <v>0.000174248870813162</v>
      </c>
      <c r="AY185" s="130" t="n">
        <f aca="false">IVA!AT185/IVA!CM11</f>
        <v>0.000172359615627817</v>
      </c>
      <c r="AZ185" s="271" t="n">
        <f aca="false">IVA!AU185/IVA!CN11</f>
        <v>0.000714239174257119</v>
      </c>
      <c r="BA185" s="266" t="n">
        <v>2001</v>
      </c>
      <c r="BB185" s="352" t="s">
        <v>578</v>
      </c>
      <c r="BC185" s="353"/>
      <c r="BD185" s="353"/>
      <c r="BE185" s="353"/>
      <c r="BF185" s="354" t="n">
        <v>324094.457613154</v>
      </c>
      <c r="BG185" s="354" t="n">
        <v>285236.193783607</v>
      </c>
      <c r="BH185" s="354" t="n">
        <v>283076.420546469</v>
      </c>
      <c r="BI185" s="354" t="n">
        <v>278394.527943354</v>
      </c>
      <c r="BJ185" s="354" t="n">
        <v>372754.167464098</v>
      </c>
      <c r="BK185" s="354" t="n">
        <v>368885.528310365</v>
      </c>
      <c r="BL185" s="354" t="n">
        <v>269928.429147137</v>
      </c>
      <c r="BM185" s="354" t="n">
        <v>295958.838169829</v>
      </c>
      <c r="BN185" s="354" t="n">
        <v>254741.050274737</v>
      </c>
      <c r="BO185" s="354" t="n">
        <v>249303.248121289</v>
      </c>
      <c r="BP185" s="354" t="n">
        <v>252644.694580595</v>
      </c>
      <c r="BQ185" s="355" t="n">
        <v>201519.209525885</v>
      </c>
      <c r="BR185" s="175" t="n">
        <f aca="false">IVA!BF185+IVA!BG185+IVA!BH185</f>
        <v>892407.07194323</v>
      </c>
      <c r="BS185" s="175" t="n">
        <f aca="false">IVA!BI185+IVA!BJ185+IVA!BK185</f>
        <v>1020034.22371782</v>
      </c>
      <c r="BT185" s="175" t="n">
        <f aca="false">IVA!BL185+IVA!BM185+IVA!BN185</f>
        <v>820628.317591703</v>
      </c>
      <c r="BU185" s="176" t="n">
        <f aca="false">IVA!BO185+IVA!BP185+IVA!BQ185</f>
        <v>703467.152227769</v>
      </c>
      <c r="BV185" s="137" t="n">
        <f aca="false">IVA!BR185+IVA!BS185+IVA!BT185+IVA!BU185</f>
        <v>3436536.76548052</v>
      </c>
      <c r="BW185" s="138" t="n">
        <f aca="false">IVA!BR185/IVA!CJ10</f>
        <v>0.00338891764335847</v>
      </c>
      <c r="BX185" s="139" t="n">
        <f aca="false">IVA!BS185/IVA!CK10</f>
        <v>0.00354146485836037</v>
      </c>
      <c r="BY185" s="138" t="n">
        <f aca="false">IVA!BT185/IVA!CL10</f>
        <v>0.00302405093778235</v>
      </c>
      <c r="BZ185" s="138" t="n">
        <f aca="false">IVA!BU185/IVA!CM10</f>
        <v>0.00279083922518331</v>
      </c>
      <c r="CA185" s="273" t="n">
        <f aca="false">IVA!BV185/IVA!CN10</f>
        <v>0.0127896496402562</v>
      </c>
    </row>
    <row r="186" customFormat="false" ht="12.75" hidden="false" customHeight="true" outlineLevel="0" collapsed="false">
      <c r="AA186" s="440" t="n">
        <v>2003</v>
      </c>
      <c r="AB186" s="440" t="s">
        <v>577</v>
      </c>
      <c r="AC186" s="441"/>
      <c r="AD186" s="442"/>
      <c r="AE186" s="444" t="n">
        <v>21738.87326</v>
      </c>
      <c r="AF186" s="444" t="n">
        <v>19437.26936</v>
      </c>
      <c r="AG186" s="444" t="n">
        <v>20335.88886</v>
      </c>
      <c r="AH186" s="444" t="n">
        <v>22304.58882</v>
      </c>
      <c r="AI186" s="444" t="n">
        <v>26647.34893</v>
      </c>
      <c r="AJ186" s="444" t="n">
        <v>23970.05338</v>
      </c>
      <c r="AK186" s="444" t="n">
        <v>25345.37809</v>
      </c>
      <c r="AL186" s="444" t="n">
        <v>24796.02695</v>
      </c>
      <c r="AM186" s="444" t="n">
        <v>25444.42671</v>
      </c>
      <c r="AN186" s="444" t="n">
        <v>25879.63516</v>
      </c>
      <c r="AO186" s="444" t="n">
        <v>24415.27979</v>
      </c>
      <c r="AP186" s="444" t="n">
        <v>22426.61407</v>
      </c>
      <c r="AQ186" s="155" t="n">
        <f aca="false">IVA!AE186+IVA!AF186+IVA!AG186</f>
        <v>61512.03148</v>
      </c>
      <c r="AR186" s="155" t="n">
        <f aca="false">IVA!AH186+IVA!AI186+IVA!AJ186</f>
        <v>72921.99113</v>
      </c>
      <c r="AS186" s="155" t="n">
        <f aca="false">IVA!AK186+IVA!AL186+IVA!AM186</f>
        <v>75585.83175</v>
      </c>
      <c r="AT186" s="155" t="n">
        <f aca="false">IVA!AN186+IVA!AO186+IVA!AP186</f>
        <v>72721.52902</v>
      </c>
      <c r="AU186" s="129" t="n">
        <f aca="false">IVA!AQ186+IVA!AR186+IVA!AS186+IVA!AT186</f>
        <v>282741.38338</v>
      </c>
      <c r="AV186" s="130" t="n">
        <f aca="false">IVA!AQ186/IVA!CJ12</f>
        <v>0.000187902173984763</v>
      </c>
      <c r="AW186" s="130" t="n">
        <f aca="false">IVA!AR186/IVA!CK12</f>
        <v>0.00018270746561687</v>
      </c>
      <c r="AX186" s="130" t="n">
        <f aca="false">IVA!AS186/IVA!CL12</f>
        <v>0.00020002218435439</v>
      </c>
      <c r="AY186" s="130" t="n">
        <f aca="false">IVA!AT186/IVA!CM12</f>
        <v>0.000182136404071035</v>
      </c>
      <c r="AZ186" s="271" t="n">
        <f aca="false">IVA!AU186/IVA!CN12</f>
        <v>0.000752153078416313</v>
      </c>
      <c r="BA186" s="266" t="n">
        <v>2002</v>
      </c>
      <c r="BB186" s="352" t="s">
        <v>578</v>
      </c>
      <c r="BC186" s="353"/>
      <c r="BD186" s="353"/>
      <c r="BE186" s="353"/>
      <c r="BF186" s="354" t="n">
        <v>235887.877471161</v>
      </c>
      <c r="BG186" s="354" t="n">
        <v>215021.928376783</v>
      </c>
      <c r="BH186" s="354" t="n">
        <v>219085.608017254</v>
      </c>
      <c r="BI186" s="354" t="n">
        <v>192707.586867644</v>
      </c>
      <c r="BJ186" s="354" t="n">
        <v>339176.389181102</v>
      </c>
      <c r="BK186" s="354" t="n">
        <v>308292.329200553</v>
      </c>
      <c r="BL186" s="354" t="n">
        <v>308452.546989325</v>
      </c>
      <c r="BM186" s="354" t="n">
        <v>307825.623690439</v>
      </c>
      <c r="BN186" s="354" t="n">
        <v>293953.297552492</v>
      </c>
      <c r="BO186" s="354" t="n">
        <v>317612.729250549</v>
      </c>
      <c r="BP186" s="354" t="n">
        <v>355739.738572194</v>
      </c>
      <c r="BQ186" s="355" t="n">
        <v>314566.81853683</v>
      </c>
      <c r="BR186" s="175" t="n">
        <f aca="false">IVA!BF186+IVA!BG186+IVA!BH186</f>
        <v>669995.413865198</v>
      </c>
      <c r="BS186" s="175" t="n">
        <f aca="false">IVA!BI186+IVA!BJ186+IVA!BK186</f>
        <v>840176.305249299</v>
      </c>
      <c r="BT186" s="175" t="n">
        <f aca="false">IVA!BL186+IVA!BM186+IVA!BN186</f>
        <v>910231.468232256</v>
      </c>
      <c r="BU186" s="176" t="n">
        <f aca="false">IVA!BO186+IVA!BP186+IVA!BQ186</f>
        <v>987919.286359573</v>
      </c>
      <c r="BV186" s="137" t="n">
        <f aca="false">IVA!BR186+IVA!BS186+IVA!BT186+IVA!BU186</f>
        <v>3408322.47370633</v>
      </c>
      <c r="BW186" s="138" t="n">
        <f aca="false">IVA!BR186/IVA!CJ11</f>
        <v>0.00282630512435911</v>
      </c>
      <c r="BX186" s="139" t="n">
        <f aca="false">IVA!BS186/IVA!CK11</f>
        <v>0.00247833622044181</v>
      </c>
      <c r="BY186" s="138" t="n">
        <f aca="false">IVA!BT186/IVA!CL11</f>
        <v>0.00272519307774152</v>
      </c>
      <c r="BZ186" s="138" t="n">
        <f aca="false">IVA!BU186/IVA!CM11</f>
        <v>0.00290351494964898</v>
      </c>
      <c r="CA186" s="273" t="n">
        <f aca="false">IVA!BV186/IVA!CN11</f>
        <v>0.0109038355143533</v>
      </c>
    </row>
    <row r="187" customFormat="false" ht="12.75" hidden="false" customHeight="true" outlineLevel="0" collapsed="false">
      <c r="AA187" s="440" t="n">
        <v>2004</v>
      </c>
      <c r="AB187" s="440" t="s">
        <v>577</v>
      </c>
      <c r="AC187" s="441"/>
      <c r="AD187" s="442"/>
      <c r="AE187" s="444" t="n">
        <v>28337.77855</v>
      </c>
      <c r="AF187" s="444" t="n">
        <v>24403.73744</v>
      </c>
      <c r="AG187" s="444" t="n">
        <v>27845.59168</v>
      </c>
      <c r="AH187" s="444" t="n">
        <v>26181.86891</v>
      </c>
      <c r="AI187" s="444" t="n">
        <v>26648.54838</v>
      </c>
      <c r="AJ187" s="444" t="n">
        <v>9361.06264</v>
      </c>
      <c r="AK187" s="444" t="n">
        <v>63989.73057</v>
      </c>
      <c r="AL187" s="444" t="n">
        <v>52046.57599</v>
      </c>
      <c r="AM187" s="444" t="n">
        <v>72937.05215</v>
      </c>
      <c r="AN187" s="444" t="n">
        <v>58570.60083</v>
      </c>
      <c r="AO187" s="444" t="n">
        <v>54986.88447</v>
      </c>
      <c r="AP187" s="444" t="n">
        <v>54067.12295</v>
      </c>
      <c r="AQ187" s="155" t="n">
        <f aca="false">IVA!AE187+IVA!AF187+IVA!AG187</f>
        <v>80587.10767</v>
      </c>
      <c r="AR187" s="155" t="n">
        <f aca="false">IVA!AH187+IVA!AI187+IVA!AJ187</f>
        <v>62191.47993</v>
      </c>
      <c r="AS187" s="155" t="n">
        <f aca="false">IVA!AK187+IVA!AL187+IVA!AM187</f>
        <v>188973.35871</v>
      </c>
      <c r="AT187" s="155" t="n">
        <f aca="false">IVA!AN187+IVA!AO187+IVA!AP187</f>
        <v>167624.60825</v>
      </c>
      <c r="AU187" s="129" t="n">
        <f aca="false">IVA!AQ187+IVA!AR187+IVA!AS187+IVA!AT187</f>
        <v>499376.55456</v>
      </c>
      <c r="AV187" s="130" t="n">
        <f aca="false">IVA!AQ187/IVA!CJ13</f>
        <v>0.000205151782305756</v>
      </c>
      <c r="AW187" s="130" t="n">
        <f aca="false">IVA!AR187/IVA!CK13</f>
        <v>0.000131146698698642</v>
      </c>
      <c r="AX187" s="130" t="n">
        <f aca="false">IVA!AS187/IVA!CL13</f>
        <v>0.000418008979002708</v>
      </c>
      <c r="AY187" s="130" t="n">
        <f aca="false">IVA!AT187/IVA!CM13</f>
        <v>0.000355540986858801</v>
      </c>
      <c r="AZ187" s="271" t="n">
        <f aca="false">IVA!AU187/IVA!CN13</f>
        <v>0.00111556771741701</v>
      </c>
      <c r="BA187" s="266" t="n">
        <v>2003</v>
      </c>
      <c r="BB187" s="352" t="s">
        <v>578</v>
      </c>
      <c r="BC187" s="353"/>
      <c r="BD187" s="353"/>
      <c r="BE187" s="353"/>
      <c r="BF187" s="354" t="n">
        <v>385363.027339869</v>
      </c>
      <c r="BG187" s="354" t="n">
        <v>302539.859419958</v>
      </c>
      <c r="BH187" s="354" t="n">
        <v>323427.188556072</v>
      </c>
      <c r="BI187" s="354" t="n">
        <v>366682.225645462</v>
      </c>
      <c r="BJ187" s="354" t="n">
        <v>479799.783616893</v>
      </c>
      <c r="BK187" s="354" t="n">
        <v>435975.439505449</v>
      </c>
      <c r="BL187" s="354" t="n">
        <v>420628.458836471</v>
      </c>
      <c r="BM187" s="354" t="n">
        <v>436789.456121737</v>
      </c>
      <c r="BN187" s="354" t="n">
        <v>441055.327627437</v>
      </c>
      <c r="BO187" s="354" t="n">
        <v>431899.407557728</v>
      </c>
      <c r="BP187" s="354" t="n">
        <v>472118.605441784</v>
      </c>
      <c r="BQ187" s="355" t="n">
        <v>480535.556786788</v>
      </c>
      <c r="BR187" s="175" t="n">
        <f aca="false">IVA!BF187+IVA!BG187+IVA!BH187</f>
        <v>1011330.0753159</v>
      </c>
      <c r="BS187" s="175" t="n">
        <f aca="false">IVA!BI187+IVA!BJ187+IVA!BK187</f>
        <v>1282457.4487678</v>
      </c>
      <c r="BT187" s="175" t="n">
        <f aca="false">IVA!BL187+IVA!BM187+IVA!BN187</f>
        <v>1298473.24258565</v>
      </c>
      <c r="BU187" s="176" t="n">
        <f aca="false">IVA!BO187+IVA!BP187+IVA!BQ187</f>
        <v>1384553.5697863</v>
      </c>
      <c r="BV187" s="137" t="n">
        <f aca="false">IVA!BR187+IVA!BS187+IVA!BT187+IVA!BU187</f>
        <v>4976814.33645565</v>
      </c>
      <c r="BW187" s="138" t="n">
        <f aca="false">IVA!BR187/IVA!CJ12</f>
        <v>0.00308933252886987</v>
      </c>
      <c r="BX187" s="139" t="n">
        <f aca="false">IVA!BS187/IVA!CK12</f>
        <v>0.00321322205544447</v>
      </c>
      <c r="BY187" s="138" t="n">
        <f aca="false">IVA!BT187/IVA!CL12</f>
        <v>0.00343613939668936</v>
      </c>
      <c r="BZ187" s="138" t="n">
        <f aca="false">IVA!BU187/IVA!CM12</f>
        <v>0.00346771598236385</v>
      </c>
      <c r="CA187" s="273" t="n">
        <f aca="false">IVA!BV187/IVA!CN12</f>
        <v>0.0132393998328875</v>
      </c>
    </row>
    <row r="188" customFormat="false" ht="12.75" hidden="false" customHeight="true" outlineLevel="0" collapsed="false">
      <c r="AA188" s="440" t="n">
        <v>2005</v>
      </c>
      <c r="AB188" s="440" t="s">
        <v>577</v>
      </c>
      <c r="AC188" s="441"/>
      <c r="AD188" s="442"/>
      <c r="AE188" s="444" t="n">
        <v>57209.00152</v>
      </c>
      <c r="AF188" s="444" t="n">
        <v>62154.71454</v>
      </c>
      <c r="AG188" s="444" t="n">
        <v>61854.01335</v>
      </c>
      <c r="AH188" s="444" t="n">
        <v>60897.39853</v>
      </c>
      <c r="AI188" s="444" t="n">
        <v>61961.78799</v>
      </c>
      <c r="AJ188" s="444" t="n">
        <v>62725.21335</v>
      </c>
      <c r="AK188" s="444" t="n">
        <v>62579.46453</v>
      </c>
      <c r="AL188" s="444" t="n">
        <v>64402.35802</v>
      </c>
      <c r="AM188" s="444" t="n">
        <v>64679.73423</v>
      </c>
      <c r="AN188" s="444" t="n">
        <v>63848.60518</v>
      </c>
      <c r="AO188" s="444" t="n">
        <v>67326.55875</v>
      </c>
      <c r="AP188" s="444" t="n">
        <v>67283.24426</v>
      </c>
      <c r="AQ188" s="155" t="n">
        <f aca="false">IVA!AE188+IVA!AF188+IVA!AG188</f>
        <v>181217.72941</v>
      </c>
      <c r="AR188" s="155" t="n">
        <f aca="false">IVA!AH188+IVA!AI188+IVA!AJ188</f>
        <v>185584.39987</v>
      </c>
      <c r="AS188" s="155" t="n">
        <f aca="false">IVA!AK188+IVA!AL188+IVA!AM188</f>
        <v>191661.55678</v>
      </c>
      <c r="AT188" s="155" t="n">
        <f aca="false">IVA!AN188+IVA!AO188+IVA!AP188</f>
        <v>198458.40819</v>
      </c>
      <c r="AU188" s="129" t="n">
        <f aca="false">IVA!AQ188+IVA!AR188+IVA!AS188+IVA!AT188</f>
        <v>756922.09425</v>
      </c>
      <c r="AV188" s="130" t="n">
        <f aca="false">IVA!AQ188/IVA!CJ14</f>
        <v>0.000396742583500451</v>
      </c>
      <c r="AW188" s="130" t="n">
        <f aca="false">IVA!AR188/IVA!CK14</f>
        <v>0.000335952979101734</v>
      </c>
      <c r="AX188" s="130" t="n">
        <f aca="false">IVA!AS188/IVA!CL14</f>
        <v>0.000352171328955355</v>
      </c>
      <c r="AY188" s="130" t="n">
        <f aca="false">IVA!AT188/IVA!CM14</f>
        <v>0.000345534968950724</v>
      </c>
      <c r="AZ188" s="271" t="n">
        <f aca="false">IVA!AU188/IVA!CN14</f>
        <v>0.00142294979200298</v>
      </c>
      <c r="BA188" s="266" t="n">
        <v>2004</v>
      </c>
      <c r="BB188" s="352" t="s">
        <v>578</v>
      </c>
      <c r="BC188" s="353"/>
      <c r="BD188" s="353"/>
      <c r="BE188" s="353"/>
      <c r="BF188" s="354" t="n">
        <v>533928.179926968</v>
      </c>
      <c r="BG188" s="354" t="n">
        <v>461288.503273922</v>
      </c>
      <c r="BH188" s="354" t="n">
        <v>486449.997174874</v>
      </c>
      <c r="BI188" s="354" t="n">
        <v>489363.192498927</v>
      </c>
      <c r="BJ188" s="354" t="n">
        <v>931413.493293141</v>
      </c>
      <c r="BK188" s="354" t="n">
        <v>742646.851958237</v>
      </c>
      <c r="BL188" s="354" t="n">
        <v>609312.615012153</v>
      </c>
      <c r="BM188" s="354" t="n">
        <v>627540.207039833</v>
      </c>
      <c r="BN188" s="354" t="n">
        <v>591827.434095971</v>
      </c>
      <c r="BO188" s="354" t="n">
        <v>585178.906707235</v>
      </c>
      <c r="BP188" s="354" t="n">
        <v>609506.749785918</v>
      </c>
      <c r="BQ188" s="355" t="n">
        <v>552806.795567505</v>
      </c>
      <c r="BR188" s="175" t="n">
        <f aca="false">IVA!BF188+IVA!BG188+IVA!BH188</f>
        <v>1481666.68037576</v>
      </c>
      <c r="BS188" s="175" t="n">
        <f aca="false">IVA!BI188+IVA!BJ188+IVA!BK188</f>
        <v>2163423.5377503</v>
      </c>
      <c r="BT188" s="175" t="n">
        <f aca="false">IVA!BL188+IVA!BM188+IVA!BN188</f>
        <v>1828680.25614796</v>
      </c>
      <c r="BU188" s="176" t="n">
        <f aca="false">IVA!BO188+IVA!BP188+IVA!BQ188</f>
        <v>1747492.45206066</v>
      </c>
      <c r="BV188" s="137" t="n">
        <f aca="false">IVA!BR188+IVA!BS188+IVA!BT188+IVA!BU188</f>
        <v>7221262.92633469</v>
      </c>
      <c r="BW188" s="138" t="n">
        <f aca="false">IVA!BR188/IVA!CJ13</f>
        <v>0.00377190060607297</v>
      </c>
      <c r="BX188" s="139" t="n">
        <f aca="false">IVA!BS188/IVA!CK13</f>
        <v>0.00456213383541025</v>
      </c>
      <c r="BY188" s="138" t="n">
        <f aca="false">IVA!BT188/IVA!CL13</f>
        <v>0.00404503985118813</v>
      </c>
      <c r="BZ188" s="138" t="n">
        <f aca="false">IVA!BU188/IVA!CM13</f>
        <v>0.00370652732567358</v>
      </c>
      <c r="CA188" s="273" t="n">
        <f aca="false">IVA!BV188/IVA!CN13</f>
        <v>0.0161317301063468</v>
      </c>
    </row>
    <row r="189" customFormat="false" ht="12.75" hidden="false" customHeight="true" outlineLevel="0" collapsed="false">
      <c r="AA189" s="440" t="n">
        <v>2006</v>
      </c>
      <c r="AB189" s="440" t="s">
        <v>577</v>
      </c>
      <c r="AC189" s="441"/>
      <c r="AD189" s="442"/>
      <c r="AE189" s="444" t="n">
        <v>65230.45152</v>
      </c>
      <c r="AF189" s="444" t="n">
        <v>64294.09462</v>
      </c>
      <c r="AG189" s="444" t="n">
        <v>70239.97609</v>
      </c>
      <c r="AH189" s="444" t="n">
        <v>66618.06041</v>
      </c>
      <c r="AI189" s="444" t="n">
        <v>71913.64916</v>
      </c>
      <c r="AJ189" s="444" t="n">
        <v>71548.5353</v>
      </c>
      <c r="AK189" s="444" t="n">
        <v>73217.0929</v>
      </c>
      <c r="AL189" s="444" t="n">
        <v>73336.79159</v>
      </c>
      <c r="AM189" s="444" t="n">
        <v>75251.00339</v>
      </c>
      <c r="AN189" s="444" t="n">
        <v>79999.02656</v>
      </c>
      <c r="AO189" s="444" t="n">
        <v>78451.83047</v>
      </c>
      <c r="AP189" s="444" t="n">
        <v>78645.20651</v>
      </c>
      <c r="AQ189" s="155" t="n">
        <f aca="false">IVA!AE189+IVA!AF189+IVA!AG189</f>
        <v>199764.52223</v>
      </c>
      <c r="AR189" s="155" t="n">
        <f aca="false">IVA!AH189+IVA!AI189+IVA!AJ189</f>
        <v>210080.24487</v>
      </c>
      <c r="AS189" s="155" t="n">
        <f aca="false">IVA!AK189+IVA!AL189+IVA!AM189</f>
        <v>221804.88788</v>
      </c>
      <c r="AT189" s="155" t="n">
        <f aca="false">IVA!AN189+IVA!AO189+IVA!AP189</f>
        <v>237096.06354</v>
      </c>
      <c r="AU189" s="129" t="n">
        <f aca="false">IVA!AQ189+IVA!AR189+IVA!AS189+IVA!AT189</f>
        <v>868745.71852</v>
      </c>
      <c r="AV189" s="130" t="n">
        <f aca="false">IVA!AQ189/IVA!CJ15</f>
        <v>0.000351701817677652</v>
      </c>
      <c r="AW189" s="130" t="n">
        <f aca="false">IVA!AR189/IVA!CK15</f>
        <v>0.000309725654764248</v>
      </c>
      <c r="AX189" s="130" t="n">
        <f aca="false">IVA!AS189/IVA!CL15</f>
        <v>0.000331945237422354</v>
      </c>
      <c r="AY189" s="130" t="n">
        <f aca="false">IVA!AT189/IVA!CM15</f>
        <v>0.00033712613393045</v>
      </c>
      <c r="AZ189" s="271" t="n">
        <f aca="false">IVA!AU189/IVA!CN15</f>
        <v>0.00132746633086036</v>
      </c>
      <c r="BA189" s="266" t="n">
        <v>2005</v>
      </c>
      <c r="BB189" s="352" t="s">
        <v>578</v>
      </c>
      <c r="BC189" s="353"/>
      <c r="BD189" s="353"/>
      <c r="BE189" s="353"/>
      <c r="BF189" s="354" t="n">
        <v>652215.413254688</v>
      </c>
      <c r="BG189" s="354" t="n">
        <v>599203.96178407</v>
      </c>
      <c r="BH189" s="354" t="n">
        <v>616688.910705156</v>
      </c>
      <c r="BI189" s="354" t="n">
        <v>681725.423500106</v>
      </c>
      <c r="BJ189" s="354" t="n">
        <v>868203.586660699</v>
      </c>
      <c r="BK189" s="354" t="n">
        <v>837542.733140231</v>
      </c>
      <c r="BL189" s="354" t="n">
        <v>690896.3456113</v>
      </c>
      <c r="BM189" s="354" t="n">
        <v>742599.201540371</v>
      </c>
      <c r="BN189" s="354" t="n">
        <v>748950.579812987</v>
      </c>
      <c r="BO189" s="354" t="n">
        <v>713365.587330868</v>
      </c>
      <c r="BP189" s="354" t="n">
        <v>749877.792265187</v>
      </c>
      <c r="BQ189" s="355" t="n">
        <v>815024.647107337</v>
      </c>
      <c r="BR189" s="175" t="n">
        <f aca="false">IVA!BF189+IVA!BG189+IVA!BH189</f>
        <v>1868108.28574391</v>
      </c>
      <c r="BS189" s="175" t="n">
        <f aca="false">IVA!BI189+IVA!BJ189+IVA!BK189</f>
        <v>2387471.74330104</v>
      </c>
      <c r="BT189" s="175" t="n">
        <f aca="false">IVA!BL189+IVA!BM189+IVA!BN189</f>
        <v>2182446.12696466</v>
      </c>
      <c r="BU189" s="176" t="n">
        <f aca="false">IVA!BO189+IVA!BP189+IVA!BQ189</f>
        <v>2278268.02670339</v>
      </c>
      <c r="BV189" s="137" t="n">
        <f aca="false">IVA!BR189+IVA!BS189+IVA!BT189+IVA!BU189</f>
        <v>8716294.182713</v>
      </c>
      <c r="BW189" s="138" t="n">
        <f aca="false">IVA!BR189/IVA!CJ14</f>
        <v>0.00408987636009824</v>
      </c>
      <c r="BX189" s="139" t="n">
        <f aca="false">IVA!BS189/IVA!CK14</f>
        <v>0.00432190553325086</v>
      </c>
      <c r="BY189" s="138" t="n">
        <f aca="false">IVA!BT189/IVA!CL14</f>
        <v>0.00401016753604296</v>
      </c>
      <c r="BZ189" s="138" t="n">
        <f aca="false">IVA!BU189/IVA!CM14</f>
        <v>0.00396668137695992</v>
      </c>
      <c r="CA189" s="273" t="n">
        <f aca="false">IVA!BV189/IVA!CN14</f>
        <v>0.0163858990093527</v>
      </c>
    </row>
    <row r="190" customFormat="false" ht="12.75" hidden="false" customHeight="true" outlineLevel="0" collapsed="false">
      <c r="AA190" s="440" t="n">
        <v>2007</v>
      </c>
      <c r="AB190" s="440" t="s">
        <v>577</v>
      </c>
      <c r="AC190" s="441"/>
      <c r="AD190" s="442"/>
      <c r="AE190" s="444" t="n">
        <v>83002.68572</v>
      </c>
      <c r="AF190" s="444" t="n">
        <v>76129.37394</v>
      </c>
      <c r="AG190" s="444" t="n">
        <v>86483.63344</v>
      </c>
      <c r="AH190" s="444" t="n">
        <v>82472.06167</v>
      </c>
      <c r="AI190" s="444" t="n">
        <v>87390.07543</v>
      </c>
      <c r="AJ190" s="444" t="n">
        <v>86955.33428</v>
      </c>
      <c r="AK190" s="444" t="n">
        <v>89857.27671</v>
      </c>
      <c r="AL190" s="444" t="n">
        <v>91790.67523</v>
      </c>
      <c r="AM190" s="444" t="n">
        <v>90125.94073</v>
      </c>
      <c r="AN190" s="444" t="n">
        <v>96419.78735</v>
      </c>
      <c r="AO190" s="444" t="n">
        <v>96356.81588</v>
      </c>
      <c r="AP190" s="444" t="n">
        <v>96343.9885</v>
      </c>
      <c r="AQ190" s="155" t="n">
        <f aca="false">IVA!AE190+IVA!AF190+IVA!AG190</f>
        <v>245615.6931</v>
      </c>
      <c r="AR190" s="155" t="n">
        <f aca="false">IVA!AH190+IVA!AI190+IVA!AJ190</f>
        <v>256817.47138</v>
      </c>
      <c r="AS190" s="155" t="n">
        <f aca="false">IVA!AK190+IVA!AL190+IVA!AM190</f>
        <v>271773.89267</v>
      </c>
      <c r="AT190" s="155" t="n">
        <f aca="false">IVA!AN190+IVA!AO190+IVA!AP190</f>
        <v>289120.59173</v>
      </c>
      <c r="AU190" s="129" t="n">
        <f aca="false">IVA!AQ190+IVA!AR190+IVA!AS190+IVA!AT190</f>
        <v>1063327.64888</v>
      </c>
      <c r="AV190" s="130" t="n">
        <f aca="false">IVA!AQ190/IVA!CJ16</f>
        <v>0.000360605610024665</v>
      </c>
      <c r="AW190" s="130" t="n">
        <f aca="false">IVA!AR190/IVA!CK16</f>
        <v>0.000307519698552471</v>
      </c>
      <c r="AX190" s="130" t="n">
        <f aca="false">IVA!AS190/IVA!CL16</f>
        <v>0.000328442350497847</v>
      </c>
      <c r="AY190" s="130" t="n">
        <f aca="false">IVA!AT190/IVA!CM16</f>
        <v>0.000319077176867689</v>
      </c>
      <c r="AZ190" s="271" t="n">
        <f aca="false">IVA!AU190/IVA!CN16</f>
        <v>0.00130878210468447</v>
      </c>
      <c r="BA190" s="266" t="n">
        <v>2006</v>
      </c>
      <c r="BB190" s="352" t="s">
        <v>578</v>
      </c>
      <c r="BC190" s="353"/>
      <c r="BD190" s="353"/>
      <c r="BE190" s="353"/>
      <c r="BF190" s="354" t="n">
        <v>820563.650279925</v>
      </c>
      <c r="BG190" s="354" t="n">
        <v>758639.807331159</v>
      </c>
      <c r="BH190" s="354" t="n">
        <v>763029.783256119</v>
      </c>
      <c r="BI190" s="354" t="n">
        <v>712317.887546077</v>
      </c>
      <c r="BJ190" s="354" t="n">
        <v>1012182.34192885</v>
      </c>
      <c r="BK190" s="354" t="n">
        <v>1043703.71436364</v>
      </c>
      <c r="BL190" s="354" t="n">
        <v>861496.819284746</v>
      </c>
      <c r="BM190" s="354" t="n">
        <v>939028.717525088</v>
      </c>
      <c r="BN190" s="354" t="n">
        <v>908030.738017924</v>
      </c>
      <c r="BO190" s="354" t="n">
        <v>952806.408738674</v>
      </c>
      <c r="BP190" s="354" t="n">
        <v>995963.293726694</v>
      </c>
      <c r="BQ190" s="355" t="n">
        <v>1023846.10892377</v>
      </c>
      <c r="BR190" s="175" t="n">
        <f aca="false">IVA!BF190+IVA!BG190+IVA!BH190</f>
        <v>2342233.2408672</v>
      </c>
      <c r="BS190" s="175" t="n">
        <f aca="false">IVA!BI190+IVA!BJ190+IVA!BK190</f>
        <v>2768203.94383857</v>
      </c>
      <c r="BT190" s="175" t="n">
        <f aca="false">IVA!BL190+IVA!BM190+IVA!BN190</f>
        <v>2708556.27482776</v>
      </c>
      <c r="BU190" s="176" t="n">
        <f aca="false">IVA!BO190+IVA!BP190+IVA!BQ190</f>
        <v>2972615.81138914</v>
      </c>
      <c r="BV190" s="137" t="n">
        <f aca="false">IVA!BR190+IVA!BS190+IVA!BT190+IVA!BU190</f>
        <v>10791609.2709227</v>
      </c>
      <c r="BW190" s="138" t="n">
        <f aca="false">IVA!BR190/IVA!CJ15</f>
        <v>0.0041236936320933</v>
      </c>
      <c r="BX190" s="139" t="n">
        <f aca="false">IVA!BS190/IVA!CK15</f>
        <v>0.00408122039060329</v>
      </c>
      <c r="BY190" s="138" t="n">
        <f aca="false">IVA!BT190/IVA!CL15</f>
        <v>0.0040535281449971</v>
      </c>
      <c r="BZ190" s="138" t="n">
        <f aca="false">IVA!BU190/IVA!CM15</f>
        <v>0.00422675290846859</v>
      </c>
      <c r="CA190" s="273" t="n">
        <f aca="false">IVA!BV190/IVA!CN15</f>
        <v>0.0164898630952166</v>
      </c>
    </row>
    <row r="191" customFormat="false" ht="12.75" hidden="false" customHeight="true" outlineLevel="0" collapsed="false">
      <c r="AA191" s="440" t="n">
        <v>2008</v>
      </c>
      <c r="AB191" s="440" t="s">
        <v>577</v>
      </c>
      <c r="AC191" s="441"/>
      <c r="AD191" s="442"/>
      <c r="AE191" s="444" t="n">
        <v>103441.82324</v>
      </c>
      <c r="AF191" s="444" t="n">
        <v>101232.85045</v>
      </c>
      <c r="AG191" s="444" t="n">
        <v>97459.2236</v>
      </c>
      <c r="AH191" s="444" t="n">
        <v>111151.40187</v>
      </c>
      <c r="AI191" s="444" t="n">
        <v>112632.82987</v>
      </c>
      <c r="AJ191" s="444" t="n">
        <v>110336.04542</v>
      </c>
      <c r="AK191" s="444" t="n">
        <v>116937.56322</v>
      </c>
      <c r="AL191" s="444" t="n">
        <v>114967.50457</v>
      </c>
      <c r="AM191" s="444" t="n">
        <v>119765.11594</v>
      </c>
      <c r="AN191" s="444" t="n">
        <v>124581.24714</v>
      </c>
      <c r="AO191" s="444" t="n">
        <v>118959.89573</v>
      </c>
      <c r="AP191" s="444" t="n">
        <v>123243.62118</v>
      </c>
      <c r="AQ191" s="155" t="n">
        <f aca="false">IVA!AE191+IVA!AF191+IVA!AG191</f>
        <v>302133.89729</v>
      </c>
      <c r="AR191" s="155" t="n">
        <f aca="false">IVA!AH191+IVA!AI191+IVA!AJ191</f>
        <v>334120.27716</v>
      </c>
      <c r="AS191" s="155" t="n">
        <f aca="false">IVA!AK191+IVA!AL191+IVA!AM191</f>
        <v>351670.18373</v>
      </c>
      <c r="AT191" s="155" t="n">
        <f aca="false">IVA!AN191+IVA!AO191+IVA!AP191</f>
        <v>366784.76405</v>
      </c>
      <c r="AU191" s="129" t="n">
        <f aca="false">IVA!AQ191+IVA!AR191+IVA!AS191+IVA!AT191</f>
        <v>1354709.12223</v>
      </c>
      <c r="AV191" s="130" t="n">
        <f aca="false">IVA!AQ191/IVA!CJ17</f>
        <v>0.000340377716367954</v>
      </c>
      <c r="AW191" s="130" t="n">
        <f aca="false">IVA!AR191/IVA!CK17</f>
        <v>0.000301568154051918</v>
      </c>
      <c r="AX191" s="130" t="n">
        <f aca="false">IVA!AS191/IVA!CL17</f>
        <v>0.000332532664996586</v>
      </c>
      <c r="AY191" s="130" t="n">
        <f aca="false">IVA!AT191/IVA!CM17</f>
        <v>0.000340278312211323</v>
      </c>
      <c r="AZ191" s="271" t="n">
        <f aca="false">IVA!AU191/IVA!CN17</f>
        <v>0.00131173917048331</v>
      </c>
      <c r="BA191" s="266" t="n">
        <v>2007</v>
      </c>
      <c r="BB191" s="352" t="s">
        <v>578</v>
      </c>
      <c r="BC191" s="353"/>
      <c r="BD191" s="353"/>
      <c r="BE191" s="353"/>
      <c r="BF191" s="354" t="n">
        <v>1028013.855411</v>
      </c>
      <c r="BG191" s="354" t="n">
        <v>948377.814572134</v>
      </c>
      <c r="BH191" s="354" t="n">
        <v>956683.487725148</v>
      </c>
      <c r="BI191" s="354" t="n">
        <v>906210.485215681</v>
      </c>
      <c r="BJ191" s="354" t="n">
        <v>1322303.40288356</v>
      </c>
      <c r="BK191" s="354" t="n">
        <v>1326322.86390086</v>
      </c>
      <c r="BL191" s="354" t="n">
        <v>1197568.52208803</v>
      </c>
      <c r="BM191" s="354" t="n">
        <v>1300969.82044655</v>
      </c>
      <c r="BN191" s="354" t="n">
        <v>1172047.26968994</v>
      </c>
      <c r="BO191" s="354" t="n">
        <v>1231655.28305434</v>
      </c>
      <c r="BP191" s="354" t="n">
        <v>1297351.54301345</v>
      </c>
      <c r="BQ191" s="355" t="n">
        <v>1379782.05524382</v>
      </c>
      <c r="BR191" s="175" t="n">
        <f aca="false">IVA!BF191+IVA!BG191+IVA!BH191</f>
        <v>2933075.15770828</v>
      </c>
      <c r="BS191" s="175" t="n">
        <f aca="false">IVA!BI191+IVA!BJ191+IVA!BK191</f>
        <v>3554836.7520001</v>
      </c>
      <c r="BT191" s="175" t="n">
        <f aca="false">IVA!BL191+IVA!BM191+IVA!BN191</f>
        <v>3670585.61222452</v>
      </c>
      <c r="BU191" s="176" t="n">
        <f aca="false">IVA!BO191+IVA!BP191+IVA!BQ191</f>
        <v>3908788.88131161</v>
      </c>
      <c r="BV191" s="137" t="n">
        <f aca="false">IVA!BR191+IVA!BS191+IVA!BT191+IVA!BU191</f>
        <v>14067286.4032445</v>
      </c>
      <c r="BW191" s="138" t="n">
        <f aca="false">IVA!BR191/IVA!CJ16</f>
        <v>0.00430625316788273</v>
      </c>
      <c r="BX191" s="139" t="n">
        <f aca="false">IVA!BS191/IVA!CK16</f>
        <v>0.00425665092216716</v>
      </c>
      <c r="BY191" s="138" t="n">
        <f aca="false">IVA!BT191/IVA!CL16</f>
        <v>0.00443595135036191</v>
      </c>
      <c r="BZ191" s="138" t="n">
        <f aca="false">IVA!BU191/IVA!CM16</f>
        <v>0.00431378932146571</v>
      </c>
      <c r="CA191" s="273" t="n">
        <f aca="false">IVA!BV191/IVA!CN16</f>
        <v>0.0173145245733334</v>
      </c>
    </row>
    <row r="192" customFormat="false" ht="12.75" hidden="false" customHeight="true" outlineLevel="0" collapsed="false">
      <c r="AA192" s="440" t="n">
        <v>2009</v>
      </c>
      <c r="AB192" s="440" t="s">
        <v>577</v>
      </c>
      <c r="AC192" s="441"/>
      <c r="AD192" s="442"/>
      <c r="AE192" s="444" t="n">
        <v>117296</v>
      </c>
      <c r="AF192" s="444" t="n">
        <v>116404</v>
      </c>
      <c r="AG192" s="444" t="n">
        <v>126784</v>
      </c>
      <c r="AH192" s="444" t="n">
        <v>126093</v>
      </c>
      <c r="AI192" s="444" t="n">
        <v>122163</v>
      </c>
      <c r="AJ192" s="444" t="n">
        <v>133944</v>
      </c>
      <c r="AK192" s="444" t="n">
        <v>131379</v>
      </c>
      <c r="AL192" s="444" t="n">
        <v>129132</v>
      </c>
      <c r="AM192" s="444" t="n">
        <v>133759</v>
      </c>
      <c r="AN192" s="444" t="n">
        <v>136788</v>
      </c>
      <c r="AO192" s="444" t="n">
        <v>135096</v>
      </c>
      <c r="AP192" s="444" t="n">
        <v>141007</v>
      </c>
      <c r="AQ192" s="155" t="n">
        <f aca="false">IVA!AE192+IVA!AF192+IVA!AG192</f>
        <v>360484</v>
      </c>
      <c r="AR192" s="155" t="n">
        <f aca="false">IVA!AH192+IVA!AI192+IVA!AJ192</f>
        <v>382200</v>
      </c>
      <c r="AS192" s="155" t="n">
        <f aca="false">IVA!AK192+IVA!AL192+IVA!AM192</f>
        <v>394270</v>
      </c>
      <c r="AT192" s="155" t="n">
        <f aca="false">IVA!AN192+IVA!AO192+IVA!AP192</f>
        <v>412891</v>
      </c>
      <c r="AU192" s="129" t="n">
        <f aca="false">IVA!AQ192+IVA!AR192+IVA!AS192+IVA!AT192</f>
        <v>1549845</v>
      </c>
      <c r="AV192" s="130" t="n">
        <f aca="false">IVA!AQ192/IVA!CJ18</f>
        <v>0.000363039068967393</v>
      </c>
      <c r="AW192" s="130" t="n">
        <f aca="false">IVA!AR192/IVA!CK18</f>
        <v>0.000319732986632112</v>
      </c>
      <c r="AX192" s="130" t="n">
        <f aca="false">IVA!AS192/IVA!CL18</f>
        <v>0.000337330354096917</v>
      </c>
      <c r="AY192" s="130" t="n">
        <f aca="false">IVA!AT192/IVA!CM18</f>
        <v>0.000337135409114477</v>
      </c>
      <c r="AZ192" s="271" t="n">
        <f aca="false">IVA!AU192/IVA!CN18</f>
        <v>0.00135303480781012</v>
      </c>
      <c r="BA192" s="266" t="n">
        <v>2008</v>
      </c>
      <c r="BB192" s="352" t="s">
        <v>578</v>
      </c>
      <c r="BC192" s="353"/>
      <c r="BD192" s="353"/>
      <c r="BE192" s="353"/>
      <c r="BF192" s="354" t="n">
        <v>1438079.2159072</v>
      </c>
      <c r="BG192" s="354" t="n">
        <v>1304825.81997678</v>
      </c>
      <c r="BH192" s="354" t="n">
        <v>1196084.91635768</v>
      </c>
      <c r="BI192" s="354" t="n">
        <v>1327003.00105675</v>
      </c>
      <c r="BJ192" s="354" t="n">
        <v>1574338.31465181</v>
      </c>
      <c r="BK192" s="354" t="n">
        <v>1673540.92098049</v>
      </c>
      <c r="BL192" s="354" t="n">
        <v>1531428.45962146</v>
      </c>
      <c r="BM192" s="354" t="n">
        <v>1582790.55186553</v>
      </c>
      <c r="BN192" s="354" t="n">
        <v>1552151.92689804</v>
      </c>
      <c r="BO192" s="354" t="n">
        <v>1575972.94403125</v>
      </c>
      <c r="BP192" s="354" t="n">
        <v>1473314.21885603</v>
      </c>
      <c r="BQ192" s="355" t="n">
        <v>1515990.70408921</v>
      </c>
      <c r="BR192" s="175" t="n">
        <f aca="false">IVA!BF192+IVA!BG192+IVA!BH192</f>
        <v>3938989.95224166</v>
      </c>
      <c r="BS192" s="175" t="n">
        <f aca="false">IVA!BI192+IVA!BJ192+IVA!BK192</f>
        <v>4574882.23668905</v>
      </c>
      <c r="BT192" s="175" t="n">
        <f aca="false">IVA!BL192+IVA!BM192+IVA!BN192</f>
        <v>4666370.93838503</v>
      </c>
      <c r="BU192" s="176" t="n">
        <f aca="false">IVA!BO192+IVA!BP192+IVA!BQ192</f>
        <v>4565277.86697649</v>
      </c>
      <c r="BV192" s="137" t="n">
        <f aca="false">IVA!BR192+IVA!BS192+IVA!BT192+IVA!BU192</f>
        <v>17745520.9942922</v>
      </c>
      <c r="BW192" s="138" t="n">
        <f aca="false">IVA!BR192/IVA!CJ17</f>
        <v>0.00443758352427909</v>
      </c>
      <c r="BX192" s="139" t="n">
        <f aca="false">IVA!BS192/IVA!CK17</f>
        <v>0.00412916810332513</v>
      </c>
      <c r="BY192" s="138" t="n">
        <f aca="false">IVA!BT192/IVA!CL17</f>
        <v>0.0044124319768751</v>
      </c>
      <c r="BZ192" s="138" t="n">
        <f aca="false">IVA!BU192/IVA!CM17</f>
        <v>0.00423535871609624</v>
      </c>
      <c r="CA192" s="273" t="n">
        <f aca="false">IVA!BV192/IVA!CN17</f>
        <v>0.0171826516902239</v>
      </c>
    </row>
    <row r="193" customFormat="false" ht="12.75" hidden="false" customHeight="true" outlineLevel="0" collapsed="false">
      <c r="AA193" s="440" t="n">
        <v>2010</v>
      </c>
      <c r="AB193" s="440" t="s">
        <v>577</v>
      </c>
      <c r="AC193" s="441"/>
      <c r="AD193" s="442"/>
      <c r="AE193" s="444" t="n">
        <v>134036</v>
      </c>
      <c r="AF193" s="444" t="n">
        <v>149528</v>
      </c>
      <c r="AG193" s="444" t="n">
        <v>158863</v>
      </c>
      <c r="AH193" s="444" t="n">
        <v>158725</v>
      </c>
      <c r="AI193" s="444" t="n">
        <v>155064</v>
      </c>
      <c r="AJ193" s="444" t="n">
        <v>178645</v>
      </c>
      <c r="AK193" s="444" t="n">
        <v>181376</v>
      </c>
      <c r="AL193" s="444" t="n">
        <v>183462</v>
      </c>
      <c r="AM193" s="444" t="n">
        <v>185513</v>
      </c>
      <c r="AN193" s="444" t="n">
        <v>196458</v>
      </c>
      <c r="AO193" s="444" t="n">
        <v>204328</v>
      </c>
      <c r="AP193" s="444" t="n">
        <v>206555</v>
      </c>
      <c r="AQ193" s="155" t="n">
        <f aca="false">IVA!AE193+IVA!AF193+IVA!AG193</f>
        <v>442427</v>
      </c>
      <c r="AR193" s="155" t="n">
        <f aca="false">IVA!AH193+IVA!AI193+IVA!AJ193</f>
        <v>492434</v>
      </c>
      <c r="AS193" s="155" t="n">
        <f aca="false">IVA!AK193+IVA!AL193+IVA!AM193</f>
        <v>550351</v>
      </c>
      <c r="AT193" s="155" t="n">
        <f aca="false">IVA!AN193+IVA!AO193+IVA!AP193</f>
        <v>607341</v>
      </c>
      <c r="AU193" s="129" t="n">
        <f aca="false">IVA!AQ193+IVA!AR193+IVA!AS193+IVA!AT193</f>
        <v>2092553</v>
      </c>
      <c r="AV193" s="130" t="n">
        <f aca="false">IVA!AQ193/IVA!CJ19</f>
        <v>0.00036342525470662</v>
      </c>
      <c r="AW193" s="130" t="n">
        <f aca="false">IVA!AR193/IVA!CK19</f>
        <v>0.000326485898144146</v>
      </c>
      <c r="AX193" s="130" t="n">
        <f aca="false">IVA!AS193/IVA!CL19</f>
        <v>0.000375446666461549</v>
      </c>
      <c r="AY193" s="130" t="n">
        <f aca="false">IVA!AT193/IVA!CM19</f>
        <v>0.000384612513911131</v>
      </c>
      <c r="AZ193" s="271" t="n">
        <f aca="false">IVA!AU193/IVA!CN19</f>
        <v>0.00145048708863152</v>
      </c>
      <c r="BA193" s="266" t="n">
        <v>2009</v>
      </c>
      <c r="BB193" s="352" t="s">
        <v>578</v>
      </c>
      <c r="BC193" s="353"/>
      <c r="BD193" s="353"/>
      <c r="BE193" s="353"/>
      <c r="BF193" s="354" t="n">
        <v>1445045.9834425</v>
      </c>
      <c r="BG193" s="354" t="n">
        <v>1436980.74655</v>
      </c>
      <c r="BH193" s="354" t="n">
        <v>1381116.8112325</v>
      </c>
      <c r="BI193" s="354" t="n">
        <v>1393846.384045</v>
      </c>
      <c r="BJ193" s="354" t="n">
        <v>1709013.790495</v>
      </c>
      <c r="BK193" s="354" t="n">
        <v>1730646.9936475</v>
      </c>
      <c r="BL193" s="354" t="n">
        <v>1631168.954305</v>
      </c>
      <c r="BM193" s="354" t="n">
        <v>1625781.4153825</v>
      </c>
      <c r="BN193" s="354" t="n">
        <v>1647746.5222525</v>
      </c>
      <c r="BO193" s="354" t="n">
        <v>1672419.87076</v>
      </c>
      <c r="BP193" s="354" t="n">
        <v>1659951.2058025</v>
      </c>
      <c r="BQ193" s="355" t="n">
        <v>1790813.5623925</v>
      </c>
      <c r="BR193" s="175" t="n">
        <f aca="false">IVA!BF193+IVA!BG193+IVA!BH193</f>
        <v>4263143.541225</v>
      </c>
      <c r="BS193" s="175" t="n">
        <f aca="false">IVA!BI193+IVA!BJ193+IVA!BK193</f>
        <v>4833507.1681875</v>
      </c>
      <c r="BT193" s="175" t="n">
        <f aca="false">IVA!BL193+IVA!BM193+IVA!BN193</f>
        <v>4904696.89194</v>
      </c>
      <c r="BU193" s="176" t="n">
        <f aca="false">IVA!BO193+IVA!BP193+IVA!BQ193</f>
        <v>5123184.638955</v>
      </c>
      <c r="BV193" s="137" t="n">
        <f aca="false">IVA!BR193+IVA!BS193+IVA!BT193+IVA!BU193</f>
        <v>19124532.2403075</v>
      </c>
      <c r="BW193" s="138" t="n">
        <f aca="false">IVA!BR193/IVA!CJ18</f>
        <v>0.00429336021038569</v>
      </c>
      <c r="BX193" s="139" t="n">
        <f aca="false">IVA!BS193/IVA!CK18</f>
        <v>0.0040435156535644</v>
      </c>
      <c r="BY193" s="138" t="n">
        <f aca="false">IVA!BT193/IVA!CL18</f>
        <v>0.00419637086082169</v>
      </c>
      <c r="BZ193" s="138" t="n">
        <f aca="false">IVA!BU193/IVA!CM18</f>
        <v>0.00418320319218171</v>
      </c>
      <c r="CA193" s="273" t="n">
        <f aca="false">IVA!BV193/IVA!CN18</f>
        <v>0.0166959649540586</v>
      </c>
    </row>
    <row r="194" customFormat="false" ht="12.75" hidden="false" customHeight="true" outlineLevel="0" collapsed="false">
      <c r="AA194" s="440" t="n">
        <v>2011</v>
      </c>
      <c r="AB194" s="440" t="s">
        <v>577</v>
      </c>
      <c r="AC194" s="441"/>
      <c r="AD194" s="442"/>
      <c r="AE194" s="444" t="n">
        <v>209780</v>
      </c>
      <c r="AF194" s="444" t="n">
        <v>209049</v>
      </c>
      <c r="AG194" s="444" t="n">
        <v>244707</v>
      </c>
      <c r="AH194" s="444" t="n">
        <v>229787</v>
      </c>
      <c r="AI194" s="444" t="n">
        <v>242926</v>
      </c>
      <c r="AJ194" s="444" t="n">
        <v>251991</v>
      </c>
      <c r="AK194" s="444" t="n">
        <v>254610</v>
      </c>
      <c r="AL194" s="444" t="n">
        <v>257389</v>
      </c>
      <c r="AM194" s="444" t="n">
        <v>255929</v>
      </c>
      <c r="AN194" s="444" t="n">
        <v>274366</v>
      </c>
      <c r="AO194" s="444" t="n">
        <v>274776</v>
      </c>
      <c r="AP194" s="444" t="n">
        <v>277726</v>
      </c>
      <c r="AQ194" s="155" t="n">
        <f aca="false">IVA!AE194+IVA!AF194+IVA!AG194</f>
        <v>663536</v>
      </c>
      <c r="AR194" s="155" t="n">
        <f aca="false">IVA!AH194+IVA!AI194+IVA!AJ194</f>
        <v>724704</v>
      </c>
      <c r="AS194" s="155" t="n">
        <f aca="false">IVA!AK194+IVA!AL194+IVA!AM194</f>
        <v>767928</v>
      </c>
      <c r="AT194" s="155" t="n">
        <f aca="false">IVA!AN194+IVA!AO194+IVA!AP194</f>
        <v>826868</v>
      </c>
      <c r="AU194" s="129" t="n">
        <f aca="false">IVA!AQ194+IVA!AR194+IVA!AS194+IVA!AT194</f>
        <v>2983036</v>
      </c>
      <c r="AV194" s="130" t="n">
        <f aca="false">IVA!AQ194/IVA!CJ20</f>
        <v>0.00042328684979395</v>
      </c>
      <c r="AW194" s="130" t="n">
        <f aca="false">IVA!AR194/IVA!CK20</f>
        <v>0.000366710846939147</v>
      </c>
      <c r="AX194" s="130" t="n">
        <f aca="false">IVA!AS194/IVA!CL20</f>
        <v>0.000411671355032212</v>
      </c>
      <c r="AY194" s="130" t="n">
        <f aca="false">IVA!AT194/IVA!CM20</f>
        <v>0.000422110453977552</v>
      </c>
      <c r="AZ194" s="271" t="n">
        <f aca="false">IVA!AU194/IVA!CN20</f>
        <v>0.00161943548003323</v>
      </c>
      <c r="BA194" s="266" t="n">
        <v>2010</v>
      </c>
      <c r="BB194" s="352" t="s">
        <v>578</v>
      </c>
      <c r="BC194" s="353"/>
      <c r="BD194" s="353"/>
      <c r="BE194" s="353"/>
      <c r="BF194" s="354" t="n">
        <v>1805770.0131475</v>
      </c>
      <c r="BG194" s="354" t="n">
        <v>1774488.2145625</v>
      </c>
      <c r="BH194" s="354" t="n">
        <v>1784196.191785</v>
      </c>
      <c r="BI194" s="354" t="n">
        <v>1824133.641505</v>
      </c>
      <c r="BJ194" s="354" t="n">
        <v>2536611.3381025</v>
      </c>
      <c r="BK194" s="354" t="n">
        <v>2442775.7508925</v>
      </c>
      <c r="BL194" s="354" t="n">
        <v>2197719.593965</v>
      </c>
      <c r="BM194" s="354" t="n">
        <v>2191343.8695325</v>
      </c>
      <c r="BN194" s="354" t="n">
        <v>2233377.8753575</v>
      </c>
      <c r="BO194" s="354" t="n">
        <v>2194574.3061325</v>
      </c>
      <c r="BP194" s="354" t="n">
        <v>2294261.9768275</v>
      </c>
      <c r="BQ194" s="355" t="n">
        <v>2527875.281425</v>
      </c>
      <c r="BR194" s="175" t="n">
        <f aca="false">IVA!BF194+IVA!BG194+IVA!BH194</f>
        <v>5364454.419495</v>
      </c>
      <c r="BS194" s="175" t="n">
        <f aca="false">IVA!BI194+IVA!BJ194+IVA!BK194</f>
        <v>6803520.7305</v>
      </c>
      <c r="BT194" s="175" t="n">
        <f aca="false">IVA!BL194+IVA!BM194+IVA!BN194</f>
        <v>6622441.338855</v>
      </c>
      <c r="BU194" s="176" t="n">
        <f aca="false">IVA!BO194+IVA!BP194+IVA!BQ194</f>
        <v>7016711.564385</v>
      </c>
      <c r="BV194" s="137" t="n">
        <f aca="false">IVA!BR194+IVA!BS194+IVA!BT194+IVA!BU194</f>
        <v>25807128.053235</v>
      </c>
      <c r="BW194" s="138" t="n">
        <f aca="false">IVA!BR194/IVA!CJ19</f>
        <v>0.0044065534286267</v>
      </c>
      <c r="BX194" s="139" t="n">
        <f aca="false">IVA!BS194/IVA!CK19</f>
        <v>0.00451076403383927</v>
      </c>
      <c r="BY194" s="138" t="n">
        <f aca="false">IVA!BT194/IVA!CL19</f>
        <v>0.00451779596023314</v>
      </c>
      <c r="BZ194" s="138" t="n">
        <f aca="false">IVA!BU194/IVA!CM19</f>
        <v>0.00444349232830884</v>
      </c>
      <c r="CA194" s="273" t="n">
        <f aca="false">IVA!BV194/IVA!CN19</f>
        <v>0.0178886298391858</v>
      </c>
    </row>
    <row r="195" customFormat="false" ht="12.75" hidden="false" customHeight="true" outlineLevel="0" collapsed="false">
      <c r="AA195" s="445" t="n">
        <v>2012</v>
      </c>
      <c r="AB195" s="445" t="s">
        <v>577</v>
      </c>
      <c r="AC195" s="446"/>
      <c r="AD195" s="447"/>
      <c r="AE195" s="448" t="n">
        <v>273341.44426</v>
      </c>
      <c r="AF195" s="448" t="n">
        <v>279927.56939</v>
      </c>
      <c r="AG195" s="448" t="n">
        <v>295038.89729</v>
      </c>
      <c r="AH195" s="448" t="n">
        <v>282400.76403</v>
      </c>
      <c r="AI195" s="448" t="n">
        <v>318640.95756</v>
      </c>
      <c r="AJ195" s="448" t="n">
        <v>319567.68857</v>
      </c>
      <c r="AK195" s="448" t="n">
        <v>334244.78108</v>
      </c>
      <c r="AL195" s="448" t="n">
        <v>340804.5229</v>
      </c>
      <c r="AM195" s="448" t="n">
        <v>323919.69611</v>
      </c>
      <c r="AN195" s="448" t="n">
        <v>365869.00488</v>
      </c>
      <c r="AO195" s="448" t="n">
        <v>344468.99655</v>
      </c>
      <c r="AP195" s="448" t="n">
        <v>346883.15965</v>
      </c>
      <c r="AQ195" s="326" t="n">
        <f aca="false">IVA!AE195+IVA!AF195+IVA!AG195</f>
        <v>848307.91094</v>
      </c>
      <c r="AR195" s="326" t="n">
        <f aca="false">IVA!AH195+IVA!AI195+IVA!AJ195</f>
        <v>920609.41016</v>
      </c>
      <c r="AS195" s="326" t="n">
        <f aca="false">IVA!AK195+IVA!AL195+IVA!AM195</f>
        <v>998969.00009</v>
      </c>
      <c r="AT195" s="326" t="n">
        <f aca="false">IVA!AN195+IVA!AO195+IVA!AP195</f>
        <v>1057221.16108</v>
      </c>
      <c r="AU195" s="250" t="n">
        <f aca="false">IVA!AQ195+IVA!AR195+IVA!AS195+IVA!AT195</f>
        <v>3825107.48227</v>
      </c>
      <c r="AV195" s="252" t="n">
        <f aca="false">IVA!AQ195/IVA!CJ21</f>
        <v>0.000452446570649116</v>
      </c>
      <c r="AW195" s="252" t="n">
        <f aca="false">IVA!AR195/IVA!CK21</f>
        <v>0.000404990728572713</v>
      </c>
      <c r="AX195" s="252" t="n">
        <f aca="false">IVA!AS195/IVA!CL21</f>
        <v>0.000457631911568406</v>
      </c>
      <c r="AY195" s="252" t="n">
        <f aca="false">IVA!AT195/IVA!CM21</f>
        <v>0.000454527702873636</v>
      </c>
      <c r="AZ195" s="296" t="n">
        <f aca="false">IVA!AU195/IVA!CN21</f>
        <v>0.00176740892744241</v>
      </c>
      <c r="BA195" s="266" t="n">
        <v>2011</v>
      </c>
      <c r="BB195" s="352" t="s">
        <v>578</v>
      </c>
      <c r="BC195" s="353"/>
      <c r="BD195" s="353"/>
      <c r="BE195" s="353"/>
      <c r="BF195" s="354" t="n">
        <v>2552881.9799575</v>
      </c>
      <c r="BG195" s="354" t="n">
        <v>2360030.52325</v>
      </c>
      <c r="BH195" s="354" t="n">
        <v>2402572.46443</v>
      </c>
      <c r="BI195" s="354" t="n">
        <v>2466878.5434775</v>
      </c>
      <c r="BJ195" s="354" t="n">
        <v>3369507.8276575</v>
      </c>
      <c r="BK195" s="354" t="n">
        <v>3202366.9154575</v>
      </c>
      <c r="BL195" s="354" t="n">
        <v>2893070.8723525</v>
      </c>
      <c r="BM195" s="354" t="n">
        <v>2973146.28802</v>
      </c>
      <c r="BN195" s="354" t="n">
        <v>3067436.3680825</v>
      </c>
      <c r="BO195" s="354" t="n">
        <v>2910988.881805</v>
      </c>
      <c r="BP195" s="354" t="n">
        <v>3213724.3972075</v>
      </c>
      <c r="BQ195" s="355" t="n">
        <v>3146353.15774</v>
      </c>
      <c r="BR195" s="175" t="n">
        <f aca="false">IVA!BF195+IVA!BG195+IVA!BH195</f>
        <v>7315484.9676375</v>
      </c>
      <c r="BS195" s="175" t="n">
        <f aca="false">IVA!BI195+IVA!BJ195+IVA!BK195</f>
        <v>9038753.2865925</v>
      </c>
      <c r="BT195" s="175" t="n">
        <f aca="false">IVA!BL195+IVA!BM195+IVA!BN195</f>
        <v>8933653.528455</v>
      </c>
      <c r="BU195" s="176" t="n">
        <f aca="false">IVA!BO195+IVA!BP195+IVA!BQ195</f>
        <v>9271066.4367525</v>
      </c>
      <c r="BV195" s="137" t="n">
        <f aca="false">IVA!BR195+IVA!BS195+IVA!BT195+IVA!BU195</f>
        <v>34558958.2194375</v>
      </c>
      <c r="BW195" s="138" t="n">
        <f aca="false">IVA!BR195/IVA!CJ20</f>
        <v>0.004666737881089</v>
      </c>
      <c r="BX195" s="139" t="n">
        <f aca="false">IVA!BS195/IVA!CK20</f>
        <v>0.00457374165590412</v>
      </c>
      <c r="BY195" s="138" t="n">
        <f aca="false">IVA!BT195/IVA!CL20</f>
        <v>0.00478915894907775</v>
      </c>
      <c r="BZ195" s="138" t="n">
        <f aca="false">IVA!BU195/IVA!CM20</f>
        <v>0.00473281595426796</v>
      </c>
      <c r="CA195" s="273" t="n">
        <f aca="false">IVA!BV195/IVA!CN20</f>
        <v>0.0187614239632184</v>
      </c>
    </row>
    <row r="196" customFormat="false" ht="12.75" hidden="false" customHeight="true" outlineLevel="0" collapsed="false">
      <c r="AA196" s="440" t="n">
        <v>2010</v>
      </c>
      <c r="AB196" s="440" t="s">
        <v>579</v>
      </c>
      <c r="AC196" s="441"/>
      <c r="AD196" s="442"/>
      <c r="AE196" s="444" t="n">
        <f aca="false">IVA!AE193*0.7</f>
        <v>93825.2</v>
      </c>
      <c r="AF196" s="444" t="n">
        <f aca="false">IVA!AF193*0.7</f>
        <v>104669.6</v>
      </c>
      <c r="AG196" s="444" t="n">
        <f aca="false">IVA!AG193*0.7</f>
        <v>111204.1</v>
      </c>
      <c r="AH196" s="444" t="n">
        <f aca="false">IVA!AH193*0.7</f>
        <v>111107.5</v>
      </c>
      <c r="AI196" s="444" t="n">
        <f aca="false">IVA!AI193*0.7</f>
        <v>108544.8</v>
      </c>
      <c r="AJ196" s="444" t="n">
        <f aca="false">IVA!AJ193*0.7</f>
        <v>125051.5</v>
      </c>
      <c r="AK196" s="444" t="n">
        <f aca="false">IVA!AK193*0.7</f>
        <v>126963.2</v>
      </c>
      <c r="AL196" s="444" t="n">
        <f aca="false">IVA!AL193*0.7</f>
        <v>128423.4</v>
      </c>
      <c r="AM196" s="444" t="n">
        <f aca="false">IVA!AM193*0.7</f>
        <v>129859.1</v>
      </c>
      <c r="AN196" s="444" t="n">
        <f aca="false">IVA!AN193*0.7</f>
        <v>137520.6</v>
      </c>
      <c r="AO196" s="444" t="n">
        <f aca="false">IVA!AO193*0.7</f>
        <v>143029.6</v>
      </c>
      <c r="AP196" s="444" t="n">
        <f aca="false">IVA!AP193*0.7</f>
        <v>144588.5</v>
      </c>
      <c r="AQ196" s="155" t="n">
        <f aca="false">IVA!AE196+IVA!AF196+IVA!AG196</f>
        <v>309698.9</v>
      </c>
      <c r="AR196" s="155" t="n">
        <f aca="false">IVA!AH196+IVA!AI196+IVA!AJ196</f>
        <v>344703.8</v>
      </c>
      <c r="AS196" s="155" t="n">
        <f aca="false">IVA!AK196+IVA!AL196+IVA!AM196</f>
        <v>385245.7</v>
      </c>
      <c r="AT196" s="155" t="n">
        <f aca="false">IVA!AN196+IVA!AO196+IVA!AP196</f>
        <v>425138.7</v>
      </c>
      <c r="AU196" s="129" t="n">
        <f aca="false">IVA!AQ196+IVA!AR196+IVA!AS196+IVA!AT196</f>
        <v>1464787.1</v>
      </c>
      <c r="AV196" s="130" t="n">
        <f aca="false">IVA!AQ196/IVA!CJ19</f>
        <v>0.000254397678294634</v>
      </c>
      <c r="AW196" s="130" t="n">
        <f aca="false">IVA!AR196/IVA!CK19</f>
        <v>0.000228540128700902</v>
      </c>
      <c r="AX196" s="130" t="n">
        <f aca="false">IVA!AS196/IVA!CL19</f>
        <v>0.000262812666523084</v>
      </c>
      <c r="AY196" s="130" t="n">
        <f aca="false">IVA!AT196/IVA!CM19</f>
        <v>0.000269228759737792</v>
      </c>
      <c r="AZ196" s="271" t="n">
        <f aca="false">IVA!AU196/IVA!CN19</f>
        <v>0.00101534096204206</v>
      </c>
      <c r="BA196" s="297" t="n">
        <v>2012</v>
      </c>
      <c r="BB196" s="361" t="s">
        <v>578</v>
      </c>
      <c r="BC196" s="362"/>
      <c r="BD196" s="362"/>
      <c r="BE196" s="362"/>
      <c r="BF196" s="363" t="n">
        <v>3262410.17615194</v>
      </c>
      <c r="BG196" s="363" t="n">
        <v>2993553.09013994</v>
      </c>
      <c r="BH196" s="363" t="n">
        <v>2913130.15551465</v>
      </c>
      <c r="BI196" s="363" t="n">
        <v>2897059.54598095</v>
      </c>
      <c r="BJ196" s="363" t="n">
        <v>3870962.29541836</v>
      </c>
      <c r="BK196" s="363" t="n">
        <v>3934984.39774302</v>
      </c>
      <c r="BL196" s="363" t="n">
        <v>3462250.73855914</v>
      </c>
      <c r="BM196" s="363" t="n">
        <v>3800547.83121923</v>
      </c>
      <c r="BN196" s="363" t="n">
        <v>3653657.01325321</v>
      </c>
      <c r="BO196" s="363" t="n">
        <v>3905951.66247366</v>
      </c>
      <c r="BP196" s="363" t="n">
        <v>4096931.15876352</v>
      </c>
      <c r="BQ196" s="364" t="n">
        <v>4142892.10030142</v>
      </c>
      <c r="BR196" s="259" t="n">
        <f aca="false">IVA!BF196+IVA!BG196+IVA!BH196</f>
        <v>9169093.42180653</v>
      </c>
      <c r="BS196" s="259" t="n">
        <f aca="false">IVA!BI196+IVA!BJ196+IVA!BK196</f>
        <v>10703006.2391423</v>
      </c>
      <c r="BT196" s="259" t="n">
        <f aca="false">IVA!BL196+IVA!BM196+IVA!BN196</f>
        <v>10916455.5830316</v>
      </c>
      <c r="BU196" s="260" t="n">
        <f aca="false">IVA!BO196+IVA!BP196+IVA!BQ196</f>
        <v>12145774.9215386</v>
      </c>
      <c r="BV196" s="261" t="n">
        <f aca="false">IVA!BR196+IVA!BS196+IVA!BT196+IVA!BU196</f>
        <v>42934330.165519</v>
      </c>
      <c r="BW196" s="264" t="n">
        <f aca="false">IVA!BR196/IVA!CJ21</f>
        <v>0.00489035269052342</v>
      </c>
      <c r="BX196" s="263" t="n">
        <f aca="false">IVA!BS196/IVA!CK21</f>
        <v>0.00470842275439614</v>
      </c>
      <c r="BY196" s="264" t="n">
        <f aca="false">IVA!BT196/IVA!CL21</f>
        <v>0.00500087433700571</v>
      </c>
      <c r="BZ196" s="264" t="n">
        <f aca="false">IVA!BU196/IVA!CM21</f>
        <v>0.00522179405590748</v>
      </c>
      <c r="CA196" s="303" t="n">
        <f aca="false">IVA!BV196/IVA!CN21</f>
        <v>0.0198380094624861</v>
      </c>
    </row>
    <row r="197" customFormat="false" ht="12.75" hidden="false" customHeight="true" outlineLevel="0" collapsed="false">
      <c r="AA197" s="440" t="n">
        <v>2011</v>
      </c>
      <c r="AB197" s="440" t="s">
        <v>579</v>
      </c>
      <c r="AC197" s="441"/>
      <c r="AD197" s="442"/>
      <c r="AE197" s="444" t="n">
        <f aca="false">IVA!AE194*0.7</f>
        <v>146846</v>
      </c>
      <c r="AF197" s="444" t="n">
        <f aca="false">IVA!AF194*0.7</f>
        <v>146334.3</v>
      </c>
      <c r="AG197" s="444" t="n">
        <f aca="false">IVA!AG194*0.7</f>
        <v>171294.9</v>
      </c>
      <c r="AH197" s="444" t="n">
        <f aca="false">IVA!AH194*0.7</f>
        <v>160850.9</v>
      </c>
      <c r="AI197" s="444" t="n">
        <f aca="false">IVA!AI194*0.7</f>
        <v>170048.2</v>
      </c>
      <c r="AJ197" s="444" t="n">
        <f aca="false">IVA!AJ194*0.7</f>
        <v>176393.7</v>
      </c>
      <c r="AK197" s="444" t="n">
        <f aca="false">IVA!AK194*0.7</f>
        <v>178227</v>
      </c>
      <c r="AL197" s="444" t="n">
        <f aca="false">IVA!AL194*0.7</f>
        <v>180172.3</v>
      </c>
      <c r="AM197" s="444" t="n">
        <f aca="false">IVA!AM194*0.7</f>
        <v>179150.3</v>
      </c>
      <c r="AN197" s="444" t="n">
        <f aca="false">IVA!AN194*0.7</f>
        <v>192056.2</v>
      </c>
      <c r="AO197" s="444" t="n">
        <f aca="false">IVA!AO194*0.7</f>
        <v>192343.2</v>
      </c>
      <c r="AP197" s="444" t="n">
        <f aca="false">IVA!AP194*0.7</f>
        <v>194408.2</v>
      </c>
      <c r="AQ197" s="155" t="n">
        <f aca="false">IVA!AE197+IVA!AF197+IVA!AG197</f>
        <v>464475.2</v>
      </c>
      <c r="AR197" s="155" t="n">
        <f aca="false">IVA!AH197+IVA!AI197+IVA!AJ197</f>
        <v>507292.8</v>
      </c>
      <c r="AS197" s="155" t="n">
        <f aca="false">IVA!AK197+IVA!AL197+IVA!AM197</f>
        <v>537549.6</v>
      </c>
      <c r="AT197" s="155" t="n">
        <f aca="false">IVA!AN197+IVA!AO197+IVA!AP197</f>
        <v>578807.6</v>
      </c>
      <c r="AU197" s="129" t="n">
        <f aca="false">IVA!AQ197+IVA!AR197+IVA!AS197+IVA!AT197</f>
        <v>2088125.2</v>
      </c>
      <c r="AV197" s="130" t="n">
        <f aca="false">IVA!AQ197/IVA!CJ20</f>
        <v>0.000296300794855765</v>
      </c>
      <c r="AW197" s="130" t="n">
        <f aca="false">IVA!AR197/IVA!CK20</f>
        <v>0.000256697592857403</v>
      </c>
      <c r="AX197" s="130" t="n">
        <f aca="false">IVA!AS197/IVA!CL20</f>
        <v>0.000288169948522549</v>
      </c>
      <c r="AY197" s="130" t="n">
        <f aca="false">IVA!AT197/IVA!CM20</f>
        <v>0.000295477317784286</v>
      </c>
      <c r="AZ197" s="271" t="n">
        <f aca="false">IVA!AU197/IVA!CN20</f>
        <v>0.00113360483602326</v>
      </c>
      <c r="BW197" s="138"/>
      <c r="BX197" s="139"/>
      <c r="BY197" s="138"/>
      <c r="BZ197" s="138"/>
      <c r="CA197" s="273"/>
    </row>
    <row r="198" customFormat="false" ht="12.75" hidden="false" customHeight="true" outlineLevel="0" collapsed="false">
      <c r="AA198" s="445" t="n">
        <v>2012</v>
      </c>
      <c r="AB198" s="445" t="s">
        <v>579</v>
      </c>
      <c r="AC198" s="446"/>
      <c r="AD198" s="447"/>
      <c r="AE198" s="448" t="n">
        <f aca="false">IVA!AE195*0.7</f>
        <v>191339.010982</v>
      </c>
      <c r="AF198" s="448" t="n">
        <f aca="false">IVA!AF195*0.7</f>
        <v>195949.298573</v>
      </c>
      <c r="AG198" s="448" t="n">
        <f aca="false">IVA!AG195*0.7</f>
        <v>206527.228103</v>
      </c>
      <c r="AH198" s="448" t="n">
        <f aca="false">IVA!AH195*0.7</f>
        <v>197680.534821</v>
      </c>
      <c r="AI198" s="448" t="n">
        <f aca="false">IVA!AI195*0.7</f>
        <v>223048.670292</v>
      </c>
      <c r="AJ198" s="448" t="n">
        <f aca="false">IVA!AJ195*0.7</f>
        <v>223697.381999</v>
      </c>
      <c r="AK198" s="448" t="n">
        <f aca="false">IVA!AK195*0.7</f>
        <v>233971.346756</v>
      </c>
      <c r="AL198" s="448" t="n">
        <f aca="false">IVA!AL195*0.7</f>
        <v>238563.16603</v>
      </c>
      <c r="AM198" s="448" t="n">
        <f aca="false">IVA!AM195*0.7</f>
        <v>226743.787277</v>
      </c>
      <c r="AN198" s="448" t="n">
        <f aca="false">IVA!AN195*0.7</f>
        <v>256108.303416</v>
      </c>
      <c r="AO198" s="448" t="n">
        <f aca="false">IVA!AO195*0.7</f>
        <v>241128.297585</v>
      </c>
      <c r="AP198" s="448" t="n">
        <f aca="false">IVA!AP195*0.7</f>
        <v>242818.211755</v>
      </c>
      <c r="AQ198" s="326" t="n">
        <f aca="false">IVA!AE198+IVA!AF198+IVA!AG198</f>
        <v>593815.537658</v>
      </c>
      <c r="AR198" s="326" t="n">
        <f aca="false">IVA!AH198+IVA!AI198+IVA!AJ198</f>
        <v>644426.587112</v>
      </c>
      <c r="AS198" s="326" t="n">
        <f aca="false">IVA!AK198+IVA!AL198+IVA!AM198</f>
        <v>699278.300063</v>
      </c>
      <c r="AT198" s="326" t="n">
        <f aca="false">IVA!AN198+IVA!AO198+IVA!AP198</f>
        <v>740054.812756</v>
      </c>
      <c r="AU198" s="250" t="n">
        <f aca="false">IVA!AQ198+IVA!AR198+IVA!AS198+IVA!AT198</f>
        <v>2677575.237589</v>
      </c>
      <c r="AV198" s="252" t="n">
        <f aca="false">IVA!AQ198/IVA!CJ21</f>
        <v>0.000316712599454381</v>
      </c>
      <c r="AW198" s="252" t="n">
        <f aca="false">IVA!AR198/IVA!CK21</f>
        <v>0.000283493510000899</v>
      </c>
      <c r="AX198" s="252" t="n">
        <f aca="false">IVA!AS198/IVA!CL21</f>
        <v>0.000320342338097884</v>
      </c>
      <c r="AY198" s="252" t="n">
        <f aca="false">IVA!AT198/IVA!CM21</f>
        <v>0.000318169392011545</v>
      </c>
      <c r="AZ198" s="296" t="n">
        <f aca="false">IVA!AU198/IVA!CN21</f>
        <v>0.00123718624920969</v>
      </c>
      <c r="BT198" s="28" t="n">
        <f aca="false">IVA!BV171-IVA!BV188</f>
        <v>40920489.9158966</v>
      </c>
      <c r="BV198" s="1" t="n">
        <f aca="false">IVA!BV179-IVA!BV196</f>
        <v>243294537.604608</v>
      </c>
      <c r="BW198" s="138"/>
      <c r="BX198" s="139"/>
      <c r="BY198" s="138"/>
      <c r="BZ198" s="138"/>
      <c r="CA198" s="273"/>
    </row>
    <row r="199" customFormat="false" ht="12.75" hidden="false" customHeight="true" outlineLevel="0" collapsed="false">
      <c r="AA199" s="449" t="n">
        <v>1996</v>
      </c>
      <c r="AB199" s="449" t="s">
        <v>580</v>
      </c>
      <c r="AC199" s="450"/>
      <c r="AD199" s="451"/>
      <c r="AE199" s="452"/>
      <c r="AF199" s="452"/>
      <c r="AG199" s="452"/>
      <c r="AH199" s="452"/>
      <c r="AI199" s="452"/>
      <c r="AJ199" s="452"/>
      <c r="AK199" s="452"/>
      <c r="AL199" s="452"/>
      <c r="AM199" s="452"/>
      <c r="AN199" s="452"/>
      <c r="AO199" s="452"/>
      <c r="AP199" s="452"/>
      <c r="AQ199" s="155"/>
      <c r="AR199" s="155"/>
      <c r="AS199" s="155"/>
      <c r="AT199" s="155"/>
      <c r="AU199" s="129"/>
      <c r="AV199" s="252"/>
      <c r="AW199" s="252"/>
      <c r="AX199" s="252"/>
      <c r="AY199" s="252"/>
      <c r="AZ199" s="296"/>
      <c r="BT199" s="453" t="n">
        <v>41227500</v>
      </c>
      <c r="BW199" s="138"/>
      <c r="BX199" s="139"/>
      <c r="BY199" s="138"/>
      <c r="BZ199" s="138"/>
      <c r="CA199" s="273"/>
    </row>
    <row r="200" customFormat="false" ht="12.75" hidden="false" customHeight="true" outlineLevel="0" collapsed="false">
      <c r="AA200" s="449" t="n">
        <v>1997</v>
      </c>
      <c r="AB200" s="449" t="s">
        <v>580</v>
      </c>
      <c r="AC200" s="450"/>
      <c r="AD200" s="451"/>
      <c r="AE200" s="452" t="n">
        <v>772289</v>
      </c>
      <c r="AF200" s="452" t="n">
        <v>562182</v>
      </c>
      <c r="AG200" s="452" t="n">
        <v>487093</v>
      </c>
      <c r="AH200" s="452" t="n">
        <v>527773</v>
      </c>
      <c r="AI200" s="452" t="n">
        <v>553766</v>
      </c>
      <c r="AJ200" s="452" t="n">
        <v>547379</v>
      </c>
      <c r="AK200" s="452" t="n">
        <v>798855</v>
      </c>
      <c r="AL200" s="452" t="n">
        <v>548101</v>
      </c>
      <c r="AM200" s="452" t="n">
        <v>571349</v>
      </c>
      <c r="AN200" s="452" t="n">
        <v>569243</v>
      </c>
      <c r="AO200" s="452" t="n">
        <v>570830</v>
      </c>
      <c r="AP200" s="452" t="n">
        <v>620354</v>
      </c>
      <c r="AQ200" s="155" t="n">
        <f aca="false">IVA!AE200+IVA!AF200+IVA!AG200</f>
        <v>1821564</v>
      </c>
      <c r="AR200" s="155" t="n">
        <f aca="false">IVA!AH200+IVA!AI200+IVA!AJ200</f>
        <v>1628918</v>
      </c>
      <c r="AS200" s="155" t="n">
        <f aca="false">IVA!AK200+IVA!AL200+IVA!AM200</f>
        <v>1918305</v>
      </c>
      <c r="AT200" s="155" t="n">
        <f aca="false">IVA!AN200+IVA!AO200+IVA!AP200</f>
        <v>1760427</v>
      </c>
      <c r="AU200" s="129" t="n">
        <f aca="false">IVA!AQ200+IVA!AR200+IVA!AS200+IVA!AT200</f>
        <v>7129214</v>
      </c>
      <c r="AV200" s="130" t="n">
        <f aca="false">IVA!AQ200/IVA!CJ6</f>
        <v>0.00671519575315196</v>
      </c>
      <c r="AW200" s="130" t="n">
        <f aca="false">IVA!AR200/IVA!CK6</f>
        <v>0.00543203457934079</v>
      </c>
      <c r="AX200" s="130" t="n">
        <f aca="false">IVA!AS200/IVA!CL6</f>
        <v>0.00643154595615496</v>
      </c>
      <c r="AY200" s="130" t="n">
        <f aca="false">IVA!AT200/IVA!CM6</f>
        <v>0.00582850430003954</v>
      </c>
      <c r="AZ200" s="271" t="n">
        <f aca="false">IVA!AU200/IVA!CN6</f>
        <v>0.0243435133843587</v>
      </c>
      <c r="BS200" s="1" t="n">
        <v>32721.9</v>
      </c>
      <c r="BT200" s="1" t="n">
        <f aca="false">IVA!BS200*1000</f>
        <v>32721900</v>
      </c>
      <c r="BV200" s="1" t="n">
        <v>170234938</v>
      </c>
      <c r="BW200" s="138"/>
      <c r="BX200" s="139"/>
      <c r="BY200" s="138"/>
      <c r="BZ200" s="138"/>
      <c r="CA200" s="273"/>
    </row>
    <row r="201" customFormat="false" ht="12.75" hidden="false" customHeight="true" outlineLevel="0" collapsed="false">
      <c r="AA201" s="449" t="n">
        <v>1998</v>
      </c>
      <c r="AB201" s="449" t="s">
        <v>580</v>
      </c>
      <c r="AC201" s="450"/>
      <c r="AD201" s="451"/>
      <c r="AE201" s="452" t="n">
        <v>852262</v>
      </c>
      <c r="AF201" s="452" t="n">
        <v>618550</v>
      </c>
      <c r="AG201" s="452" t="n">
        <v>572149</v>
      </c>
      <c r="AH201" s="452" t="n">
        <v>577052</v>
      </c>
      <c r="AI201" s="452" t="n">
        <v>606386</v>
      </c>
      <c r="AJ201" s="452" t="n">
        <v>654121</v>
      </c>
      <c r="AK201" s="452" t="n">
        <v>883191</v>
      </c>
      <c r="AL201" s="452" t="n">
        <v>618691</v>
      </c>
      <c r="AM201" s="452" t="n">
        <v>601367</v>
      </c>
      <c r="AN201" s="452" t="n">
        <v>628439</v>
      </c>
      <c r="AO201" s="452" t="n">
        <v>600813</v>
      </c>
      <c r="AP201" s="452" t="n">
        <v>613369</v>
      </c>
      <c r="AQ201" s="155" t="n">
        <f aca="false">IVA!AE201+IVA!AF201+IVA!AG201</f>
        <v>2042961</v>
      </c>
      <c r="AR201" s="155" t="n">
        <f aca="false">IVA!AH201+IVA!AI201+IVA!AJ201</f>
        <v>1837559</v>
      </c>
      <c r="AS201" s="155" t="n">
        <f aca="false">IVA!AK201+IVA!AL201+IVA!AM201</f>
        <v>2103249</v>
      </c>
      <c r="AT201" s="155" t="n">
        <f aca="false">IVA!AN201+IVA!AO201+IVA!AP201</f>
        <v>1842621</v>
      </c>
      <c r="AU201" s="129" t="n">
        <f aca="false">IVA!AQ201+IVA!AR201+IVA!AS201+IVA!AT201</f>
        <v>7826390</v>
      </c>
      <c r="AV201" s="130" t="n">
        <f aca="false">IVA!AQ201/IVA!CJ7</f>
        <v>0.00722496852498904</v>
      </c>
      <c r="AW201" s="130" t="n">
        <f aca="false">IVA!AR201/IVA!CK7</f>
        <v>0.00588717596355661</v>
      </c>
      <c r="AX201" s="130" t="n">
        <f aca="false">IVA!AS201/IVA!CL7</f>
        <v>0.00688518076825187</v>
      </c>
      <c r="AY201" s="130" t="n">
        <f aca="false">IVA!AT201/IVA!CM7</f>
        <v>0.00623718029307484</v>
      </c>
      <c r="AZ201" s="271" t="n">
        <f aca="false">IVA!AU201/IVA!CN7</f>
        <v>0.0261797389952246</v>
      </c>
      <c r="BA201" s="454"/>
      <c r="BB201" s="455" t="s">
        <v>581</v>
      </c>
      <c r="BS201" s="1" t="n">
        <v>41682.1</v>
      </c>
      <c r="BT201" s="1" t="n">
        <f aca="false">IVA!BS201*1000</f>
        <v>41682100</v>
      </c>
      <c r="BV201" s="456" t="n">
        <f aca="false">IVA!BV200/IVA!BV179</f>
        <v>0.594751114121435</v>
      </c>
      <c r="BW201" s="138"/>
      <c r="BX201" s="139"/>
      <c r="BY201" s="138"/>
      <c r="BZ201" s="138"/>
      <c r="CA201" s="273"/>
    </row>
    <row r="202" customFormat="false" ht="12.75" hidden="false" customHeight="true" outlineLevel="0" collapsed="false">
      <c r="AA202" s="449" t="n">
        <v>1999</v>
      </c>
      <c r="AB202" s="449" t="s">
        <v>580</v>
      </c>
      <c r="AC202" s="450"/>
      <c r="AD202" s="451"/>
      <c r="AE202" s="457" t="n">
        <v>907824</v>
      </c>
      <c r="AF202" s="457" t="n">
        <v>591143</v>
      </c>
      <c r="AG202" s="457" t="n">
        <v>570350</v>
      </c>
      <c r="AH202" s="457" t="n">
        <v>544836</v>
      </c>
      <c r="AI202" s="457" t="n">
        <v>516740</v>
      </c>
      <c r="AJ202" s="457" t="n">
        <v>517111</v>
      </c>
      <c r="AK202" s="457" t="n">
        <v>766967</v>
      </c>
      <c r="AL202" s="457" t="n">
        <v>520456</v>
      </c>
      <c r="AM202" s="457" t="n">
        <v>515935</v>
      </c>
      <c r="AN202" s="457" t="n">
        <v>435430</v>
      </c>
      <c r="AO202" s="457" t="n">
        <v>518698</v>
      </c>
      <c r="AP202" s="457" t="n">
        <v>500064</v>
      </c>
      <c r="AQ202" s="155" t="n">
        <f aca="false">IVA!AE202+IVA!AF202+IVA!AG202</f>
        <v>2069317</v>
      </c>
      <c r="AR202" s="155" t="n">
        <f aca="false">IVA!AH202+IVA!AI202+IVA!AJ202</f>
        <v>1578687</v>
      </c>
      <c r="AS202" s="155" t="n">
        <f aca="false">IVA!AK202+IVA!AL202+IVA!AM202</f>
        <v>1803358</v>
      </c>
      <c r="AT202" s="155" t="n">
        <f aca="false">IVA!AN202+IVA!AO202+IVA!AP202</f>
        <v>1454192</v>
      </c>
      <c r="AU202" s="129" t="n">
        <f aca="false">IVA!AQ202+IVA!AR202+IVA!AS202+IVA!AT202</f>
        <v>6905554</v>
      </c>
      <c r="AV202" s="130" t="n">
        <f aca="false">IVA!AQ202/IVA!CJ8</f>
        <v>0.0076430196568001</v>
      </c>
      <c r="AW202" s="130" t="n">
        <f aca="false">IVA!AR202/IVA!CK8</f>
        <v>0.00546580267778482</v>
      </c>
      <c r="AX202" s="130" t="n">
        <f aca="false">IVA!AS202/IVA!CL8</f>
        <v>0.00632564047006817</v>
      </c>
      <c r="AY202" s="130" t="n">
        <f aca="false">IVA!AT202/IVA!CM8</f>
        <v>0.00502435090913428</v>
      </c>
      <c r="AZ202" s="271" t="n">
        <f aca="false">IVA!AU202/IVA!CN8</f>
        <v>0.0243562371162868</v>
      </c>
      <c r="BA202" s="454"/>
      <c r="BB202" s="455" t="s">
        <v>582</v>
      </c>
      <c r="BE202" s="458" t="n">
        <v>10062.3</v>
      </c>
      <c r="BU202" s="312" t="n">
        <v>221564.787400594</v>
      </c>
      <c r="BW202" s="138"/>
      <c r="BX202" s="139"/>
      <c r="BY202" s="138"/>
      <c r="BZ202" s="138"/>
      <c r="CA202" s="273"/>
    </row>
    <row r="203" customFormat="false" ht="12.75" hidden="false" customHeight="true" outlineLevel="0" collapsed="false">
      <c r="AA203" s="449" t="n">
        <v>1996</v>
      </c>
      <c r="AB203" s="449" t="s">
        <v>583</v>
      </c>
      <c r="AC203" s="450"/>
      <c r="AD203" s="451"/>
      <c r="AE203" s="459" t="n">
        <v>14681</v>
      </c>
      <c r="AF203" s="459" t="n">
        <v>13055</v>
      </c>
      <c r="AG203" s="459" t="n">
        <v>13465</v>
      </c>
      <c r="AH203" s="459" t="n">
        <v>16311</v>
      </c>
      <c r="AI203" s="459" t="n">
        <v>13696</v>
      </c>
      <c r="AJ203" s="459" t="n">
        <v>13999</v>
      </c>
      <c r="AK203" s="459" t="n">
        <v>14532</v>
      </c>
      <c r="AL203" s="459" t="n">
        <v>15344</v>
      </c>
      <c r="AM203" s="459" t="n">
        <v>14864</v>
      </c>
      <c r="AN203" s="459" t="n">
        <v>16107</v>
      </c>
      <c r="AO203" s="459" t="n">
        <v>14450</v>
      </c>
      <c r="AP203" s="459" t="n">
        <v>14403</v>
      </c>
      <c r="AQ203" s="155" t="n">
        <f aca="false">IVA!AE203+IVA!AF203+IVA!AG203</f>
        <v>41201</v>
      </c>
      <c r="AR203" s="155" t="n">
        <f aca="false">IVA!AH203+IVA!AI203+IVA!AJ203</f>
        <v>44006</v>
      </c>
      <c r="AS203" s="155" t="n">
        <f aca="false">IVA!AK203+IVA!AL203+IVA!AM203</f>
        <v>44740</v>
      </c>
      <c r="AT203" s="155" t="n">
        <f aca="false">IVA!AN203+IVA!AO203+IVA!AP203</f>
        <v>44960</v>
      </c>
      <c r="AU203" s="129"/>
      <c r="AV203" s="130"/>
      <c r="AW203" s="130"/>
      <c r="AX203" s="130"/>
      <c r="AY203" s="130"/>
      <c r="AZ203" s="271"/>
      <c r="BA203" s="454"/>
      <c r="BW203" s="138"/>
      <c r="BX203" s="139"/>
      <c r="BY203" s="138"/>
      <c r="BZ203" s="138"/>
      <c r="CA203" s="273"/>
    </row>
    <row r="204" customFormat="false" ht="12.75" hidden="false" customHeight="true" outlineLevel="0" collapsed="false">
      <c r="AA204" s="449" t="n">
        <v>1997</v>
      </c>
      <c r="AB204" s="449" t="s">
        <v>583</v>
      </c>
      <c r="AC204" s="450"/>
      <c r="AD204" s="451"/>
      <c r="AE204" s="459" t="n">
        <v>50875</v>
      </c>
      <c r="AF204" s="459" t="n">
        <v>36219</v>
      </c>
      <c r="AG204" s="459" t="n">
        <v>34731</v>
      </c>
      <c r="AH204" s="459" t="n">
        <v>37501</v>
      </c>
      <c r="AI204" s="459" t="n">
        <v>34192</v>
      </c>
      <c r="AJ204" s="459" t="n">
        <v>31927</v>
      </c>
      <c r="AK204" s="459" t="n">
        <v>32760</v>
      </c>
      <c r="AL204" s="459" t="n">
        <v>30897</v>
      </c>
      <c r="AM204" s="459" t="n">
        <v>30468</v>
      </c>
      <c r="AN204" s="459" t="n">
        <v>29537</v>
      </c>
      <c r="AO204" s="459" t="n">
        <v>26046</v>
      </c>
      <c r="AP204" s="459" t="n">
        <v>25119</v>
      </c>
      <c r="AQ204" s="155" t="n">
        <f aca="false">IVA!AE204+IVA!AF204+IVA!AG204</f>
        <v>121825</v>
      </c>
      <c r="AR204" s="155" t="n">
        <f aca="false">IVA!AH204+IVA!AI204+IVA!AJ204</f>
        <v>103620</v>
      </c>
      <c r="AS204" s="155" t="n">
        <f aca="false">IVA!AK204+IVA!AL204+IVA!AM204</f>
        <v>94125</v>
      </c>
      <c r="AT204" s="155" t="n">
        <f aca="false">IVA!AN204+IVA!AO204+IVA!AP204</f>
        <v>80702</v>
      </c>
      <c r="AU204" s="129" t="n">
        <f aca="false">IVA!AQ204+IVA!AR204+IVA!AS204+IVA!AT204</f>
        <v>400272</v>
      </c>
      <c r="AV204" s="130" t="n">
        <f aca="false">IVA!AQ204/IVA!CJ6</f>
        <v>0.000449107866991079</v>
      </c>
      <c r="AW204" s="130" t="n">
        <f aca="false">IVA!AR204/IVA!CK6</f>
        <v>0.000345546812737837</v>
      </c>
      <c r="AX204" s="130" t="n">
        <f aca="false">IVA!AS204/IVA!CL6</f>
        <v>0.000315575084839525</v>
      </c>
      <c r="AY204" s="130" t="n">
        <f aca="false">IVA!AT204/IVA!CM6</f>
        <v>0.000267191967642959</v>
      </c>
      <c r="AZ204" s="271" t="n">
        <f aca="false">IVA!AU204/IVA!CN6</f>
        <v>0.00136677434418213</v>
      </c>
      <c r="BA204" s="454"/>
      <c r="BW204" s="138"/>
      <c r="BX204" s="139"/>
      <c r="BY204" s="138"/>
      <c r="BZ204" s="138"/>
      <c r="CA204" s="273"/>
    </row>
    <row r="205" customFormat="false" ht="12.75" hidden="false" customHeight="true" outlineLevel="0" collapsed="false">
      <c r="AA205" s="449" t="n">
        <v>1998</v>
      </c>
      <c r="AB205" s="449" t="s">
        <v>583</v>
      </c>
      <c r="AC205" s="450"/>
      <c r="AD205" s="451"/>
      <c r="AE205" s="459" t="n">
        <v>26926</v>
      </c>
      <c r="AF205" s="459" t="n">
        <v>23137</v>
      </c>
      <c r="AG205" s="459" t="n">
        <v>24485</v>
      </c>
      <c r="AH205" s="459" t="n">
        <v>22275</v>
      </c>
      <c r="AI205" s="459" t="n">
        <v>14736</v>
      </c>
      <c r="AJ205" s="459" t="n">
        <v>10457</v>
      </c>
      <c r="AK205" s="459" t="n">
        <v>9372</v>
      </c>
      <c r="AL205" s="459" t="n">
        <v>8578</v>
      </c>
      <c r="AM205" s="459" t="n">
        <v>8683</v>
      </c>
      <c r="AN205" s="459" t="n">
        <v>8076</v>
      </c>
      <c r="AO205" s="459" t="n">
        <v>7997</v>
      </c>
      <c r="AP205" s="459" t="n">
        <v>7288</v>
      </c>
      <c r="AQ205" s="155" t="n">
        <f aca="false">IVA!AE205+IVA!AF205+IVA!AG205</f>
        <v>74548</v>
      </c>
      <c r="AR205" s="155" t="n">
        <f aca="false">IVA!AH205+IVA!AI205+IVA!AJ205</f>
        <v>47468</v>
      </c>
      <c r="AS205" s="155" t="n">
        <f aca="false">IVA!AK205+IVA!AL205+IVA!AM205</f>
        <v>26633</v>
      </c>
      <c r="AT205" s="155" t="n">
        <f aca="false">IVA!AN205+IVA!AO205+IVA!AP205</f>
        <v>23361</v>
      </c>
      <c r="AU205" s="129" t="n">
        <f aca="false">IVA!AQ205+IVA!AR205+IVA!AS205+IVA!AT205</f>
        <v>172010</v>
      </c>
      <c r="AV205" s="130" t="n">
        <f aca="false">IVA!AQ205/IVA!CJ7</f>
        <v>0.000263640350256751</v>
      </c>
      <c r="AW205" s="130" t="n">
        <f aca="false">IVA!AR205/IVA!CK7</f>
        <v>0.000152078093077885</v>
      </c>
      <c r="AX205" s="130" t="n">
        <f aca="false">IVA!AS205/IVA!CL7</f>
        <v>8.71855968555563E-005</v>
      </c>
      <c r="AY205" s="130" t="n">
        <f aca="false">IVA!AT205/IVA!CM7</f>
        <v>7.90758212494709E-005</v>
      </c>
      <c r="AZ205" s="271" t="n">
        <f aca="false">IVA!AU205/IVA!CN7</f>
        <v>0.000575383657672131</v>
      </c>
      <c r="BA205" s="454"/>
      <c r="BQ205" s="460" t="s">
        <v>584</v>
      </c>
      <c r="BW205" s="138"/>
      <c r="BX205" s="139"/>
      <c r="BY205" s="138"/>
      <c r="BZ205" s="138"/>
      <c r="CA205" s="273"/>
    </row>
    <row r="206" customFormat="false" ht="12.75" hidden="false" customHeight="true" outlineLevel="0" collapsed="false">
      <c r="AA206" s="449" t="n">
        <v>1999</v>
      </c>
      <c r="AB206" s="449" t="s">
        <v>583</v>
      </c>
      <c r="AC206" s="450"/>
      <c r="AD206" s="451"/>
      <c r="AE206" s="461" t="n">
        <v>6512</v>
      </c>
      <c r="AF206" s="461" t="n">
        <v>7013</v>
      </c>
      <c r="AG206" s="461" t="n">
        <v>6949</v>
      </c>
      <c r="AH206" s="461" t="n">
        <v>5550</v>
      </c>
      <c r="AI206" s="461" t="n">
        <v>5012</v>
      </c>
      <c r="AJ206" s="461" t="n">
        <v>3247</v>
      </c>
      <c r="AK206" s="461" t="n">
        <v>2388</v>
      </c>
      <c r="AL206" s="461" t="n">
        <v>2259</v>
      </c>
      <c r="AM206" s="461" t="n">
        <v>2189</v>
      </c>
      <c r="AN206" s="461" t="n">
        <v>2262</v>
      </c>
      <c r="AO206" s="461" t="n">
        <v>1868</v>
      </c>
      <c r="AP206" s="461" t="n">
        <v>1177</v>
      </c>
      <c r="AQ206" s="155" t="n">
        <f aca="false">IVA!AE206+IVA!AF206+IVA!AG206</f>
        <v>20474</v>
      </c>
      <c r="AR206" s="155" t="n">
        <f aca="false">IVA!AH206+IVA!AI206+IVA!AJ206</f>
        <v>13809</v>
      </c>
      <c r="AS206" s="155" t="n">
        <f aca="false">IVA!AK206+IVA!AL206+IVA!AM206</f>
        <v>6836</v>
      </c>
      <c r="AT206" s="155" t="n">
        <f aca="false">IVA!AN206+IVA!AO206+IVA!AP206</f>
        <v>5307</v>
      </c>
      <c r="AU206" s="129" t="n">
        <f aca="false">IVA!AQ206+IVA!AR206+IVA!AS206+IVA!AT206</f>
        <v>46426</v>
      </c>
      <c r="AV206" s="130" t="n">
        <f aca="false">IVA!AQ206/IVA!CJ8</f>
        <v>7.56206924571369E-005</v>
      </c>
      <c r="AW206" s="130" t="n">
        <f aca="false">IVA!AR206/IVA!CK8</f>
        <v>4.78101543735589E-005</v>
      </c>
      <c r="AX206" s="130" t="n">
        <f aca="false">IVA!AS206/IVA!CL8</f>
        <v>2.39786433161835E-005</v>
      </c>
      <c r="AY206" s="130" t="n">
        <f aca="false">IVA!AT206/IVA!CM8</f>
        <v>1.83361139896077E-005</v>
      </c>
      <c r="AZ206" s="271" t="n">
        <f aca="false">IVA!AU206/IVA!CN8</f>
        <v>0.000163746842666169</v>
      </c>
      <c r="BA206" s="454"/>
      <c r="BW206" s="138"/>
      <c r="BX206" s="139"/>
      <c r="BY206" s="138"/>
      <c r="BZ206" s="138"/>
      <c r="CA206" s="273"/>
    </row>
    <row r="207" customFormat="false" ht="12.75" hidden="false" customHeight="true" outlineLevel="0" collapsed="false">
      <c r="AA207" s="449" t="n">
        <v>1996</v>
      </c>
      <c r="AB207" s="449" t="s">
        <v>585</v>
      </c>
      <c r="AC207" s="450"/>
      <c r="AD207" s="451"/>
      <c r="AE207" s="459" t="n">
        <v>12907</v>
      </c>
      <c r="AF207" s="459" t="n">
        <v>12333</v>
      </c>
      <c r="AG207" s="459" t="n">
        <v>11564</v>
      </c>
      <c r="AH207" s="459" t="n">
        <v>12755</v>
      </c>
      <c r="AI207" s="459" t="n">
        <v>14422</v>
      </c>
      <c r="AJ207" s="459" t="n">
        <v>12228</v>
      </c>
      <c r="AK207" s="459" t="n">
        <v>11087</v>
      </c>
      <c r="AL207" s="459" t="n">
        <v>12324</v>
      </c>
      <c r="AM207" s="459" t="n">
        <v>10223</v>
      </c>
      <c r="AN207" s="459" t="n">
        <v>13405</v>
      </c>
      <c r="AO207" s="459" t="n">
        <v>14765</v>
      </c>
      <c r="AP207" s="459" t="n">
        <v>12071</v>
      </c>
      <c r="AQ207" s="155" t="n">
        <f aca="false">IVA!AE207+IVA!AF207+IVA!AG207</f>
        <v>36804</v>
      </c>
      <c r="AR207" s="155" t="n">
        <f aca="false">IVA!AH207+IVA!AI207+IVA!AJ207</f>
        <v>39405</v>
      </c>
      <c r="AS207" s="155" t="n">
        <f aca="false">IVA!AK207+IVA!AL207+IVA!AM207</f>
        <v>33634</v>
      </c>
      <c r="AT207" s="155" t="n">
        <f aca="false">IVA!AN207+IVA!AO207+IVA!AP207</f>
        <v>40241</v>
      </c>
      <c r="AU207" s="129"/>
      <c r="AV207" s="130"/>
      <c r="AW207" s="130"/>
      <c r="AX207" s="130"/>
      <c r="AY207" s="130"/>
      <c r="AZ207" s="271"/>
      <c r="BA207" s="454"/>
      <c r="BW207" s="138"/>
      <c r="BX207" s="139"/>
      <c r="BY207" s="138"/>
      <c r="BZ207" s="138"/>
      <c r="CA207" s="273"/>
    </row>
    <row r="208" customFormat="false" ht="12.75" hidden="false" customHeight="true" outlineLevel="0" collapsed="false">
      <c r="AA208" s="449" t="n">
        <v>1997</v>
      </c>
      <c r="AB208" s="449" t="s">
        <v>585</v>
      </c>
      <c r="AC208" s="450"/>
      <c r="AD208" s="451"/>
      <c r="AE208" s="459" t="n">
        <v>14681</v>
      </c>
      <c r="AF208" s="459" t="n">
        <v>13055</v>
      </c>
      <c r="AG208" s="459" t="n">
        <v>13465</v>
      </c>
      <c r="AH208" s="459" t="n">
        <v>16311</v>
      </c>
      <c r="AI208" s="459" t="n">
        <v>13696</v>
      </c>
      <c r="AJ208" s="459" t="n">
        <v>13999</v>
      </c>
      <c r="AK208" s="459" t="n">
        <v>14532</v>
      </c>
      <c r="AL208" s="459" t="n">
        <v>15344</v>
      </c>
      <c r="AM208" s="459" t="n">
        <v>14864</v>
      </c>
      <c r="AN208" s="459" t="n">
        <v>16107</v>
      </c>
      <c r="AO208" s="459" t="n">
        <v>14450</v>
      </c>
      <c r="AP208" s="459" t="n">
        <v>14403</v>
      </c>
      <c r="AQ208" s="155" t="n">
        <f aca="false">IVA!AE208+IVA!AF208+IVA!AG208</f>
        <v>41201</v>
      </c>
      <c r="AR208" s="155" t="n">
        <f aca="false">IVA!AH208+IVA!AI208+IVA!AJ208</f>
        <v>44006</v>
      </c>
      <c r="AS208" s="155" t="n">
        <f aca="false">IVA!AK208+IVA!AL208+IVA!AM208</f>
        <v>44740</v>
      </c>
      <c r="AT208" s="155" t="n">
        <f aca="false">IVA!AN208+IVA!AO208+IVA!AP208</f>
        <v>44960</v>
      </c>
      <c r="AU208" s="129" t="n">
        <f aca="false">IVA!AQ208+IVA!AR208+IVA!AS208+IVA!AT208</f>
        <v>174907</v>
      </c>
      <c r="AV208" s="130" t="n">
        <f aca="false">IVA!AQ208/IVA!CJ6</f>
        <v>0.000151887488018875</v>
      </c>
      <c r="AW208" s="130" t="n">
        <f aca="false">IVA!AR208/IVA!CK6</f>
        <v>0.000146749016033017</v>
      </c>
      <c r="AX208" s="130" t="n">
        <f aca="false">IVA!AS208/IVA!CL6</f>
        <v>0.000150000842451212</v>
      </c>
      <c r="AY208" s="130" t="n">
        <f aca="false">IVA!AT208/IVA!CM6</f>
        <v>0.000148855677247496</v>
      </c>
      <c r="AZ208" s="271" t="n">
        <f aca="false">IVA!AU208/IVA!CN6</f>
        <v>0.000597239877428007</v>
      </c>
      <c r="BA208" s="454"/>
      <c r="BW208" s="138"/>
      <c r="BX208" s="139"/>
      <c r="BY208" s="138"/>
      <c r="BZ208" s="138"/>
      <c r="CA208" s="273"/>
    </row>
    <row r="209" customFormat="false" ht="12.75" hidden="false" customHeight="true" outlineLevel="0" collapsed="false">
      <c r="AA209" s="449" t="n">
        <v>1998</v>
      </c>
      <c r="AB209" s="449" t="s">
        <v>585</v>
      </c>
      <c r="AC209" s="450"/>
      <c r="AD209" s="451"/>
      <c r="AE209" s="459" t="n">
        <v>14192</v>
      </c>
      <c r="AF209" s="459" t="n">
        <v>13251</v>
      </c>
      <c r="AG209" s="459" t="n">
        <v>14180</v>
      </c>
      <c r="AH209" s="459" t="n">
        <v>13722</v>
      </c>
      <c r="AI209" s="459" t="n">
        <v>14717</v>
      </c>
      <c r="AJ209" s="459" t="n">
        <v>13747</v>
      </c>
      <c r="AK209" s="459" t="n">
        <v>15700</v>
      </c>
      <c r="AL209" s="459" t="n">
        <v>14107</v>
      </c>
      <c r="AM209" s="459" t="n">
        <v>15391</v>
      </c>
      <c r="AN209" s="459" t="n">
        <v>15627</v>
      </c>
      <c r="AO209" s="459" t="n">
        <v>16510</v>
      </c>
      <c r="AP209" s="459" t="n">
        <v>15602</v>
      </c>
      <c r="AQ209" s="155" t="n">
        <f aca="false">IVA!AE209+IVA!AF209+IVA!AG209</f>
        <v>41623</v>
      </c>
      <c r="AR209" s="155" t="n">
        <f aca="false">IVA!AH209+IVA!AI209+IVA!AJ209</f>
        <v>42186</v>
      </c>
      <c r="AS209" s="155" t="n">
        <f aca="false">IVA!AK209+IVA!AL209+IVA!AM209</f>
        <v>45198</v>
      </c>
      <c r="AT209" s="155" t="n">
        <f aca="false">IVA!AN209+IVA!AO209+IVA!AP209</f>
        <v>47739</v>
      </c>
      <c r="AU209" s="129" t="n">
        <f aca="false">IVA!AQ209+IVA!AR209+IVA!AS209+IVA!AT209</f>
        <v>176746</v>
      </c>
      <c r="AV209" s="130" t="n">
        <f aca="false">IVA!AQ209/IVA!CJ7</f>
        <v>0.000147200492283318</v>
      </c>
      <c r="AW209" s="130" t="n">
        <f aca="false">IVA!AR209/IVA!CK7</f>
        <v>0.000135155608717107</v>
      </c>
      <c r="AX209" s="130" t="n">
        <f aca="false">IVA!AS209/IVA!CL7</f>
        <v>0.000147959847057314</v>
      </c>
      <c r="AY209" s="130" t="n">
        <f aca="false">IVA!AT209/IVA!CM7</f>
        <v>0.000161594136836115</v>
      </c>
      <c r="AZ209" s="271" t="n">
        <f aca="false">IVA!AU209/IVA!CN7</f>
        <v>0.000591225858722856</v>
      </c>
      <c r="BA209" s="454"/>
      <c r="BW209" s="138"/>
      <c r="BX209" s="139"/>
      <c r="BY209" s="138"/>
      <c r="BZ209" s="138"/>
      <c r="CA209" s="273"/>
    </row>
    <row r="210" customFormat="false" ht="12.75" hidden="false" customHeight="true" outlineLevel="0" collapsed="false">
      <c r="AA210" s="462" t="n">
        <v>1999</v>
      </c>
      <c r="AB210" s="462" t="s">
        <v>585</v>
      </c>
      <c r="AC210" s="463"/>
      <c r="AD210" s="464"/>
      <c r="AE210" s="465" t="n">
        <v>16102</v>
      </c>
      <c r="AF210" s="465" t="n">
        <v>14939</v>
      </c>
      <c r="AG210" s="465" t="n">
        <v>14886</v>
      </c>
      <c r="AH210" s="465" t="n">
        <v>16444</v>
      </c>
      <c r="AI210" s="465" t="n">
        <v>15859</v>
      </c>
      <c r="AJ210" s="465" t="n">
        <v>15563</v>
      </c>
      <c r="AK210" s="465" t="n">
        <v>16309</v>
      </c>
      <c r="AL210" s="465" t="n">
        <v>15447</v>
      </c>
      <c r="AM210" s="465" t="n">
        <v>15797</v>
      </c>
      <c r="AN210" s="465" t="n">
        <v>15212</v>
      </c>
      <c r="AO210" s="465" t="n">
        <v>14141</v>
      </c>
      <c r="AP210" s="465" t="n">
        <v>8166</v>
      </c>
      <c r="AQ210" s="326" t="n">
        <f aca="false">IVA!AE210+IVA!AF210+IVA!AG210</f>
        <v>45927</v>
      </c>
      <c r="AR210" s="326" t="n">
        <f aca="false">IVA!AH210+IVA!AI210+IVA!AJ210</f>
        <v>47866</v>
      </c>
      <c r="AS210" s="326" t="n">
        <f aca="false">IVA!AK210+IVA!AL210+IVA!AM210</f>
        <v>47553</v>
      </c>
      <c r="AT210" s="326" t="n">
        <f aca="false">IVA!AN210+IVA!AO210+IVA!AP210</f>
        <v>37519</v>
      </c>
      <c r="AU210" s="250" t="n">
        <f aca="false">IVA!AQ210+IVA!AR210+IVA!AS210+IVA!AT210</f>
        <v>178865</v>
      </c>
      <c r="AV210" s="252" t="n">
        <f aca="false">IVA!AQ210/IVA!CJ8</f>
        <v>0.000169631314959408</v>
      </c>
      <c r="AW210" s="252" t="n">
        <f aca="false">IVA!AR210/IVA!CK8</f>
        <v>0.000165723864816045</v>
      </c>
      <c r="AX210" s="252" t="n">
        <f aca="false">IVA!AS210/IVA!CL8</f>
        <v>0.000166801700645769</v>
      </c>
      <c r="AY210" s="252" t="n">
        <f aca="false">IVA!AT210/IVA!CM8</f>
        <v>0.000129631177836083</v>
      </c>
      <c r="AZ210" s="296" t="n">
        <f aca="false">IVA!AU210/IVA!CN8</f>
        <v>0.000630865872861851</v>
      </c>
      <c r="BA210" s="454"/>
      <c r="BW210" s="138"/>
      <c r="BX210" s="139"/>
      <c r="BY210" s="138"/>
      <c r="BZ210" s="138"/>
      <c r="CA210" s="273"/>
    </row>
    <row r="211" customFormat="false" ht="12.75" hidden="false" customHeight="true" outlineLevel="0" collapsed="false">
      <c r="AA211" s="462"/>
      <c r="AB211" s="462"/>
      <c r="AC211" s="463"/>
      <c r="AD211" s="464"/>
      <c r="AE211" s="465"/>
      <c r="AF211" s="465"/>
      <c r="AG211" s="465"/>
      <c r="AH211" s="465"/>
      <c r="AI211" s="465"/>
      <c r="AJ211" s="465"/>
      <c r="AK211" s="465"/>
      <c r="AL211" s="465"/>
      <c r="AM211" s="465"/>
      <c r="AN211" s="465"/>
      <c r="AO211" s="465"/>
      <c r="AP211" s="465"/>
      <c r="AQ211" s="326"/>
      <c r="AR211" s="326"/>
      <c r="AS211" s="326"/>
      <c r="AT211" s="326"/>
      <c r="AU211" s="250"/>
      <c r="AV211" s="252"/>
      <c r="AW211" s="252"/>
      <c r="AX211" s="252"/>
      <c r="AY211" s="252"/>
      <c r="AZ211" s="296"/>
      <c r="BA211" s="454"/>
      <c r="BW211" s="138"/>
      <c r="BX211" s="139"/>
      <c r="BY211" s="138"/>
      <c r="BZ211" s="138"/>
      <c r="CA211" s="273"/>
    </row>
    <row r="212" customFormat="false" ht="12.75" hidden="false" customHeight="true" outlineLevel="0" collapsed="false">
      <c r="AA212" s="404" t="n">
        <v>1997</v>
      </c>
      <c r="AB212" s="404" t="s">
        <v>586</v>
      </c>
      <c r="AC212" s="405"/>
      <c r="AD212" s="406"/>
      <c r="AE212" s="466" t="n">
        <f aca="false">IVA!AE200+IVA!AE204+IVA!AE208</f>
        <v>837845</v>
      </c>
      <c r="AF212" s="466" t="n">
        <f aca="false">IVA!AF200+IVA!AF204+IVA!AF208</f>
        <v>611456</v>
      </c>
      <c r="AG212" s="466" t="n">
        <f aca="false">IVA!AG200+IVA!AG204+IVA!AG208</f>
        <v>535289</v>
      </c>
      <c r="AH212" s="466" t="n">
        <f aca="false">IVA!AH200+IVA!AH204+IVA!AH208</f>
        <v>581585</v>
      </c>
      <c r="AI212" s="466" t="n">
        <f aca="false">IVA!AI200+IVA!AI204+IVA!AI208</f>
        <v>601654</v>
      </c>
      <c r="AJ212" s="466" t="n">
        <f aca="false">IVA!AJ200+IVA!AJ204+IVA!AJ208</f>
        <v>593305</v>
      </c>
      <c r="AK212" s="466" t="n">
        <f aca="false">IVA!AK200+IVA!AK204+IVA!AK208</f>
        <v>846147</v>
      </c>
      <c r="AL212" s="466" t="n">
        <f aca="false">IVA!AL200+IVA!AL204+IVA!AL208</f>
        <v>594342</v>
      </c>
      <c r="AM212" s="466" t="n">
        <f aca="false">IVA!AM200+IVA!AM204+IVA!AM208</f>
        <v>616681</v>
      </c>
      <c r="AN212" s="466" t="n">
        <f aca="false">IVA!AN200+IVA!AN204+IVA!AN208</f>
        <v>614887</v>
      </c>
      <c r="AO212" s="466" t="n">
        <f aca="false">IVA!AO200+IVA!AO204+IVA!AO208</f>
        <v>611326</v>
      </c>
      <c r="AP212" s="466" t="n">
        <f aca="false">IVA!AP200+IVA!AP204+IVA!AP208</f>
        <v>659876</v>
      </c>
      <c r="AQ212" s="155" t="n">
        <f aca="false">IVA!AE212+IVA!AF212+IVA!AG212</f>
        <v>1984590</v>
      </c>
      <c r="AR212" s="155" t="n">
        <f aca="false">IVA!AH212+IVA!AI212+IVA!AJ212</f>
        <v>1776544</v>
      </c>
      <c r="AS212" s="155" t="n">
        <f aca="false">IVA!AK212+IVA!AL212+IVA!AM212</f>
        <v>2057170</v>
      </c>
      <c r="AT212" s="155" t="n">
        <f aca="false">IVA!AN212+IVA!AO212+IVA!AP212</f>
        <v>1886089</v>
      </c>
      <c r="AU212" s="467" t="n">
        <f aca="false">IVA!AQ212+IVA!AR212+IVA!AS212+IVA!AT212</f>
        <v>7704393</v>
      </c>
      <c r="AV212" s="130" t="n">
        <f aca="false">IVA!AQ212/IVA!CJ6</f>
        <v>0.00731619110816191</v>
      </c>
      <c r="AW212" s="130" t="n">
        <f aca="false">IVA!AR212/IVA!CK6</f>
        <v>0.00592433040811164</v>
      </c>
      <c r="AX212" s="130" t="n">
        <f aca="false">IVA!AS212/IVA!CL6</f>
        <v>0.0068971218834457</v>
      </c>
      <c r="AY212" s="130" t="n">
        <f aca="false">IVA!AT212/IVA!CM6</f>
        <v>0.00624455194492999</v>
      </c>
      <c r="AZ212" s="271" t="n">
        <f aca="false">IVA!AU212/IVA!CN6</f>
        <v>0.0263075276059689</v>
      </c>
      <c r="BA212" s="454"/>
      <c r="BW212" s="264"/>
      <c r="BX212" s="263"/>
      <c r="BY212" s="264"/>
      <c r="BZ212" s="264"/>
      <c r="CA212" s="303"/>
    </row>
    <row r="213" customFormat="false" ht="12.75" hidden="false" customHeight="true" outlineLevel="0" collapsed="false">
      <c r="AA213" s="404" t="n">
        <v>1998</v>
      </c>
      <c r="AB213" s="404" t="s">
        <v>586</v>
      </c>
      <c r="AC213" s="405"/>
      <c r="AD213" s="406"/>
      <c r="AE213" s="407" t="n">
        <f aca="false">IVA!AE201+IVA!AE205+IVA!AE209</f>
        <v>893380</v>
      </c>
      <c r="AF213" s="407" t="n">
        <f aca="false">IVA!AF201+IVA!AF205+IVA!AF209</f>
        <v>654938</v>
      </c>
      <c r="AG213" s="407" t="n">
        <f aca="false">IVA!AG201+IVA!AG205+IVA!AG209</f>
        <v>610814</v>
      </c>
      <c r="AH213" s="407" t="n">
        <f aca="false">IVA!AH201+IVA!AH205+IVA!AH209</f>
        <v>613049</v>
      </c>
      <c r="AI213" s="407" t="n">
        <f aca="false">IVA!AI201+IVA!AI205+IVA!AI209</f>
        <v>635839</v>
      </c>
      <c r="AJ213" s="407" t="n">
        <f aca="false">IVA!AJ201+IVA!AJ205+IVA!AJ209</f>
        <v>678325</v>
      </c>
      <c r="AK213" s="407" t="n">
        <f aca="false">IVA!AK201+IVA!AK205+IVA!AK209</f>
        <v>908263</v>
      </c>
      <c r="AL213" s="407" t="n">
        <f aca="false">IVA!AL201+IVA!AL205+IVA!AL209</f>
        <v>641376</v>
      </c>
      <c r="AM213" s="407" t="n">
        <f aca="false">IVA!AM201+IVA!AM205+IVA!AM209</f>
        <v>625441</v>
      </c>
      <c r="AN213" s="407" t="n">
        <f aca="false">IVA!AN201+IVA!AN205+IVA!AN209</f>
        <v>652142</v>
      </c>
      <c r="AO213" s="407" t="n">
        <f aca="false">IVA!AO201+IVA!AO205+IVA!AO209</f>
        <v>625320</v>
      </c>
      <c r="AP213" s="407" t="n">
        <f aca="false">IVA!AP201+IVA!AP205+IVA!AP209</f>
        <v>636259</v>
      </c>
      <c r="AQ213" s="155" t="n">
        <f aca="false">IVA!AE213+IVA!AF213+IVA!AG213</f>
        <v>2159132</v>
      </c>
      <c r="AR213" s="155" t="n">
        <f aca="false">IVA!AH213+IVA!AI213+IVA!AJ213</f>
        <v>1927213</v>
      </c>
      <c r="AS213" s="155" t="n">
        <f aca="false">IVA!AK213+IVA!AL213+IVA!AM213</f>
        <v>2175080</v>
      </c>
      <c r="AT213" s="155" t="n">
        <f aca="false">IVA!AN213+IVA!AO213+IVA!AP213</f>
        <v>1913721</v>
      </c>
      <c r="AU213" s="467" t="n">
        <f aca="false">IVA!AQ213+IVA!AR213+IVA!AS213+IVA!AT213</f>
        <v>8175146</v>
      </c>
      <c r="AV213" s="130" t="n">
        <f aca="false">IVA!AQ213/IVA!CJ7</f>
        <v>0.00763580936752911</v>
      </c>
      <c r="AW213" s="130" t="n">
        <f aca="false">IVA!AR213/IVA!CK7</f>
        <v>0.0061744096653516</v>
      </c>
      <c r="AX213" s="130" t="n">
        <f aca="false">IVA!AS213/IVA!CL7</f>
        <v>0.00712032621216474</v>
      </c>
      <c r="AY213" s="130" t="n">
        <f aca="false">IVA!AT213/IVA!CM7</f>
        <v>0.00647785025116043</v>
      </c>
      <c r="AZ213" s="271" t="n">
        <f aca="false">IVA!AU213/IVA!CN7</f>
        <v>0.0273463485116196</v>
      </c>
      <c r="BA213" s="454"/>
      <c r="BW213" s="138"/>
      <c r="BX213" s="139"/>
      <c r="BY213" s="138"/>
      <c r="BZ213" s="138"/>
      <c r="CA213" s="273"/>
    </row>
    <row r="214" customFormat="false" ht="12.75" hidden="false" customHeight="true" outlineLevel="0" collapsed="false">
      <c r="AA214" s="404" t="n">
        <v>1999</v>
      </c>
      <c r="AB214" s="404" t="s">
        <v>586</v>
      </c>
      <c r="AC214" s="405"/>
      <c r="AD214" s="406"/>
      <c r="AE214" s="407" t="n">
        <f aca="false">IVA!AE202+IVA!AE206+IVA!AE210</f>
        <v>930438</v>
      </c>
      <c r="AF214" s="407" t="n">
        <f aca="false">IVA!AF202+IVA!AF206+IVA!AF210</f>
        <v>613095</v>
      </c>
      <c r="AG214" s="407" t="n">
        <f aca="false">IVA!AG202+IVA!AG206+IVA!AG210</f>
        <v>592185</v>
      </c>
      <c r="AH214" s="407" t="n">
        <f aca="false">IVA!AH202+IVA!AH206+IVA!AH210</f>
        <v>566830</v>
      </c>
      <c r="AI214" s="407" t="n">
        <f aca="false">IVA!AI202+IVA!AI206+IVA!AI210</f>
        <v>537611</v>
      </c>
      <c r="AJ214" s="407" t="n">
        <f aca="false">IVA!AJ202+IVA!AJ206+IVA!AJ210</f>
        <v>535921</v>
      </c>
      <c r="AK214" s="407" t="n">
        <f aca="false">IVA!AK202+IVA!AK206+IVA!AK210</f>
        <v>785664</v>
      </c>
      <c r="AL214" s="407" t="n">
        <f aca="false">IVA!AL202+IVA!AL206+IVA!AL210</f>
        <v>538162</v>
      </c>
      <c r="AM214" s="407" t="n">
        <f aca="false">IVA!AM202+IVA!AM206+IVA!AM210</f>
        <v>533921</v>
      </c>
      <c r="AN214" s="407" t="n">
        <f aca="false">IVA!AN202+IVA!AN206+IVA!AN210</f>
        <v>452904</v>
      </c>
      <c r="AO214" s="407" t="n">
        <f aca="false">IVA!AO202+IVA!AO206+IVA!AO210</f>
        <v>534707</v>
      </c>
      <c r="AP214" s="407" t="n">
        <f aca="false">IVA!AP202+IVA!AP206+IVA!AP210</f>
        <v>509407</v>
      </c>
      <c r="AQ214" s="155" t="n">
        <f aca="false">IVA!AE214+IVA!AF214+IVA!AG214</f>
        <v>2135718</v>
      </c>
      <c r="AR214" s="155" t="n">
        <f aca="false">IVA!AH214+IVA!AI214+IVA!AJ214</f>
        <v>1640362</v>
      </c>
      <c r="AS214" s="155" t="n">
        <f aca="false">IVA!AK214+IVA!AL214+IVA!AM214</f>
        <v>1857747</v>
      </c>
      <c r="AT214" s="155" t="n">
        <f aca="false">IVA!AN214+IVA!AO214+IVA!AP214</f>
        <v>1497018</v>
      </c>
      <c r="AU214" s="467" t="n">
        <f aca="false">IVA!AQ214+IVA!AR214+IVA!AS214+IVA!AT214</f>
        <v>7130845</v>
      </c>
      <c r="AV214" s="130" t="n">
        <f aca="false">IVA!AQ214/IVA!CJ8</f>
        <v>0.00788827166421665</v>
      </c>
      <c r="AW214" s="130" t="n">
        <f aca="false">IVA!AR214/IVA!CK8</f>
        <v>0.00567933669697442</v>
      </c>
      <c r="AX214" s="130" t="n">
        <f aca="false">IVA!AS214/IVA!CL8</f>
        <v>0.00651642081403012</v>
      </c>
      <c r="AY214" s="130" t="n">
        <f aca="false">IVA!AT214/IVA!CM8</f>
        <v>0.00517231820095998</v>
      </c>
      <c r="AZ214" s="271" t="n">
        <f aca="false">IVA!AU214/IVA!CN8</f>
        <v>0.0251508498318149</v>
      </c>
      <c r="BA214" s="454"/>
      <c r="BW214" s="138"/>
      <c r="BX214" s="139"/>
      <c r="BY214" s="138"/>
      <c r="BZ214" s="138"/>
      <c r="CA214" s="273"/>
    </row>
    <row r="215" customFormat="false" ht="12.75" hidden="false" customHeight="true" outlineLevel="0" collapsed="false">
      <c r="AA215" s="404" t="n">
        <v>2000</v>
      </c>
      <c r="AB215" s="404" t="s">
        <v>586</v>
      </c>
      <c r="AC215" s="405"/>
      <c r="AD215" s="406"/>
      <c r="AE215" s="468" t="n">
        <v>717664.11891</v>
      </c>
      <c r="AF215" s="468" t="n">
        <v>523551.52353</v>
      </c>
      <c r="AG215" s="468" t="n">
        <v>488285.118</v>
      </c>
      <c r="AH215" s="468" t="n">
        <v>460425.143</v>
      </c>
      <c r="AI215" s="468" t="n">
        <v>507007.5879</v>
      </c>
      <c r="AJ215" s="468" t="n">
        <v>545816.55347</v>
      </c>
      <c r="AK215" s="468" t="n">
        <v>763505.968</v>
      </c>
      <c r="AL215" s="468" t="n">
        <v>517368.3209</v>
      </c>
      <c r="AM215" s="468" t="n">
        <v>523814.7787</v>
      </c>
      <c r="AN215" s="468" t="n">
        <v>524788.6392</v>
      </c>
      <c r="AO215" s="468" t="n">
        <v>478069.30191</v>
      </c>
      <c r="AP215" s="468" t="n">
        <v>509118.17515</v>
      </c>
      <c r="AQ215" s="155" t="n">
        <f aca="false">IVA!AE215+IVA!AF215+IVA!AG215</f>
        <v>1729500.76044</v>
      </c>
      <c r="AR215" s="155" t="n">
        <f aca="false">IVA!AH215+IVA!AI215+IVA!AJ215</f>
        <v>1513249.28437</v>
      </c>
      <c r="AS215" s="155" t="n">
        <f aca="false">IVA!AK215+IVA!AL215+IVA!AM215</f>
        <v>1804689.0676</v>
      </c>
      <c r="AT215" s="155" t="n">
        <f aca="false">IVA!AN215+IVA!AO215+IVA!AP215</f>
        <v>1511976.11626</v>
      </c>
      <c r="AU215" s="467" t="n">
        <f aca="false">IVA!AQ215+IVA!AR215+IVA!AS215+IVA!AT215</f>
        <v>6559415.22867</v>
      </c>
      <c r="AV215" s="130" t="n">
        <f aca="false">IVA!AQ215/IVA!CJ9</f>
        <v>0.0063950420805786</v>
      </c>
      <c r="AW215" s="130" t="n">
        <f aca="false">IVA!AR215/IVA!CK9</f>
        <v>0.00518598356834569</v>
      </c>
      <c r="AX215" s="130" t="n">
        <f aca="false">IVA!AS215/IVA!CL9</f>
        <v>0.00627727450953241</v>
      </c>
      <c r="AY215" s="130" t="n">
        <f aca="false">IVA!AT215/IVA!CM9</f>
        <v>0.00526675950238339</v>
      </c>
      <c r="AZ215" s="271" t="n">
        <f aca="false">IVA!AU215/IVA!CN9</f>
        <v>0.0230799751069022</v>
      </c>
      <c r="BA215" s="454"/>
      <c r="BW215" s="264"/>
      <c r="BX215" s="263"/>
      <c r="BY215" s="264"/>
      <c r="BZ215" s="264"/>
      <c r="CA215" s="303"/>
    </row>
    <row r="216" customFormat="false" ht="12.75" hidden="false" customHeight="true" outlineLevel="0" collapsed="false">
      <c r="AA216" s="404" t="n">
        <v>2001</v>
      </c>
      <c r="AB216" s="404" t="s">
        <v>586</v>
      </c>
      <c r="AC216" s="405"/>
      <c r="AD216" s="406"/>
      <c r="AE216" s="468" t="n">
        <v>713205.07841</v>
      </c>
      <c r="AF216" s="468" t="n">
        <v>510148.07366</v>
      </c>
      <c r="AG216" s="468" t="n">
        <v>492971.60084</v>
      </c>
      <c r="AH216" s="468" t="n">
        <v>460641.26621</v>
      </c>
      <c r="AI216" s="468" t="n">
        <v>485330.57364</v>
      </c>
      <c r="AJ216" s="468" t="n">
        <v>449023.33835</v>
      </c>
      <c r="AK216" s="468" t="n">
        <v>643951.27323</v>
      </c>
      <c r="AL216" s="468" t="n">
        <v>518490.34193</v>
      </c>
      <c r="AM216" s="468" t="n">
        <v>497789.5773</v>
      </c>
      <c r="AN216" s="468" t="n">
        <v>475153.87009</v>
      </c>
      <c r="AO216" s="468" t="n">
        <v>456673.4672</v>
      </c>
      <c r="AP216" s="468" t="n">
        <v>369448.6512</v>
      </c>
      <c r="AQ216" s="155" t="n">
        <f aca="false">IVA!AE216+IVA!AF216+IVA!AG216</f>
        <v>1716324.75291</v>
      </c>
      <c r="AR216" s="155" t="n">
        <f aca="false">IVA!AH216+IVA!AI216+IVA!AJ216</f>
        <v>1394995.1782</v>
      </c>
      <c r="AS216" s="155" t="n">
        <f aca="false">IVA!AK216+IVA!AL216+IVA!AM216</f>
        <v>1660231.19246</v>
      </c>
      <c r="AT216" s="155" t="n">
        <f aca="false">IVA!AN216+IVA!AO216+IVA!AP216</f>
        <v>1301275.98849</v>
      </c>
      <c r="AU216" s="467" t="n">
        <f aca="false">IVA!AQ216+IVA!AR216+IVA!AS216+IVA!AT216</f>
        <v>6072827.11206</v>
      </c>
      <c r="AV216" s="130" t="n">
        <f aca="false">IVA!AQ216/IVA!CJ10</f>
        <v>0.0065177466872871</v>
      </c>
      <c r="AW216" s="130" t="n">
        <f aca="false">IVA!AR216/IVA!CK10</f>
        <v>0.00484329475061236</v>
      </c>
      <c r="AX216" s="130" t="n">
        <f aca="false">IVA!AS216/IVA!CL10</f>
        <v>0.00611802394198166</v>
      </c>
      <c r="AY216" s="130" t="n">
        <f aca="false">IVA!AT216/IVA!CM10</f>
        <v>0.005162504119725</v>
      </c>
      <c r="AZ216" s="271" t="n">
        <f aca="false">IVA!AU216/IVA!CN10</f>
        <v>0.0226010476213357</v>
      </c>
      <c r="BA216" s="454"/>
      <c r="BW216" s="138"/>
      <c r="BX216" s="139"/>
      <c r="BY216" s="138"/>
      <c r="BZ216" s="138"/>
      <c r="CA216" s="273"/>
    </row>
    <row r="217" customFormat="false" ht="12.75" hidden="false" customHeight="true" outlineLevel="0" collapsed="false">
      <c r="AA217" s="404" t="n">
        <v>2002</v>
      </c>
      <c r="AB217" s="404" t="s">
        <v>586</v>
      </c>
      <c r="AC217" s="405"/>
      <c r="AD217" s="406"/>
      <c r="AE217" s="468" t="n">
        <v>575654.08514</v>
      </c>
      <c r="AF217" s="468" t="n">
        <v>480768.59727</v>
      </c>
      <c r="AG217" s="468" t="n">
        <v>410794.22872</v>
      </c>
      <c r="AH217" s="468" t="n">
        <v>427476.38403</v>
      </c>
      <c r="AI217" s="468" t="n">
        <v>520986.27527</v>
      </c>
      <c r="AJ217" s="468" t="n">
        <v>502735.21795</v>
      </c>
      <c r="AK217" s="468" t="n">
        <v>712225.27403</v>
      </c>
      <c r="AL217" s="468" t="n">
        <v>542263.10581</v>
      </c>
      <c r="AM217" s="468" t="n">
        <v>547570.92694</v>
      </c>
      <c r="AN217" s="468" t="n">
        <v>569808.37241</v>
      </c>
      <c r="AO217" s="468" t="n">
        <v>543511.87466</v>
      </c>
      <c r="AP217" s="468" t="n">
        <v>549747.63151</v>
      </c>
      <c r="AQ217" s="155" t="n">
        <f aca="false">IVA!AE217+IVA!AF217+IVA!AG217</f>
        <v>1467216.91113</v>
      </c>
      <c r="AR217" s="155" t="n">
        <f aca="false">IVA!AH217+IVA!AI217+IVA!AJ217</f>
        <v>1451197.87725</v>
      </c>
      <c r="AS217" s="155" t="n">
        <f aca="false">IVA!AK217+IVA!AL217+IVA!AM217</f>
        <v>1802059.30678</v>
      </c>
      <c r="AT217" s="155" t="n">
        <f aca="false">IVA!AN217+IVA!AO217+IVA!AP217</f>
        <v>1663067.87858</v>
      </c>
      <c r="AU217" s="467" t="n">
        <f aca="false">IVA!AQ217+IVA!AR217+IVA!AS217+IVA!AT217</f>
        <v>6383541.97374</v>
      </c>
      <c r="AV217" s="130" t="n">
        <f aca="false">IVA!AQ217/IVA!CJ11</f>
        <v>0.00618930008871284</v>
      </c>
      <c r="AW217" s="130" t="n">
        <f aca="false">IVA!AR217/IVA!CK11</f>
        <v>0.0042807161303481</v>
      </c>
      <c r="AX217" s="130" t="n">
        <f aca="false">IVA!AS217/IVA!CL11</f>
        <v>0.00539528649570205</v>
      </c>
      <c r="AY217" s="130" t="n">
        <f aca="false">IVA!AT217/IVA!CM11</f>
        <v>0.00488779044443165</v>
      </c>
      <c r="AZ217" s="271" t="n">
        <f aca="false">IVA!AU217/IVA!CN11</f>
        <v>0.0204220968577953</v>
      </c>
      <c r="BA217" s="454"/>
      <c r="BW217" s="138"/>
      <c r="BX217" s="139"/>
      <c r="BY217" s="138"/>
      <c r="BZ217" s="138"/>
      <c r="CA217" s="273"/>
    </row>
    <row r="218" customFormat="false" ht="12.75" hidden="false" customHeight="true" outlineLevel="0" collapsed="false">
      <c r="AA218" s="404" t="n">
        <v>2003</v>
      </c>
      <c r="AB218" s="404" t="s">
        <v>586</v>
      </c>
      <c r="AC218" s="405"/>
      <c r="AD218" s="406"/>
      <c r="AE218" s="468" t="n">
        <v>811542.3029</v>
      </c>
      <c r="AF218" s="468" t="n">
        <v>559987.45565</v>
      </c>
      <c r="AG218" s="468" t="n">
        <v>496855.01147</v>
      </c>
      <c r="AH218" s="468" t="n">
        <v>540600.31705</v>
      </c>
      <c r="AI218" s="468" t="n">
        <v>571140.35953</v>
      </c>
      <c r="AJ218" s="468" t="n">
        <v>565485.57615</v>
      </c>
      <c r="AK218" s="468" t="n">
        <v>837241.32547</v>
      </c>
      <c r="AL218" s="468" t="n">
        <v>611694.92336</v>
      </c>
      <c r="AM218" s="468" t="n">
        <v>624166.0125</v>
      </c>
      <c r="AN218" s="468" t="n">
        <v>648699.95544</v>
      </c>
      <c r="AO218" s="468" t="n">
        <v>651311.99285</v>
      </c>
      <c r="AP218" s="468" t="n">
        <v>683963.40925</v>
      </c>
      <c r="AQ218" s="155" t="n">
        <f aca="false">IVA!AE218+IVA!AF218+IVA!AG218</f>
        <v>1868384.77002</v>
      </c>
      <c r="AR218" s="155" t="n">
        <f aca="false">IVA!AH218+IVA!AI218+IVA!AJ218</f>
        <v>1677226.25273</v>
      </c>
      <c r="AS218" s="155" t="n">
        <f aca="false">IVA!AK218+IVA!AL218+IVA!AM218</f>
        <v>2073102.26133</v>
      </c>
      <c r="AT218" s="155" t="n">
        <f aca="false">IVA!AN218+IVA!AO218+IVA!AP218</f>
        <v>1983975.35754</v>
      </c>
      <c r="AU218" s="467" t="n">
        <f aca="false">IVA!AQ218+IVA!AR218+IVA!AS218+IVA!AT218</f>
        <v>7602688.64162</v>
      </c>
      <c r="AV218" s="130" t="n">
        <f aca="false">IVA!AQ218/IVA!CJ12</f>
        <v>0.00570739661298501</v>
      </c>
      <c r="AW218" s="130" t="n">
        <f aca="false">IVA!AR218/IVA!CK12</f>
        <v>0.00420232296394754</v>
      </c>
      <c r="AX218" s="130" t="n">
        <f aca="false">IVA!AS218/IVA!CL12</f>
        <v>0.00548603399738672</v>
      </c>
      <c r="AY218" s="130" t="n">
        <f aca="false">IVA!AT218/IVA!CM12</f>
        <v>0.00496901182163676</v>
      </c>
      <c r="AZ218" s="271" t="n">
        <f aca="false">IVA!AU218/IVA!CN12</f>
        <v>0.0202247919907423</v>
      </c>
      <c r="BA218" s="454"/>
      <c r="BW218" s="138"/>
      <c r="BX218" s="139"/>
      <c r="BY218" s="138"/>
      <c r="BZ218" s="138"/>
      <c r="CA218" s="273"/>
    </row>
    <row r="219" customFormat="false" ht="12.75" hidden="false" customHeight="true" outlineLevel="0" collapsed="false">
      <c r="AA219" s="404" t="n">
        <v>2004</v>
      </c>
      <c r="AB219" s="404" t="s">
        <v>586</v>
      </c>
      <c r="AC219" s="405"/>
      <c r="AD219" s="406"/>
      <c r="AE219" s="468" t="n">
        <v>1013436.40315</v>
      </c>
      <c r="AF219" s="468" t="n">
        <v>746467.87962</v>
      </c>
      <c r="AG219" s="468" t="n">
        <v>697193.42626</v>
      </c>
      <c r="AH219" s="468" t="n">
        <v>706727.10499</v>
      </c>
      <c r="AI219" s="468" t="n">
        <v>800458.91301</v>
      </c>
      <c r="AJ219" s="468" t="n">
        <v>753818.41891</v>
      </c>
      <c r="AK219" s="468" t="n">
        <v>1131313.55004</v>
      </c>
      <c r="AL219" s="468" t="n">
        <v>795180.72496</v>
      </c>
      <c r="AM219" s="468" t="n">
        <v>877864.95115</v>
      </c>
      <c r="AN219" s="468" t="n">
        <v>834367.34326</v>
      </c>
      <c r="AO219" s="468" t="n">
        <v>850144.84181</v>
      </c>
      <c r="AP219" s="468" t="n">
        <v>833387.71543</v>
      </c>
      <c r="AQ219" s="155" t="n">
        <f aca="false">IVA!AE219+IVA!AF219+IVA!AG219</f>
        <v>2457097.70903</v>
      </c>
      <c r="AR219" s="155" t="n">
        <f aca="false">IVA!AH219+IVA!AI219+IVA!AJ219</f>
        <v>2261004.43691</v>
      </c>
      <c r="AS219" s="155" t="n">
        <f aca="false">IVA!AK219+IVA!AL219+IVA!AM219</f>
        <v>2804359.22615</v>
      </c>
      <c r="AT219" s="155" t="n">
        <f aca="false">IVA!AN219+IVA!AO219+IVA!AP219</f>
        <v>2517899.9005</v>
      </c>
      <c r="AU219" s="467" t="n">
        <f aca="false">IVA!AQ219+IVA!AR219+IVA!AS219+IVA!AT219</f>
        <v>10040361.27259</v>
      </c>
      <c r="AV219" s="130" t="n">
        <f aca="false">IVA!AQ219/IVA!CJ13</f>
        <v>0.00625506968646978</v>
      </c>
      <c r="AW219" s="130" t="n">
        <f aca="false">IVA!AR219/IVA!CK13</f>
        <v>0.00476790820828646</v>
      </c>
      <c r="AX219" s="130" t="n">
        <f aca="false">IVA!AS219/IVA!CL13</f>
        <v>0.00620324126576343</v>
      </c>
      <c r="AY219" s="130" t="n">
        <f aca="false">IVA!AT219/IVA!CM13</f>
        <v>0.00534060377400135</v>
      </c>
      <c r="AZ219" s="271" t="n">
        <f aca="false">IVA!AU219/IVA!CN13</f>
        <v>0.022429372794192</v>
      </c>
      <c r="BA219" s="454"/>
      <c r="BW219" s="138"/>
      <c r="BX219" s="139"/>
      <c r="BY219" s="138"/>
      <c r="BZ219" s="138"/>
      <c r="CA219" s="273"/>
    </row>
    <row r="220" customFormat="false" ht="12.75" hidden="false" customHeight="true" outlineLevel="0" collapsed="false">
      <c r="AA220" s="404" t="n">
        <v>2005</v>
      </c>
      <c r="AB220" s="404" t="s">
        <v>586</v>
      </c>
      <c r="AC220" s="405"/>
      <c r="AD220" s="406"/>
      <c r="AE220" s="468" t="n">
        <v>1202714.31521</v>
      </c>
      <c r="AF220" s="468" t="n">
        <v>1000526.61344</v>
      </c>
      <c r="AG220" s="468" t="n">
        <v>834164.92144</v>
      </c>
      <c r="AH220" s="468" t="n">
        <v>894594.26894</v>
      </c>
      <c r="AI220" s="468" t="n">
        <v>959827.65632</v>
      </c>
      <c r="AJ220" s="468" t="n">
        <v>969440.92761</v>
      </c>
      <c r="AK220" s="468" t="n">
        <v>1451581.81475</v>
      </c>
      <c r="AL220" s="468" t="n">
        <v>1138392.57131</v>
      </c>
      <c r="AM220" s="468" t="n">
        <v>1154699.25536</v>
      </c>
      <c r="AN220" s="468" t="n">
        <v>1226469.13918</v>
      </c>
      <c r="AO220" s="468" t="n">
        <v>1246830.10186</v>
      </c>
      <c r="AP220" s="468" t="n">
        <v>1269263.27799</v>
      </c>
      <c r="AQ220" s="155" t="n">
        <f aca="false">IVA!AE220+IVA!AF220+IVA!AG220</f>
        <v>3037405.85009</v>
      </c>
      <c r="AR220" s="155" t="n">
        <f aca="false">IVA!AH220+IVA!AI220+IVA!AJ220</f>
        <v>2823862.85287</v>
      </c>
      <c r="AS220" s="155" t="n">
        <f aca="false">IVA!AK220+IVA!AL220+IVA!AM220</f>
        <v>3744673.64142</v>
      </c>
      <c r="AT220" s="155" t="n">
        <f aca="false">IVA!AN220+IVA!AO220+IVA!AP220</f>
        <v>3742562.51903</v>
      </c>
      <c r="AU220" s="467" t="n">
        <f aca="false">IVA!AQ220+IVA!AR220+IVA!AS220+IVA!AT220</f>
        <v>13348504.86341</v>
      </c>
      <c r="AV220" s="130" t="n">
        <f aca="false">IVA!AQ220/IVA!CJ14</f>
        <v>0.00664983634894606</v>
      </c>
      <c r="AW220" s="130" t="n">
        <f aca="false">IVA!AR220/IVA!CK14</f>
        <v>0.00511187976285152</v>
      </c>
      <c r="AX220" s="130" t="n">
        <f aca="false">IVA!AS220/IVA!CL14</f>
        <v>0.00688070531701214</v>
      </c>
      <c r="AY220" s="130" t="n">
        <f aca="false">IVA!AT220/IVA!CM14</f>
        <v>0.00651615739339753</v>
      </c>
      <c r="AZ220" s="271" t="n">
        <f aca="false">IVA!AU220/IVA!CN14</f>
        <v>0.0250940649813645</v>
      </c>
      <c r="BA220" s="454"/>
      <c r="BW220" s="138"/>
      <c r="BX220" s="139"/>
      <c r="BY220" s="138"/>
      <c r="BZ220" s="138"/>
      <c r="CA220" s="273"/>
    </row>
    <row r="221" customFormat="false" ht="12.75" hidden="false" customHeight="true" outlineLevel="0" collapsed="false">
      <c r="AA221" s="404" t="n">
        <v>2006</v>
      </c>
      <c r="AB221" s="404" t="s">
        <v>586</v>
      </c>
      <c r="AC221" s="405"/>
      <c r="AD221" s="406"/>
      <c r="AE221" s="468" t="n">
        <v>1788670.46221</v>
      </c>
      <c r="AF221" s="468" t="n">
        <v>1406789.91147</v>
      </c>
      <c r="AG221" s="468" t="n">
        <v>1357641.68514</v>
      </c>
      <c r="AH221" s="468" t="n">
        <v>1373916.59278</v>
      </c>
      <c r="AI221" s="468" t="n">
        <v>1447040.43824</v>
      </c>
      <c r="AJ221" s="468" t="n">
        <v>1552333.38277</v>
      </c>
      <c r="AK221" s="468" t="n">
        <v>2133583.3729</v>
      </c>
      <c r="AL221" s="468" t="n">
        <v>1569923.28778</v>
      </c>
      <c r="AM221" s="468" t="n">
        <v>1607384.76953</v>
      </c>
      <c r="AN221" s="468" t="n">
        <v>1788714.14582</v>
      </c>
      <c r="AO221" s="468" t="n">
        <v>1779964.87324</v>
      </c>
      <c r="AP221" s="468" t="n">
        <v>1840110.15976</v>
      </c>
      <c r="AQ221" s="155" t="n">
        <f aca="false">IVA!AE221+IVA!AF221+IVA!AG221</f>
        <v>4553102.05882</v>
      </c>
      <c r="AR221" s="155" t="n">
        <f aca="false">IVA!AH221+IVA!AI221+IVA!AJ221</f>
        <v>4373290.41379</v>
      </c>
      <c r="AS221" s="155" t="n">
        <f aca="false">IVA!AK221+IVA!AL221+IVA!AM221</f>
        <v>5310891.43021</v>
      </c>
      <c r="AT221" s="155" t="n">
        <f aca="false">IVA!AN221+IVA!AO221+IVA!AP221</f>
        <v>5408789.17882</v>
      </c>
      <c r="AU221" s="467" t="n">
        <f aca="false">IVA!AQ221+IVA!AR221+IVA!AS221+IVA!AT221</f>
        <v>19646073.08164</v>
      </c>
      <c r="AV221" s="130" t="n">
        <f aca="false">IVA!AQ221/IVA!CJ15</f>
        <v>0.00801610942865594</v>
      </c>
      <c r="AW221" s="130" t="n">
        <f aca="false">IVA!AR221/IVA!CK15</f>
        <v>0.00644763260688082</v>
      </c>
      <c r="AX221" s="130" t="n">
        <f aca="false">IVA!AS221/IVA!CL15</f>
        <v>0.0079480895735678</v>
      </c>
      <c r="AY221" s="130" t="n">
        <f aca="false">IVA!AT221/IVA!CM15</f>
        <v>0.00769074002273687</v>
      </c>
      <c r="AZ221" s="271" t="n">
        <f aca="false">IVA!AU221/IVA!CN15</f>
        <v>0.0300197169246812</v>
      </c>
      <c r="BA221" s="454"/>
      <c r="BW221" s="138"/>
      <c r="BX221" s="139"/>
      <c r="BY221" s="138"/>
      <c r="BZ221" s="138"/>
      <c r="CA221" s="273"/>
    </row>
    <row r="222" customFormat="false" ht="12.75" hidden="false" customHeight="true" outlineLevel="0" collapsed="false">
      <c r="AA222" s="404" t="n">
        <v>2007</v>
      </c>
      <c r="AB222" s="404" t="s">
        <v>586</v>
      </c>
      <c r="AC222" s="405"/>
      <c r="AD222" s="406"/>
      <c r="AE222" s="468" t="n">
        <v>2632994.1112</v>
      </c>
      <c r="AF222" s="468" t="n">
        <v>2166315.18511</v>
      </c>
      <c r="AG222" s="468" t="n">
        <v>2199010.32586</v>
      </c>
      <c r="AH222" s="468" t="n">
        <v>2173097.29906</v>
      </c>
      <c r="AI222" s="468" t="n">
        <v>2223748.36079</v>
      </c>
      <c r="AJ222" s="468" t="n">
        <v>2295427.16864</v>
      </c>
      <c r="AK222" s="468" t="n">
        <v>3055349.84665</v>
      </c>
      <c r="AL222" s="468" t="n">
        <v>2458397.32183</v>
      </c>
      <c r="AM222" s="468" t="n">
        <v>2493865.07592</v>
      </c>
      <c r="AN222" s="468" t="n">
        <v>2439650.9166</v>
      </c>
      <c r="AO222" s="468" t="n">
        <v>2524874.84977</v>
      </c>
      <c r="AP222" s="468" t="n">
        <v>2587180.8873</v>
      </c>
      <c r="AQ222" s="155" t="n">
        <f aca="false">IVA!AE222+IVA!AF222+IVA!AG222</f>
        <v>6998319.62217</v>
      </c>
      <c r="AR222" s="155" t="n">
        <f aca="false">IVA!AH222+IVA!AI222+IVA!AJ222</f>
        <v>6692272.82849</v>
      </c>
      <c r="AS222" s="155" t="n">
        <f aca="false">IVA!AK222+IVA!AL222+IVA!AM222</f>
        <v>8007612.2444</v>
      </c>
      <c r="AT222" s="155" t="n">
        <f aca="false">IVA!AN222+IVA!AO222+IVA!AP222</f>
        <v>7551706.65367</v>
      </c>
      <c r="AU222" s="467" t="n">
        <f aca="false">IVA!AQ222+IVA!AR222+IVA!AS222+IVA!AT222</f>
        <v>29249911.34873</v>
      </c>
      <c r="AV222" s="130" t="n">
        <f aca="false">IVA!AQ222/IVA!CJ16</f>
        <v>0.0102747234293076</v>
      </c>
      <c r="AW222" s="130" t="n">
        <f aca="false">IVA!AR222/IVA!CK16</f>
        <v>0.00801349577888729</v>
      </c>
      <c r="AX222" s="130" t="n">
        <f aca="false">IVA!AS222/IVA!CL16</f>
        <v>0.0096773055041736</v>
      </c>
      <c r="AY222" s="130" t="n">
        <f aca="false">IVA!AT222/IVA!CM16</f>
        <v>0.00833415989213314</v>
      </c>
      <c r="AZ222" s="271" t="n">
        <f aca="false">IVA!AU222/IVA!CN16</f>
        <v>0.0360018481388563</v>
      </c>
      <c r="BA222" s="454"/>
      <c r="BW222" s="138"/>
      <c r="BX222" s="139"/>
      <c r="BY222" s="138"/>
      <c r="BZ222" s="138"/>
      <c r="CA222" s="273"/>
    </row>
    <row r="223" customFormat="false" ht="12.75" hidden="false" customHeight="true" outlineLevel="0" collapsed="false">
      <c r="AA223" s="404" t="n">
        <v>2008</v>
      </c>
      <c r="AB223" s="404" t="s">
        <v>586</v>
      </c>
      <c r="AC223" s="405"/>
      <c r="AD223" s="406"/>
      <c r="AE223" s="468" t="n">
        <v>3519586.1081</v>
      </c>
      <c r="AF223" s="468" t="n">
        <v>2844256.06905</v>
      </c>
      <c r="AG223" s="468" t="n">
        <v>2710135.91247</v>
      </c>
      <c r="AH223" s="468" t="n">
        <v>2945460.18138</v>
      </c>
      <c r="AI223" s="468" t="n">
        <v>3080553.70832</v>
      </c>
      <c r="AJ223" s="468" t="n">
        <v>3031538.64556</v>
      </c>
      <c r="AK223" s="468" t="n">
        <v>4098862.58153</v>
      </c>
      <c r="AL223" s="468" t="n">
        <v>3211848.57913</v>
      </c>
      <c r="AM223" s="468" t="n">
        <v>3335597.00522</v>
      </c>
      <c r="AN223" s="468" t="n">
        <v>3344826.65978</v>
      </c>
      <c r="AO223" s="468" t="n">
        <v>3457541.45755</v>
      </c>
      <c r="AP223" s="468" t="n">
        <v>3422945.55081</v>
      </c>
      <c r="AQ223" s="155" t="n">
        <f aca="false">IVA!AE223+IVA!AF223+IVA!AG223</f>
        <v>9073978.08962</v>
      </c>
      <c r="AR223" s="155" t="n">
        <f aca="false">IVA!AH223+IVA!AI223+IVA!AJ223</f>
        <v>9057552.53526</v>
      </c>
      <c r="AS223" s="155" t="n">
        <f aca="false">IVA!AK223+IVA!AL223+IVA!AM223</f>
        <v>10646308.16588</v>
      </c>
      <c r="AT223" s="155" t="n">
        <f aca="false">IVA!AN223+IVA!AO223+IVA!AP223</f>
        <v>10225313.66814</v>
      </c>
      <c r="AU223" s="467" t="n">
        <f aca="false">IVA!AQ223+IVA!AR223+IVA!AS223+IVA!AT223</f>
        <v>39003152.4589</v>
      </c>
      <c r="AV223" s="130" t="n">
        <f aca="false">IVA!AQ223/IVA!CJ17</f>
        <v>0.0102225535374244</v>
      </c>
      <c r="AW223" s="130" t="n">
        <f aca="false">IVA!AR223/IVA!CK17</f>
        <v>0.00817510814220535</v>
      </c>
      <c r="AX223" s="130" t="n">
        <f aca="false">IVA!AS223/IVA!CL17</f>
        <v>0.010066947357394</v>
      </c>
      <c r="AY223" s="130" t="n">
        <f aca="false">IVA!AT223/IVA!CM17</f>
        <v>0.00948636044312826</v>
      </c>
      <c r="AZ223" s="271" t="n">
        <f aca="false">IVA!AU223/IVA!CN17</f>
        <v>0.0377660133921984</v>
      </c>
      <c r="BA223" s="454"/>
      <c r="BW223" s="138"/>
      <c r="BX223" s="139"/>
      <c r="BY223" s="138"/>
      <c r="BZ223" s="138"/>
      <c r="CA223" s="273"/>
    </row>
    <row r="224" customFormat="false" ht="12.75" hidden="false" customHeight="true" outlineLevel="0" collapsed="false">
      <c r="AA224" s="404" t="n">
        <v>2009</v>
      </c>
      <c r="AB224" s="404" t="s">
        <v>586</v>
      </c>
      <c r="AC224" s="405"/>
      <c r="AD224" s="406"/>
      <c r="AE224" s="469" t="n">
        <v>4496375</v>
      </c>
      <c r="AF224" s="469" t="n">
        <v>3623925</v>
      </c>
      <c r="AG224" s="469" t="n">
        <v>3514250</v>
      </c>
      <c r="AH224" s="469" t="n">
        <v>3604386</v>
      </c>
      <c r="AI224" s="469" t="n">
        <v>3717535</v>
      </c>
      <c r="AJ224" s="469" t="n">
        <v>3639719</v>
      </c>
      <c r="AK224" s="469" t="n">
        <v>4825471</v>
      </c>
      <c r="AL224" s="469" t="n">
        <v>3970241</v>
      </c>
      <c r="AM224" s="469" t="n">
        <v>4117874</v>
      </c>
      <c r="AN224" s="469" t="n">
        <v>4062517</v>
      </c>
      <c r="AO224" s="469" t="n">
        <v>3812967</v>
      </c>
      <c r="AP224" s="469" t="n">
        <v>4112942</v>
      </c>
      <c r="AQ224" s="155" t="n">
        <f aca="false">IVA!AE224+IVA!AF224+IVA!AG224</f>
        <v>11634550</v>
      </c>
      <c r="AR224" s="155" t="n">
        <f aca="false">IVA!AH224+IVA!AI224+IVA!AJ224</f>
        <v>10961640</v>
      </c>
      <c r="AS224" s="155" t="n">
        <f aca="false">IVA!AK224+IVA!AL224+IVA!AM224</f>
        <v>12913586</v>
      </c>
      <c r="AT224" s="155" t="n">
        <f aca="false">IVA!AN224+IVA!AO224+IVA!AP224</f>
        <v>11988426</v>
      </c>
      <c r="AU224" s="470" t="n">
        <f aca="false">IVA!AQ224+IVA!AR224+IVA!AS224+IVA!AT224</f>
        <v>47498202</v>
      </c>
      <c r="AV224" s="130" t="n">
        <f aca="false">IVA!AQ224/IVA!CJ18</f>
        <v>0.011717014346974</v>
      </c>
      <c r="AW224" s="130" t="n">
        <f aca="false">IVA!AR224/IVA!CK18</f>
        <v>0.00917006252115654</v>
      </c>
      <c r="AX224" s="130" t="n">
        <f aca="false">IVA!AS224/IVA!CL18</f>
        <v>0.0110486330130139</v>
      </c>
      <c r="AY224" s="130" t="n">
        <f aca="false">IVA!AT224/IVA!CM18</f>
        <v>0.00978883749984532</v>
      </c>
      <c r="AZ224" s="271" t="n">
        <f aca="false">IVA!AU224/IVA!CN18</f>
        <v>0.0414665470510898</v>
      </c>
      <c r="BA224" s="454"/>
      <c r="BW224" s="264"/>
      <c r="BX224" s="263"/>
      <c r="BY224" s="264"/>
      <c r="BZ224" s="264"/>
      <c r="CA224" s="303"/>
    </row>
    <row r="225" customFormat="false" ht="12.75" hidden="false" customHeight="true" outlineLevel="0" collapsed="false">
      <c r="AA225" s="404" t="n">
        <v>2010</v>
      </c>
      <c r="AB225" s="404" t="s">
        <v>586</v>
      </c>
      <c r="AC225" s="405"/>
      <c r="AD225" s="406"/>
      <c r="AE225" s="469" t="n">
        <v>5523148</v>
      </c>
      <c r="AF225" s="469" t="n">
        <v>4363068</v>
      </c>
      <c r="AG225" s="469" t="n">
        <v>4386817</v>
      </c>
      <c r="AH225" s="469" t="n">
        <v>4583148</v>
      </c>
      <c r="AI225" s="469" t="n">
        <v>4694360</v>
      </c>
      <c r="AJ225" s="469" t="n">
        <v>4771987</v>
      </c>
      <c r="AK225" s="469" t="n">
        <v>6381892</v>
      </c>
      <c r="AL225" s="469" t="n">
        <v>5103262</v>
      </c>
      <c r="AM225" s="469" t="n">
        <v>5287069</v>
      </c>
      <c r="AN225" s="469" t="n">
        <v>5347840</v>
      </c>
      <c r="AO225" s="469" t="n">
        <v>5606044</v>
      </c>
      <c r="AP225" s="469" t="n">
        <v>5624155</v>
      </c>
      <c r="AQ225" s="155" t="n">
        <f aca="false">IVA!AE225+IVA!AF225+IVA!AG225</f>
        <v>14273033</v>
      </c>
      <c r="AR225" s="155" t="n">
        <f aca="false">IVA!AH225+IVA!AI225+IVA!AJ225</f>
        <v>14049495</v>
      </c>
      <c r="AS225" s="155" t="n">
        <f aca="false">IVA!AK225+IVA!AL225+IVA!AM225</f>
        <v>16772223</v>
      </c>
      <c r="AT225" s="155" t="n">
        <f aca="false">IVA!AN225+IVA!AO225+IVA!AP225</f>
        <v>16578039</v>
      </c>
      <c r="AU225" s="470" t="n">
        <f aca="false">IVA!AQ225+IVA!AR225+IVA!AS225+IVA!AT225</f>
        <v>61672790</v>
      </c>
      <c r="AV225" s="130" t="n">
        <f aca="false">IVA!AQ225/IVA!CJ19</f>
        <v>0.0117243763456141</v>
      </c>
      <c r="AW225" s="130" t="n">
        <f aca="false">IVA!AR225/IVA!CK19</f>
        <v>0.00931487670133802</v>
      </c>
      <c r="AX225" s="130" t="n">
        <f aca="false">IVA!AS225/IVA!CL19</f>
        <v>0.0114419256338223</v>
      </c>
      <c r="AY225" s="130" t="n">
        <f aca="false">IVA!AT225/IVA!CM19</f>
        <v>0.0104984205833408</v>
      </c>
      <c r="AZ225" s="271" t="n">
        <f aca="false">IVA!AU225/IVA!CN19</f>
        <v>0.0427494957665986</v>
      </c>
      <c r="BA225" s="454"/>
      <c r="BW225" s="138"/>
      <c r="BX225" s="139"/>
      <c r="BY225" s="138"/>
      <c r="BZ225" s="138"/>
      <c r="CA225" s="273"/>
    </row>
    <row r="226" customFormat="false" ht="12.75" hidden="false" customHeight="true" outlineLevel="0" collapsed="false">
      <c r="AA226" s="404" t="n">
        <v>2011</v>
      </c>
      <c r="AB226" s="404" t="s">
        <v>586</v>
      </c>
      <c r="AC226" s="405"/>
      <c r="AD226" s="406"/>
      <c r="AE226" s="469" t="n">
        <v>7489884</v>
      </c>
      <c r="AF226" s="469" t="n">
        <v>6053967</v>
      </c>
      <c r="AG226" s="469" t="n">
        <v>5830279</v>
      </c>
      <c r="AH226" s="469" t="n">
        <v>6443195</v>
      </c>
      <c r="AI226" s="469" t="n">
        <v>6365757</v>
      </c>
      <c r="AJ226" s="469" t="n">
        <v>6527664</v>
      </c>
      <c r="AK226" s="469" t="n">
        <v>8637735</v>
      </c>
      <c r="AL226" s="469" t="n">
        <v>6821438</v>
      </c>
      <c r="AM226" s="469" t="n">
        <v>6986854</v>
      </c>
      <c r="AN226" s="469" t="n">
        <v>7055541</v>
      </c>
      <c r="AO226" s="469" t="n">
        <v>7012656</v>
      </c>
      <c r="AP226" s="469" t="n">
        <v>7119136</v>
      </c>
      <c r="AQ226" s="155" t="n">
        <f aca="false">IVA!AE226+IVA!AF226+IVA!AG226</f>
        <v>19374130</v>
      </c>
      <c r="AR226" s="155" t="n">
        <f aca="false">IVA!AH226+IVA!AI226+IVA!AJ226</f>
        <v>19336616</v>
      </c>
      <c r="AS226" s="155" t="n">
        <f aca="false">IVA!AK226+IVA!AL226+IVA!AM226</f>
        <v>22446027</v>
      </c>
      <c r="AT226" s="155" t="n">
        <f aca="false">IVA!AN226+IVA!AO226+IVA!AP226</f>
        <v>21187333</v>
      </c>
      <c r="AU226" s="471" t="n">
        <f aca="false">IVA!AQ226+IVA!AR226+IVA!AS226+IVA!AT226</f>
        <v>82344106</v>
      </c>
      <c r="AV226" s="130" t="n">
        <f aca="false">IVA!AQ226/IVA!CJ20</f>
        <v>0.0123592607713801</v>
      </c>
      <c r="AW226" s="130" t="n">
        <f aca="false">IVA!AR226/IVA!CK20</f>
        <v>0.00978461113819858</v>
      </c>
      <c r="AX226" s="130" t="n">
        <f aca="false">IVA!AS226/IVA!CL20</f>
        <v>0.0120328811427369</v>
      </c>
      <c r="AY226" s="130" t="n">
        <f aca="false">IVA!AT226/IVA!CM20</f>
        <v>0.0108159884663617</v>
      </c>
      <c r="AZ226" s="271" t="n">
        <f aca="false">IVA!AU226/IVA!CN20</f>
        <v>0.0447031034248387</v>
      </c>
      <c r="BA226" s="454"/>
      <c r="BW226" s="138"/>
      <c r="BX226" s="139"/>
      <c r="BY226" s="138"/>
      <c r="BZ226" s="138"/>
      <c r="CA226" s="273"/>
    </row>
    <row r="227" customFormat="false" ht="12.75" hidden="false" customHeight="true" outlineLevel="0" collapsed="false">
      <c r="AA227" s="419" t="n">
        <v>2012</v>
      </c>
      <c r="AB227" s="419" t="s">
        <v>586</v>
      </c>
      <c r="AC227" s="420"/>
      <c r="AD227" s="421"/>
      <c r="AE227" s="472" t="n">
        <v>9690188.53764</v>
      </c>
      <c r="AF227" s="472" t="n">
        <v>7641177.45796</v>
      </c>
      <c r="AG227" s="472" t="n">
        <v>7729570.56793</v>
      </c>
      <c r="AH227" s="472" t="n">
        <v>8043185.00214</v>
      </c>
      <c r="AI227" s="472" t="n">
        <v>8243416.44662</v>
      </c>
      <c r="AJ227" s="472" t="n">
        <v>8256318.54802</v>
      </c>
      <c r="AK227" s="472" t="n">
        <v>11077579.39264</v>
      </c>
      <c r="AL227" s="472" t="n">
        <v>8733565.18849</v>
      </c>
      <c r="AM227" s="472" t="n">
        <v>8725193.75034</v>
      </c>
      <c r="AN227" s="472" t="n">
        <v>9021239.2164</v>
      </c>
      <c r="AO227" s="472" t="n">
        <v>9226668.93764</v>
      </c>
      <c r="AP227" s="472" t="n">
        <v>9323176.20707</v>
      </c>
      <c r="AQ227" s="326" t="n">
        <f aca="false">IVA!AE227+IVA!AF227+IVA!AG227</f>
        <v>25060936.56353</v>
      </c>
      <c r="AR227" s="326" t="n">
        <f aca="false">IVA!AH227+IVA!AI227+IVA!AJ227</f>
        <v>24542919.99678</v>
      </c>
      <c r="AS227" s="326" t="n">
        <f aca="false">IVA!AK227+IVA!AL227+IVA!AM227</f>
        <v>28536338.33147</v>
      </c>
      <c r="AT227" s="326" t="n">
        <f aca="false">IVA!AN227+IVA!AO227+IVA!AP227</f>
        <v>27571084.36111</v>
      </c>
      <c r="AU227" s="473" t="n">
        <f aca="false">IVA!AQ227+IVA!AR227+IVA!AS227+IVA!AT227</f>
        <v>105711279.25289</v>
      </c>
      <c r="AV227" s="252" t="n">
        <f aca="false">IVA!AQ227/IVA!CJ21</f>
        <v>0.0133662961988176</v>
      </c>
      <c r="AW227" s="252" t="n">
        <f aca="false">IVA!AR227/IVA!CK21</f>
        <v>0.0107968210416948</v>
      </c>
      <c r="AX227" s="252" t="n">
        <f aca="false">IVA!AS227/IVA!CL21</f>
        <v>0.0130726169266682</v>
      </c>
      <c r="AY227" s="252" t="n">
        <f aca="false">IVA!AT227/IVA!CM21</f>
        <v>0.011853547868441</v>
      </c>
      <c r="AZ227" s="296" t="n">
        <f aca="false">IVA!AU227/IVA!CN21</f>
        <v>0.0488443944513787</v>
      </c>
      <c r="BA227" s="454"/>
      <c r="BW227" s="138"/>
      <c r="BX227" s="139"/>
      <c r="BY227" s="138"/>
      <c r="BZ227" s="138"/>
      <c r="CA227" s="273"/>
    </row>
    <row r="228" customFormat="false" ht="12.75" hidden="false" customHeight="true" outlineLevel="0" collapsed="false">
      <c r="AA228" s="474" t="n">
        <v>1996</v>
      </c>
      <c r="AB228" s="474" t="s">
        <v>587</v>
      </c>
      <c r="AC228" s="475"/>
      <c r="AD228" s="476"/>
      <c r="AE228" s="477" t="n">
        <v>1425019</v>
      </c>
      <c r="AF228" s="477" t="n">
        <v>921664</v>
      </c>
      <c r="AG228" s="477" t="n">
        <v>858862</v>
      </c>
      <c r="AH228" s="477" t="n">
        <v>907389</v>
      </c>
      <c r="AI228" s="477" t="n">
        <v>942184</v>
      </c>
      <c r="AJ228" s="477" t="n">
        <v>966674</v>
      </c>
      <c r="AK228" s="477" t="n">
        <v>1399735</v>
      </c>
      <c r="AL228" s="477" t="n">
        <v>1005123</v>
      </c>
      <c r="AM228" s="477" t="n">
        <v>1030888</v>
      </c>
      <c r="AN228" s="477" t="n">
        <v>1078945</v>
      </c>
      <c r="AO228" s="477" t="n">
        <v>979501</v>
      </c>
      <c r="AP228" s="478" t="n">
        <v>1045640</v>
      </c>
      <c r="AQ228" s="155" t="n">
        <f aca="false">IVA!AE228+IVA!AF228+IVA!AG228</f>
        <v>3205545</v>
      </c>
      <c r="AR228" s="155" t="n">
        <f aca="false">IVA!AH228+IVA!AI228+IVA!AJ228</f>
        <v>2816247</v>
      </c>
      <c r="AS228" s="155" t="n">
        <f aca="false">IVA!AK228+IVA!AL228+IVA!AM228</f>
        <v>3435746</v>
      </c>
      <c r="AT228" s="155" t="n">
        <f aca="false">IVA!AP228+IVA!AO228+IVA!AN228</f>
        <v>3104086</v>
      </c>
      <c r="AU228" s="473"/>
      <c r="AV228" s="252"/>
      <c r="AW228" s="252"/>
      <c r="AX228" s="252"/>
      <c r="AY228" s="252"/>
      <c r="AZ228" s="296"/>
      <c r="BA228" s="454"/>
      <c r="BW228" s="138"/>
      <c r="BX228" s="139"/>
      <c r="BY228" s="138"/>
      <c r="BZ228" s="138"/>
      <c r="CA228" s="273"/>
    </row>
    <row r="229" customFormat="false" ht="12.75" hidden="false" customHeight="true" outlineLevel="0" collapsed="false">
      <c r="AA229" s="474" t="n">
        <v>1997</v>
      </c>
      <c r="AB229" s="474" t="s">
        <v>587</v>
      </c>
      <c r="AC229" s="475"/>
      <c r="AD229" s="476"/>
      <c r="AE229" s="477" t="n">
        <f aca="false">IVA!AE212+IVA!AE246</f>
        <v>1520440</v>
      </c>
      <c r="AF229" s="477" t="n">
        <f aca="false">IVA!AF212+IVA!AF246</f>
        <v>1109068</v>
      </c>
      <c r="AG229" s="477" t="n">
        <f aca="false">IVA!AG212+IVA!AG246</f>
        <v>996088</v>
      </c>
      <c r="AH229" s="477" t="n">
        <f aca="false">IVA!AH212+IVA!AH246</f>
        <v>1095993</v>
      </c>
      <c r="AI229" s="477" t="n">
        <f aca="false">IVA!AI212+IVA!AI246</f>
        <v>1095433</v>
      </c>
      <c r="AJ229" s="477" t="n">
        <f aca="false">IVA!AJ212+IVA!AJ246</f>
        <v>1059452</v>
      </c>
      <c r="AK229" s="477" t="n">
        <f aca="false">IVA!AK212+IVA!AK246</f>
        <v>1572048</v>
      </c>
      <c r="AL229" s="477" t="n">
        <f aca="false">IVA!AL212+IVA!AL246</f>
        <v>1073939</v>
      </c>
      <c r="AM229" s="477" t="n">
        <f aca="false">IVA!AM212+IVA!AM246</f>
        <v>1120153</v>
      </c>
      <c r="AN229" s="477" t="n">
        <f aca="false">IVA!AN212+IVA!AN246</f>
        <v>1142927</v>
      </c>
      <c r="AO229" s="477" t="n">
        <f aca="false">IVA!AO212+IVA!AO246</f>
        <v>1099689</v>
      </c>
      <c r="AP229" s="478" t="n">
        <f aca="false">IVA!AP212+IVA!AP246</f>
        <v>1194207</v>
      </c>
      <c r="AQ229" s="155" t="n">
        <f aca="false">IVA!AE229+IVA!AF229+IVA!AG229</f>
        <v>3625596</v>
      </c>
      <c r="AR229" s="155" t="n">
        <f aca="false">IVA!AH229+IVA!AI229+IVA!AJ229</f>
        <v>3250878</v>
      </c>
      <c r="AS229" s="155" t="n">
        <f aca="false">IVA!AK229+IVA!AL229+IVA!AM229</f>
        <v>3766140</v>
      </c>
      <c r="AT229" s="155" t="n">
        <f aca="false">IVA!AP229+IVA!AO229+IVA!AN229</f>
        <v>3436823</v>
      </c>
      <c r="AU229" s="467" t="n">
        <f aca="false">IVA!AQ229+IVA!AR229+IVA!AS229+IVA!AT229</f>
        <v>14079437</v>
      </c>
      <c r="AV229" s="130" t="n">
        <f aca="false">IVA!AQ229/IVA!CJ6</f>
        <v>0.0133657597876576</v>
      </c>
      <c r="AW229" s="130" t="n">
        <f aca="false">IVA!AR229/IVA!CK6</f>
        <v>0.0108408659669905</v>
      </c>
      <c r="AX229" s="130" t="n">
        <f aca="false">IVA!AS229/IVA!CL6</f>
        <v>0.0126268254981942</v>
      </c>
      <c r="AY229" s="130" t="n">
        <f aca="false">IVA!AT229/IVA!CM6</f>
        <v>0.0113787948230598</v>
      </c>
      <c r="AZ229" s="271" t="n">
        <f aca="false">IVA!AU229/IVA!CN6</f>
        <v>0.048075841608028</v>
      </c>
      <c r="BA229" s="454"/>
      <c r="BW229" s="138"/>
      <c r="BX229" s="139"/>
      <c r="BY229" s="138"/>
      <c r="BZ229" s="138"/>
      <c r="CA229" s="273"/>
    </row>
    <row r="230" customFormat="false" ht="12.75" hidden="false" customHeight="true" outlineLevel="0" collapsed="false">
      <c r="AA230" s="474" t="n">
        <v>1998</v>
      </c>
      <c r="AB230" s="474" t="s">
        <v>587</v>
      </c>
      <c r="AC230" s="475"/>
      <c r="AD230" s="476"/>
      <c r="AE230" s="477" t="n">
        <f aca="false">IVA!AE213+IVA!AE247</f>
        <v>1579131</v>
      </c>
      <c r="AF230" s="477" t="n">
        <f aca="false">IVA!AF213+IVA!AF247</f>
        <v>1141175</v>
      </c>
      <c r="AG230" s="477" t="n">
        <f aca="false">IVA!AG213+IVA!AG247</f>
        <v>1098750</v>
      </c>
      <c r="AH230" s="477" t="n">
        <f aca="false">IVA!AH213+IVA!AH247</f>
        <v>1102589</v>
      </c>
      <c r="AI230" s="477" t="n">
        <f aca="false">IVA!AI213+IVA!AI247</f>
        <v>1117932</v>
      </c>
      <c r="AJ230" s="477" t="n">
        <f aca="false">IVA!AJ213+IVA!AJ247</f>
        <v>1160196</v>
      </c>
      <c r="AK230" s="477" t="n">
        <f aca="false">IVA!AK213+IVA!AK247</f>
        <v>1604554</v>
      </c>
      <c r="AL230" s="477" t="n">
        <f aca="false">IVA!AL213+IVA!AL247</f>
        <v>1140898</v>
      </c>
      <c r="AM230" s="477" t="n">
        <f aca="false">IVA!AM213+IVA!AM247</f>
        <v>1116300</v>
      </c>
      <c r="AN230" s="477" t="n">
        <f aca="false">IVA!AN213+IVA!AN247</f>
        <v>1140319</v>
      </c>
      <c r="AO230" s="477" t="n">
        <f aca="false">IVA!AO213+IVA!AO247</f>
        <v>1113978</v>
      </c>
      <c r="AP230" s="478" t="n">
        <f aca="false">IVA!AP213+IVA!AP247</f>
        <v>1112913</v>
      </c>
      <c r="AQ230" s="155" t="n">
        <f aca="false">IVA!AE230+IVA!AF230+IVA!AG230</f>
        <v>3819056</v>
      </c>
      <c r="AR230" s="155" t="n">
        <f aca="false">IVA!AH230+IVA!AI230+IVA!AJ230</f>
        <v>3380717</v>
      </c>
      <c r="AS230" s="155" t="n">
        <f aca="false">IVA!AK230+IVA!AL230+IVA!AM230</f>
        <v>3861752</v>
      </c>
      <c r="AT230" s="155" t="n">
        <f aca="false">IVA!AP230+IVA!AO230+IVA!AN230</f>
        <v>3367210</v>
      </c>
      <c r="AU230" s="467" t="n">
        <f aca="false">IVA!AQ230+IVA!AR230+IVA!AS230+IVA!AT230</f>
        <v>14428735</v>
      </c>
      <c r="AV230" s="130" t="n">
        <f aca="false">IVA!AQ230/IVA!CJ7</f>
        <v>0.0135061606145054</v>
      </c>
      <c r="AW230" s="130" t="n">
        <f aca="false">IVA!AR230/IVA!CK7</f>
        <v>0.0108311492920702</v>
      </c>
      <c r="AX230" s="130" t="n">
        <f aca="false">IVA!AS230/IVA!CL7</f>
        <v>0.0126418035154935</v>
      </c>
      <c r="AY230" s="130" t="n">
        <f aca="false">IVA!AT230/IVA!CM7</f>
        <v>0.0113978381092175</v>
      </c>
      <c r="AZ230" s="271" t="n">
        <f aca="false">IVA!AU230/IVA!CN7</f>
        <v>0.0482649748263583</v>
      </c>
      <c r="BA230" s="454"/>
      <c r="BW230" s="138"/>
      <c r="BX230" s="139"/>
      <c r="BY230" s="138"/>
      <c r="BZ230" s="138"/>
      <c r="CA230" s="273"/>
    </row>
    <row r="231" customFormat="false" ht="12.75" hidden="false" customHeight="true" outlineLevel="0" collapsed="false">
      <c r="AA231" s="474" t="n">
        <v>1999</v>
      </c>
      <c r="AB231" s="474" t="s">
        <v>587</v>
      </c>
      <c r="AC231" s="475"/>
      <c r="AD231" s="476"/>
      <c r="AE231" s="477" t="n">
        <f aca="false">IVA!AE214+IVA!AE248</f>
        <v>1633378</v>
      </c>
      <c r="AF231" s="477" t="n">
        <f aca="false">IVA!AF214+IVA!AF248</f>
        <v>1109126</v>
      </c>
      <c r="AG231" s="477" t="n">
        <f aca="false">IVA!AG214+IVA!AG248</f>
        <v>1088398</v>
      </c>
      <c r="AH231" s="477" t="n">
        <f aca="false">IVA!AH214+IVA!AH248</f>
        <v>1038152</v>
      </c>
      <c r="AI231" s="477" t="n">
        <f aca="false">IVA!AI214+IVA!AI248</f>
        <v>1014536</v>
      </c>
      <c r="AJ231" s="477" t="n">
        <f aca="false">IVA!AJ214+IVA!AJ248</f>
        <v>1006980</v>
      </c>
      <c r="AK231" s="477" t="n">
        <f aca="false">IVA!AK214+IVA!AK248</f>
        <v>1457165</v>
      </c>
      <c r="AL231" s="477" t="n">
        <f aca="false">IVA!AL214+IVA!AL248</f>
        <v>1017788</v>
      </c>
      <c r="AM231" s="477" t="n">
        <f aca="false">IVA!AM214+IVA!AM248</f>
        <v>1007229</v>
      </c>
      <c r="AN231" s="477" t="n">
        <f aca="false">IVA!AN214+IVA!AN248</f>
        <v>918959</v>
      </c>
      <c r="AO231" s="477" t="n">
        <f aca="false">IVA!AO214+IVA!AO248</f>
        <v>1017344</v>
      </c>
      <c r="AP231" s="478" t="n">
        <f aca="false">IVA!AP214+IVA!AP248</f>
        <v>973736</v>
      </c>
      <c r="AQ231" s="155" t="n">
        <f aca="false">IVA!AE231+IVA!AF231+IVA!AG231</f>
        <v>3830902</v>
      </c>
      <c r="AR231" s="155" t="n">
        <f aca="false">IVA!AH231+IVA!AI231+IVA!AJ231</f>
        <v>3059668</v>
      </c>
      <c r="AS231" s="155" t="n">
        <f aca="false">IVA!AK231+IVA!AL231+IVA!AM231</f>
        <v>3482182</v>
      </c>
      <c r="AT231" s="155" t="n">
        <f aca="false">IVA!AP231+IVA!AO231+IVA!AN231</f>
        <v>2910039</v>
      </c>
      <c r="AU231" s="467" t="n">
        <f aca="false">IVA!AQ231+IVA!AR231+IVA!AS231+IVA!AT231</f>
        <v>13282791</v>
      </c>
      <c r="AV231" s="130" t="n">
        <f aca="false">IVA!AQ231/IVA!CJ8</f>
        <v>0.0141494315705495</v>
      </c>
      <c r="AW231" s="130" t="n">
        <f aca="false">IVA!AR231/IVA!CK8</f>
        <v>0.0105933231524251</v>
      </c>
      <c r="AX231" s="130" t="n">
        <f aca="false">IVA!AS231/IVA!CL8</f>
        <v>0.0122144529169155</v>
      </c>
      <c r="AY231" s="130" t="n">
        <f aca="false">IVA!AT231/IVA!CM8</f>
        <v>0.01005441997705</v>
      </c>
      <c r="AZ231" s="271" t="n">
        <f aca="false">IVA!AU231/IVA!CN8</f>
        <v>0.0468490735373412</v>
      </c>
      <c r="BA231" s="454"/>
      <c r="BW231" s="138"/>
      <c r="BX231" s="139"/>
      <c r="BY231" s="138"/>
      <c r="BZ231" s="138"/>
      <c r="CA231" s="273"/>
    </row>
    <row r="232" customFormat="false" ht="12.75" hidden="false" customHeight="true" outlineLevel="0" collapsed="false">
      <c r="AA232" s="474" t="n">
        <v>2000</v>
      </c>
      <c r="AB232" s="474" t="s">
        <v>587</v>
      </c>
      <c r="AC232" s="475"/>
      <c r="AD232" s="476"/>
      <c r="AE232" s="477" t="n">
        <f aca="false">IVA!AE215+IVA!AE249</f>
        <v>1400204.39491</v>
      </c>
      <c r="AF232" s="477" t="n">
        <f aca="false">IVA!AF215+IVA!AF249</f>
        <v>1022085.68653</v>
      </c>
      <c r="AG232" s="477" t="n">
        <f aca="false">IVA!AG215+IVA!AG249</f>
        <v>995249.615</v>
      </c>
      <c r="AH232" s="477" t="n">
        <f aca="false">IVA!AH215+IVA!AH249</f>
        <v>948727.014</v>
      </c>
      <c r="AI232" s="477" t="n">
        <f aca="false">IVA!AI215+IVA!AI249</f>
        <v>995392.6279</v>
      </c>
      <c r="AJ232" s="477" t="n">
        <f aca="false">IVA!AJ215+IVA!AJ249</f>
        <v>1044354.78747</v>
      </c>
      <c r="AK232" s="477" t="n">
        <f aca="false">IVA!AK215+IVA!AK249</f>
        <v>1453630.745</v>
      </c>
      <c r="AL232" s="477" t="n">
        <f aca="false">IVA!AL215+IVA!AL249</f>
        <v>1012842.6439</v>
      </c>
      <c r="AM232" s="477" t="n">
        <f aca="false">IVA!AM215+IVA!AM249</f>
        <v>1000798.5577</v>
      </c>
      <c r="AN232" s="477" t="n">
        <f aca="false">IVA!AN215+IVA!AN249</f>
        <v>1007183.7362</v>
      </c>
      <c r="AO232" s="477" t="n">
        <f aca="false">IVA!AO215+IVA!AO249</f>
        <v>942904.43671</v>
      </c>
      <c r="AP232" s="478" t="n">
        <f aca="false">IVA!AP215+IVA!AP249</f>
        <v>996336.81885</v>
      </c>
      <c r="AQ232" s="155" t="n">
        <f aca="false">IVA!AE232+IVA!AF232+IVA!AG232</f>
        <v>3417539.69644</v>
      </c>
      <c r="AR232" s="155" t="n">
        <f aca="false">IVA!AH232+IVA!AI232+IVA!AJ232</f>
        <v>2988474.42937</v>
      </c>
      <c r="AS232" s="155" t="n">
        <f aca="false">IVA!AK232+IVA!AL232+IVA!AM232</f>
        <v>3467271.9466</v>
      </c>
      <c r="AT232" s="155" t="n">
        <f aca="false">IVA!AP232+IVA!AO232+IVA!AN232</f>
        <v>2946424.99176</v>
      </c>
      <c r="AU232" s="467" t="n">
        <f aca="false">IVA!AQ232+IVA!AR232+IVA!AS232+IVA!AT232</f>
        <v>12819711.06417</v>
      </c>
      <c r="AV232" s="130" t="n">
        <f aca="false">IVA!AQ232/IVA!CJ9</f>
        <v>0.0126367739585275</v>
      </c>
      <c r="AW232" s="130" t="n">
        <f aca="false">IVA!AR232/IVA!CK9</f>
        <v>0.0102416564443223</v>
      </c>
      <c r="AX232" s="130" t="n">
        <f aca="false">IVA!AS232/IVA!CL9</f>
        <v>0.0120602591320363</v>
      </c>
      <c r="AY232" s="130" t="n">
        <f aca="false">IVA!AT232/IVA!CM9</f>
        <v>0.0102634635934576</v>
      </c>
      <c r="AZ232" s="271" t="n">
        <f aca="false">IVA!AU232/IVA!CN9</f>
        <v>0.0451074679562122</v>
      </c>
      <c r="BA232" s="454"/>
      <c r="BW232" s="138"/>
      <c r="BX232" s="139"/>
      <c r="BY232" s="138"/>
      <c r="BZ232" s="138"/>
      <c r="CA232" s="273"/>
    </row>
    <row r="233" customFormat="false" ht="12.75" hidden="false" customHeight="true" outlineLevel="0" collapsed="false">
      <c r="AA233" s="474" t="n">
        <v>2001</v>
      </c>
      <c r="AB233" s="474" t="s">
        <v>587</v>
      </c>
      <c r="AC233" s="475"/>
      <c r="AD233" s="476"/>
      <c r="AE233" s="477" t="n">
        <f aca="false">IVA!AE216+IVA!AE250</f>
        <v>1390872.26641</v>
      </c>
      <c r="AF233" s="477" t="n">
        <f aca="false">IVA!AF216+IVA!AF250</f>
        <v>1015898.18066</v>
      </c>
      <c r="AG233" s="477" t="n">
        <f aca="false">IVA!AG216+IVA!AG250</f>
        <v>1009631.56384</v>
      </c>
      <c r="AH233" s="477" t="n">
        <f aca="false">IVA!AH216+IVA!AH250</f>
        <v>938186.67221</v>
      </c>
      <c r="AI233" s="477" t="n">
        <f aca="false">IVA!AI216+IVA!AI250</f>
        <v>970035.99964</v>
      </c>
      <c r="AJ233" s="477" t="n">
        <f aca="false">IVA!AJ216+IVA!AJ250</f>
        <v>910657.03435</v>
      </c>
      <c r="AK233" s="477" t="n">
        <f aca="false">IVA!AK216+IVA!AK250</f>
        <v>1301047.26923</v>
      </c>
      <c r="AL233" s="477" t="n">
        <f aca="false">IVA!AL216+IVA!AL250</f>
        <v>969931.33893</v>
      </c>
      <c r="AM233" s="477" t="n">
        <f aca="false">IVA!AM216+IVA!AM250</f>
        <v>933169.7943</v>
      </c>
      <c r="AN233" s="477" t="n">
        <f aca="false">IVA!AN216+IVA!AN250</f>
        <v>912989.87309</v>
      </c>
      <c r="AO233" s="477" t="n">
        <f aca="false">IVA!AO216+IVA!AO250</f>
        <v>870541.7072</v>
      </c>
      <c r="AP233" s="478" t="n">
        <f aca="false">IVA!AP216+IVA!AP250</f>
        <v>594047.6322</v>
      </c>
      <c r="AQ233" s="155" t="n">
        <f aca="false">IVA!AE233+IVA!AF233+IVA!AG233</f>
        <v>3416402.01091</v>
      </c>
      <c r="AR233" s="155" t="n">
        <f aca="false">IVA!AH233+IVA!AI233+IVA!AJ233</f>
        <v>2818879.7062</v>
      </c>
      <c r="AS233" s="155" t="n">
        <f aca="false">IVA!AK233+IVA!AL233+IVA!AM233</f>
        <v>3204148.40246</v>
      </c>
      <c r="AT233" s="155" t="n">
        <f aca="false">IVA!AP233+IVA!AO233+IVA!AN233</f>
        <v>2377579.21249</v>
      </c>
      <c r="AU233" s="467" t="n">
        <f aca="false">IVA!AQ233+IVA!AR233+IVA!AS233+IVA!AT233</f>
        <v>11817009.33206</v>
      </c>
      <c r="AV233" s="130" t="n">
        <f aca="false">IVA!AQ233/IVA!CJ10</f>
        <v>0.0129737934801068</v>
      </c>
      <c r="AW233" s="130" t="n">
        <f aca="false">IVA!AR233/IVA!CK10</f>
        <v>0.00978689066241976</v>
      </c>
      <c r="AX233" s="130" t="n">
        <f aca="false">IVA!AS233/IVA!CL10</f>
        <v>0.0118074258145134</v>
      </c>
      <c r="AY233" s="130" t="n">
        <f aca="false">IVA!AT233/IVA!CM10</f>
        <v>0.00943248210834598</v>
      </c>
      <c r="AZ233" s="271" t="n">
        <f aca="false">IVA!AU233/IVA!CN10</f>
        <v>0.0439789879947792</v>
      </c>
      <c r="BA233" s="454"/>
      <c r="BW233" s="138"/>
      <c r="BX233" s="139"/>
      <c r="BY233" s="138"/>
      <c r="BZ233" s="138"/>
      <c r="CA233" s="273"/>
    </row>
    <row r="234" customFormat="false" ht="12.75" hidden="false" customHeight="true" outlineLevel="0" collapsed="false">
      <c r="AA234" s="474" t="n">
        <v>2002</v>
      </c>
      <c r="AB234" s="474" t="s">
        <v>587</v>
      </c>
      <c r="AC234" s="475"/>
      <c r="AD234" s="476"/>
      <c r="AE234" s="477" t="n">
        <f aca="false">IVA!AE217+IVA!AE251</f>
        <v>897817.19414</v>
      </c>
      <c r="AF234" s="477" t="n">
        <f aca="false">IVA!AF217+IVA!AF251</f>
        <v>734019.42827</v>
      </c>
      <c r="AG234" s="477" t="n">
        <f aca="false">IVA!AG217+IVA!AG251</f>
        <v>669305.50072</v>
      </c>
      <c r="AH234" s="477" t="n">
        <f aca="false">IVA!AH217+IVA!AH251</f>
        <v>672150.43203</v>
      </c>
      <c r="AI234" s="477" t="n">
        <f aca="false">IVA!AI217+IVA!AI251</f>
        <v>831102.87327</v>
      </c>
      <c r="AJ234" s="477" t="n">
        <f aca="false">IVA!AJ217+IVA!AJ251</f>
        <v>794372.44395</v>
      </c>
      <c r="AK234" s="477" t="n">
        <f aca="false">IVA!AK217+IVA!AK251</f>
        <v>1118183.25803</v>
      </c>
      <c r="AL234" s="477" t="n">
        <f aca="false">IVA!AL217+IVA!AL251</f>
        <v>845295.49481</v>
      </c>
      <c r="AM234" s="477" t="n">
        <f aca="false">IVA!AM217+IVA!AM251</f>
        <v>844755.91994</v>
      </c>
      <c r="AN234" s="477" t="n">
        <f aca="false">IVA!AN217+IVA!AN251</f>
        <v>868149.98141</v>
      </c>
      <c r="AO234" s="477" t="n">
        <f aca="false">IVA!AO217+IVA!AO251</f>
        <v>835118.38266</v>
      </c>
      <c r="AP234" s="478" t="n">
        <f aca="false">IVA!AP217+IVA!AP251</f>
        <v>837385.89351</v>
      </c>
      <c r="AQ234" s="155" t="n">
        <f aca="false">IVA!AE234+IVA!AF234+IVA!AG234</f>
        <v>2301142.12313</v>
      </c>
      <c r="AR234" s="155" t="n">
        <f aca="false">IVA!AH234+IVA!AI234+IVA!AJ234</f>
        <v>2297625.74925</v>
      </c>
      <c r="AS234" s="155" t="n">
        <f aca="false">IVA!AK234+IVA!AL234+IVA!AM234</f>
        <v>2808234.67278</v>
      </c>
      <c r="AT234" s="155" t="n">
        <f aca="false">IVA!AP234+IVA!AO234+IVA!AN234</f>
        <v>2540654.25758</v>
      </c>
      <c r="AU234" s="467" t="n">
        <f aca="false">IVA!AQ234+IVA!AR234+IVA!AS234+IVA!AT234</f>
        <v>9947656.80274</v>
      </c>
      <c r="AV234" s="130" t="n">
        <f aca="false">IVA!AQ234/IVA!CJ11</f>
        <v>0.00970712580995288</v>
      </c>
      <c r="AW234" s="130" t="n">
        <f aca="false">IVA!AR234/IVA!CK11</f>
        <v>0.0067774931044936</v>
      </c>
      <c r="AX234" s="130" t="n">
        <f aca="false">IVA!AS234/IVA!CL11</f>
        <v>0.00840773139363826</v>
      </c>
      <c r="AY234" s="130" t="n">
        <f aca="false">IVA!AT234/IVA!CM11</f>
        <v>0.00746703472705353</v>
      </c>
      <c r="AZ234" s="271" t="n">
        <f aca="false">IVA!AU234/IVA!CN11</f>
        <v>0.0318243400872697</v>
      </c>
      <c r="BA234" s="454"/>
      <c r="BW234" s="138"/>
      <c r="BX234" s="139"/>
      <c r="BY234" s="138"/>
      <c r="BZ234" s="138"/>
      <c r="CA234" s="273"/>
    </row>
    <row r="235" customFormat="false" ht="12.75" hidden="false" customHeight="true" outlineLevel="0" collapsed="false">
      <c r="AA235" s="474" t="n">
        <v>2003</v>
      </c>
      <c r="AB235" s="474" t="s">
        <v>587</v>
      </c>
      <c r="AC235" s="475"/>
      <c r="AD235" s="476"/>
      <c r="AE235" s="477" t="n">
        <f aca="false">IVA!AE218+IVA!AE252</f>
        <v>1228306.7609</v>
      </c>
      <c r="AF235" s="477" t="n">
        <f aca="false">IVA!AF218+IVA!AF252</f>
        <v>869716.25065</v>
      </c>
      <c r="AG235" s="477" t="n">
        <f aca="false">IVA!AG218+IVA!AG252</f>
        <v>811620.95247</v>
      </c>
      <c r="AH235" s="477" t="n">
        <f aca="false">IVA!AH218+IVA!AH252</f>
        <v>899189.24805</v>
      </c>
      <c r="AI235" s="477" t="n">
        <f aca="false">IVA!AI218+IVA!AI252</f>
        <v>939586.76753</v>
      </c>
      <c r="AJ235" s="477" t="n">
        <f aca="false">IVA!AJ218+IVA!AJ252</f>
        <v>922411.72215</v>
      </c>
      <c r="AK235" s="477" t="n">
        <f aca="false">IVA!AK218+IVA!AK252</f>
        <v>1352829.39747</v>
      </c>
      <c r="AL235" s="477" t="n">
        <f aca="false">IVA!AL218+IVA!AL252</f>
        <v>994897.44236</v>
      </c>
      <c r="AM235" s="477" t="n">
        <f aca="false">IVA!AM218+IVA!AM252</f>
        <v>1025837.5985</v>
      </c>
      <c r="AN235" s="477" t="n">
        <f aca="false">IVA!AN218+IVA!AN252</f>
        <v>1060042.58944</v>
      </c>
      <c r="AO235" s="477" t="n">
        <f aca="false">IVA!AO218+IVA!AO252</f>
        <v>1081939.16495</v>
      </c>
      <c r="AP235" s="478" t="n">
        <f aca="false">IVA!AP218+IVA!AP252</f>
        <v>1108648.72797</v>
      </c>
      <c r="AQ235" s="155" t="n">
        <f aca="false">IVA!AE235+IVA!AF235+IVA!AG235</f>
        <v>2909643.96402</v>
      </c>
      <c r="AR235" s="155" t="n">
        <f aca="false">IVA!AH235+IVA!AI235+IVA!AJ235</f>
        <v>2761187.73773</v>
      </c>
      <c r="AS235" s="155" t="n">
        <f aca="false">IVA!AK235+IVA!AL235+IVA!AM235</f>
        <v>3373564.43833</v>
      </c>
      <c r="AT235" s="155" t="n">
        <f aca="false">IVA!AP235+IVA!AO235+IVA!AN235</f>
        <v>3250630.48236</v>
      </c>
      <c r="AU235" s="467" t="n">
        <f aca="false">IVA!AQ235+IVA!AR235+IVA!AS235+IVA!AT235</f>
        <v>12295026.62244</v>
      </c>
      <c r="AV235" s="130" t="n">
        <f aca="false">IVA!AQ235/IVA!CJ12</f>
        <v>0.00888815428797478</v>
      </c>
      <c r="AW235" s="130" t="n">
        <f aca="false">IVA!AR235/IVA!CK12</f>
        <v>0.00691820952548675</v>
      </c>
      <c r="AX235" s="130" t="n">
        <f aca="false">IVA!AS235/IVA!CL12</f>
        <v>0.0089274366953706</v>
      </c>
      <c r="AY235" s="130" t="n">
        <f aca="false">IVA!AT235/IVA!CM12</f>
        <v>0.00814144249989455</v>
      </c>
      <c r="AZ235" s="271" t="n">
        <f aca="false">IVA!AU235/IVA!CN12</f>
        <v>0.0327074233447106</v>
      </c>
      <c r="BA235" s="454"/>
      <c r="BW235" s="138"/>
      <c r="BX235" s="139"/>
      <c r="BY235" s="138"/>
      <c r="BZ235" s="138"/>
      <c r="CA235" s="273"/>
    </row>
    <row r="236" customFormat="false" ht="12.75" hidden="false" customHeight="true" outlineLevel="0" collapsed="false">
      <c r="AA236" s="474" t="n">
        <v>2004</v>
      </c>
      <c r="AB236" s="474" t="s">
        <v>587</v>
      </c>
      <c r="AC236" s="475"/>
      <c r="AD236" s="476"/>
      <c r="AE236" s="477" t="n">
        <f aca="false">IVA!AE219+IVA!AE253</f>
        <v>1641592.83906</v>
      </c>
      <c r="AF236" s="477" t="n">
        <f aca="false">IVA!AF219+IVA!AF253</f>
        <v>1223635.38343</v>
      </c>
      <c r="AG236" s="477" t="n">
        <f aca="false">IVA!AG219+IVA!AG253</f>
        <v>1179784.34181</v>
      </c>
      <c r="AH236" s="477" t="n">
        <f aca="false">IVA!AH219+IVA!AH253</f>
        <v>1206783.9169</v>
      </c>
      <c r="AI236" s="477" t="n">
        <f aca="false">IVA!AI219+IVA!AI253</f>
        <v>1314414.01292</v>
      </c>
      <c r="AJ236" s="477" t="n">
        <f aca="false">IVA!AJ219+IVA!AJ253</f>
        <v>1235768.33504</v>
      </c>
      <c r="AK236" s="477" t="n">
        <f aca="false">IVA!AK219+IVA!AK253</f>
        <v>1823859.48444</v>
      </c>
      <c r="AL236" s="477" t="n">
        <f aca="false">IVA!AL219+IVA!AL253</f>
        <v>1297733.25378</v>
      </c>
      <c r="AM236" s="477" t="n">
        <f aca="false">IVA!AM219+IVA!AM253</f>
        <v>1408844.83306</v>
      </c>
      <c r="AN236" s="477" t="n">
        <f aca="false">IVA!AN219+IVA!AN253</f>
        <v>1353554.47079</v>
      </c>
      <c r="AO236" s="477" t="n">
        <f aca="false">IVA!AO219+IVA!AO253</f>
        <v>1366515.91368</v>
      </c>
      <c r="AP236" s="478" t="n">
        <f aca="false">IVA!AP219+IVA!AP253</f>
        <v>1362916.69515</v>
      </c>
      <c r="AQ236" s="155" t="n">
        <f aca="false">IVA!AE236+IVA!AF236+IVA!AG236</f>
        <v>4045012.5643</v>
      </c>
      <c r="AR236" s="155" t="n">
        <f aca="false">IVA!AH236+IVA!AI236+IVA!AJ236</f>
        <v>3756966.26486</v>
      </c>
      <c r="AS236" s="155" t="n">
        <f aca="false">IVA!AK236+IVA!AL236+IVA!AM236</f>
        <v>4530437.57128</v>
      </c>
      <c r="AT236" s="155" t="n">
        <f aca="false">IVA!AP236+IVA!AO236+IVA!AN236</f>
        <v>4082987.07962</v>
      </c>
      <c r="AU236" s="467" t="n">
        <f aca="false">IVA!AQ236+IVA!AR236+IVA!AS236+IVA!AT236</f>
        <v>16415403.48006</v>
      </c>
      <c r="AV236" s="130" t="n">
        <f aca="false">IVA!AQ236/IVA!CJ13</f>
        <v>0.0102974478301601</v>
      </c>
      <c r="AW236" s="130" t="n">
        <f aca="false">IVA!AR236/IVA!CK13</f>
        <v>0.00792252770497077</v>
      </c>
      <c r="AX236" s="130" t="n">
        <f aca="false">IVA!AS236/IVA!CL13</f>
        <v>0.0100213257388966</v>
      </c>
      <c r="AY236" s="130" t="n">
        <f aca="false">IVA!AT236/IVA!CM13</f>
        <v>0.00866023951241557</v>
      </c>
      <c r="AZ236" s="271" t="n">
        <f aca="false">IVA!AU236/IVA!CN13</f>
        <v>0.0366707127587616</v>
      </c>
      <c r="BA236" s="454"/>
      <c r="BW236" s="138"/>
      <c r="BX236" s="139"/>
      <c r="BY236" s="138"/>
      <c r="BZ236" s="138"/>
      <c r="CA236" s="273"/>
    </row>
    <row r="237" customFormat="false" ht="12.75" hidden="false" customHeight="true" outlineLevel="0" collapsed="false">
      <c r="AA237" s="474" t="n">
        <v>2005</v>
      </c>
      <c r="AB237" s="474" t="s">
        <v>587</v>
      </c>
      <c r="AC237" s="475"/>
      <c r="AD237" s="476"/>
      <c r="AE237" s="477" t="n">
        <f aca="false">IVA!AE220+IVA!AE254</f>
        <v>1966952.62202</v>
      </c>
      <c r="AF237" s="477" t="n">
        <f aca="false">IVA!AF220+IVA!AF254</f>
        <v>1576573.39763</v>
      </c>
      <c r="AG237" s="477" t="n">
        <f aca="false">IVA!AG220+IVA!AG254</f>
        <v>1393334.40091</v>
      </c>
      <c r="AH237" s="477" t="n">
        <f aca="false">IVA!AH220+IVA!AH254</f>
        <v>1469544.5114</v>
      </c>
      <c r="AI237" s="477" t="n">
        <f aca="false">IVA!AI220+IVA!AI254</f>
        <v>1549694.92623</v>
      </c>
      <c r="AJ237" s="477" t="n">
        <f aca="false">IVA!AJ220+IVA!AJ254</f>
        <v>1583489.36031</v>
      </c>
      <c r="AK237" s="477" t="n">
        <f aca="false">IVA!AK220+IVA!AK254</f>
        <v>2292954.70541</v>
      </c>
      <c r="AL237" s="477" t="n">
        <f aca="false">IVA!AL220+IVA!AL254</f>
        <v>1785336.31629</v>
      </c>
      <c r="AM237" s="477" t="n">
        <f aca="false">IVA!AM220+IVA!AM254</f>
        <v>1819663.59171</v>
      </c>
      <c r="AN237" s="477" t="n">
        <f aca="false">IVA!AN220+IVA!AN254</f>
        <v>1933401.43597</v>
      </c>
      <c r="AO237" s="477" t="n">
        <f aca="false">IVA!AO220+IVA!AO254</f>
        <v>1973153.60729</v>
      </c>
      <c r="AP237" s="478" t="n">
        <f aca="false">IVA!AP220+IVA!AP254</f>
        <v>2008131.60479</v>
      </c>
      <c r="AQ237" s="155" t="n">
        <f aca="false">IVA!AE237+IVA!AF237+IVA!AG237</f>
        <v>4936860.42056</v>
      </c>
      <c r="AR237" s="155" t="n">
        <f aca="false">IVA!AH237+IVA!AI237+IVA!AJ237</f>
        <v>4602728.79794</v>
      </c>
      <c r="AS237" s="155" t="n">
        <f aca="false">IVA!AK237+IVA!AL237+IVA!AM237</f>
        <v>5897954.61341</v>
      </c>
      <c r="AT237" s="155" t="n">
        <f aca="false">IVA!AP237+IVA!AO237+IVA!AN237</f>
        <v>5914686.64805</v>
      </c>
      <c r="AU237" s="467" t="n">
        <f aca="false">IVA!AQ237+IVA!AR237+IVA!AS237+IVA!AT237</f>
        <v>21352230.47996</v>
      </c>
      <c r="AV237" s="130" t="n">
        <f aca="false">IVA!AQ237/IVA!CJ14</f>
        <v>0.0108083395814031</v>
      </c>
      <c r="AW237" s="130" t="n">
        <f aca="false">IVA!AR237/IVA!CK14</f>
        <v>0.00833206052205063</v>
      </c>
      <c r="AX237" s="130" t="n">
        <f aca="false">IVA!AS237/IVA!CL14</f>
        <v>0.01083728291275</v>
      </c>
      <c r="AY237" s="130" t="n">
        <f aca="false">IVA!AT237/IVA!CM14</f>
        <v>0.010298032146517</v>
      </c>
      <c r="AZ237" s="271" t="n">
        <f aca="false">IVA!AU237/IVA!CN14</f>
        <v>0.0401403950962273</v>
      </c>
      <c r="BA237" s="454"/>
      <c r="BW237" s="138"/>
      <c r="BX237" s="139"/>
      <c r="BY237" s="138"/>
      <c r="BZ237" s="138"/>
      <c r="CA237" s="273"/>
    </row>
    <row r="238" customFormat="false" ht="12.75" hidden="false" customHeight="true" outlineLevel="0" collapsed="false">
      <c r="AA238" s="474" t="n">
        <v>2006</v>
      </c>
      <c r="AB238" s="474" t="s">
        <v>587</v>
      </c>
      <c r="AC238" s="475"/>
      <c r="AD238" s="476"/>
      <c r="AE238" s="477" t="n">
        <f aca="false">IVA!AE221+IVA!AE255</f>
        <v>2798703.79874</v>
      </c>
      <c r="AF238" s="477" t="n">
        <f aca="false">IVA!AF221+IVA!AF255</f>
        <v>2180746.21942</v>
      </c>
      <c r="AG238" s="477" t="n">
        <f aca="false">IVA!AG221+IVA!AG255</f>
        <v>2137763.74313</v>
      </c>
      <c r="AH238" s="477" t="n">
        <f aca="false">IVA!AH221+IVA!AH255</f>
        <v>2163210.40269</v>
      </c>
      <c r="AI238" s="477" t="n">
        <f aca="false">IVA!AI221+IVA!AI255</f>
        <v>2274781.20829</v>
      </c>
      <c r="AJ238" s="477" t="n">
        <f aca="false">IVA!AJ221+IVA!AJ255</f>
        <v>2384487.56832</v>
      </c>
      <c r="AK238" s="477" t="n">
        <f aca="false">IVA!AK221+IVA!AK255</f>
        <v>3295233.52344</v>
      </c>
      <c r="AL238" s="477" t="n">
        <f aca="false">IVA!AL221+IVA!AL255</f>
        <v>2460243.06095</v>
      </c>
      <c r="AM238" s="477" t="n">
        <f aca="false">IVA!AM221+IVA!AM255</f>
        <v>2495605.9753</v>
      </c>
      <c r="AN238" s="477" t="n">
        <f aca="false">IVA!AN221+IVA!AN255</f>
        <v>2698751.81805</v>
      </c>
      <c r="AO238" s="477" t="n">
        <f aca="false">IVA!AO221+IVA!AO255</f>
        <v>2704441.3117</v>
      </c>
      <c r="AP238" s="478" t="n">
        <f aca="false">IVA!AP221+IVA!AP255</f>
        <v>2782917.12418</v>
      </c>
      <c r="AQ238" s="155" t="n">
        <f aca="false">IVA!AE238+IVA!AF238+IVA!AG238</f>
        <v>7117213.76129</v>
      </c>
      <c r="AR238" s="155" t="n">
        <f aca="false">IVA!AH238+IVA!AI238+IVA!AJ238</f>
        <v>6822479.1793</v>
      </c>
      <c r="AS238" s="155" t="n">
        <f aca="false">IVA!AK238+IVA!AL238+IVA!AM238</f>
        <v>8251082.55969</v>
      </c>
      <c r="AT238" s="155" t="n">
        <f aca="false">IVA!AP238+IVA!AO238+IVA!AN238</f>
        <v>8186110.25393</v>
      </c>
      <c r="AU238" s="467" t="n">
        <f aca="false">IVA!AQ238+IVA!AR238+IVA!AS238+IVA!AT238</f>
        <v>30376885.75421</v>
      </c>
      <c r="AV238" s="130" t="n">
        <f aca="false">IVA!AQ238/IVA!CJ15</f>
        <v>0.0125304382815487</v>
      </c>
      <c r="AW238" s="130" t="n">
        <f aca="false">IVA!AR238/IVA!CK15</f>
        <v>0.0100585223148029</v>
      </c>
      <c r="AX238" s="130" t="n">
        <f aca="false">IVA!AS238/IVA!CL15</f>
        <v>0.0123482741315851</v>
      </c>
      <c r="AY238" s="130" t="n">
        <f aca="false">IVA!AT238/IVA!CM15</f>
        <v>0.0116398039707237</v>
      </c>
      <c r="AZ238" s="271" t="n">
        <f aca="false">IVA!AU238/IVA!CN15</f>
        <v>0.0464166812169184</v>
      </c>
      <c r="BA238" s="454"/>
      <c r="BW238" s="138"/>
      <c r="BX238" s="139"/>
      <c r="BY238" s="138"/>
      <c r="BZ238" s="138"/>
      <c r="CA238" s="273"/>
    </row>
    <row r="239" customFormat="false" ht="12.75" hidden="false" customHeight="true" outlineLevel="0" collapsed="false">
      <c r="AA239" s="474" t="n">
        <v>2007</v>
      </c>
      <c r="AB239" s="474" t="s">
        <v>587</v>
      </c>
      <c r="AC239" s="475"/>
      <c r="AD239" s="476"/>
      <c r="AE239" s="477" t="n">
        <f aca="false">IVA!AE222+IVA!AE256</f>
        <v>3969963.5765</v>
      </c>
      <c r="AF239" s="477" t="n">
        <f aca="false">IVA!AF222+IVA!AF256</f>
        <v>3198388.108</v>
      </c>
      <c r="AG239" s="477" t="n">
        <f aca="false">IVA!AG222+IVA!AG256</f>
        <v>3216593.73961</v>
      </c>
      <c r="AH239" s="477" t="n">
        <f aca="false">IVA!AH222+IVA!AH256</f>
        <v>3192846.58962</v>
      </c>
      <c r="AI239" s="477" t="n">
        <f aca="false">IVA!AI222+IVA!AI256</f>
        <v>3330780.35802</v>
      </c>
      <c r="AJ239" s="477" t="n">
        <f aca="false">IVA!AJ222+IVA!AJ256</f>
        <v>3374143.56818</v>
      </c>
      <c r="AK239" s="477" t="n">
        <f aca="false">IVA!AK222+IVA!AK256</f>
        <v>4572184.1127</v>
      </c>
      <c r="AL239" s="477" t="n">
        <f aca="false">IVA!AL222+IVA!AL256</f>
        <v>3612356.56156</v>
      </c>
      <c r="AM239" s="477" t="n">
        <f aca="false">IVA!AM222+IVA!AM256</f>
        <v>3666003.2335</v>
      </c>
      <c r="AN239" s="477" t="n">
        <f aca="false">IVA!AN222+IVA!AN256</f>
        <v>3743936.46387</v>
      </c>
      <c r="AO239" s="477" t="n">
        <f aca="false">IVA!AO222+IVA!AO256</f>
        <v>3804830.96464</v>
      </c>
      <c r="AP239" s="478" t="n">
        <f aca="false">IVA!AP222+IVA!AP256</f>
        <v>3890517.1986</v>
      </c>
      <c r="AQ239" s="155" t="n">
        <f aca="false">IVA!AE239+IVA!AF239+IVA!AG239</f>
        <v>10384945.42411</v>
      </c>
      <c r="AR239" s="155" t="n">
        <f aca="false">IVA!AH239+IVA!AI239+IVA!AJ239</f>
        <v>9897770.51582</v>
      </c>
      <c r="AS239" s="155" t="n">
        <f aca="false">IVA!AK239+IVA!AL239+IVA!AM239</f>
        <v>11850543.90776</v>
      </c>
      <c r="AT239" s="155" t="n">
        <f aca="false">IVA!AP239+IVA!AO239+IVA!AN239</f>
        <v>11439284.62711</v>
      </c>
      <c r="AU239" s="467" t="n">
        <f aca="false">IVA!AQ239+IVA!AR239+IVA!AS239+IVA!AT239</f>
        <v>43572544.4748</v>
      </c>
      <c r="AV239" s="130" t="n">
        <f aca="false">IVA!AQ239/IVA!CJ16</f>
        <v>0.0152468660795601</v>
      </c>
      <c r="AW239" s="130" t="n">
        <f aca="false">IVA!AR239/IVA!CK16</f>
        <v>0.011851839320008</v>
      </c>
      <c r="AX239" s="130" t="n">
        <f aca="false">IVA!AS239/IVA!CL16</f>
        <v>0.0143215393410461</v>
      </c>
      <c r="AY239" s="130" t="n">
        <f aca="false">IVA!AT239/IVA!CM16</f>
        <v>0.0126245405848257</v>
      </c>
      <c r="AZ239" s="271" t="n">
        <f aca="false">IVA!AU239/IVA!CN16</f>
        <v>0.0536306626882623</v>
      </c>
      <c r="BA239" s="454"/>
      <c r="BW239" s="138"/>
      <c r="BX239" s="139"/>
      <c r="BY239" s="138"/>
      <c r="BZ239" s="138"/>
      <c r="CA239" s="273"/>
    </row>
    <row r="240" customFormat="false" ht="12.75" hidden="false" customHeight="true" outlineLevel="0" collapsed="false">
      <c r="AA240" s="474" t="n">
        <v>2008</v>
      </c>
      <c r="AB240" s="474" t="s">
        <v>587</v>
      </c>
      <c r="AC240" s="475"/>
      <c r="AD240" s="476"/>
      <c r="AE240" s="477" t="n">
        <f aca="false">IVA!AE223+IVA!AE257</f>
        <v>5266859.67562</v>
      </c>
      <c r="AF240" s="477" t="n">
        <f aca="false">IVA!AF223+IVA!AF257</f>
        <v>4506031.54309</v>
      </c>
      <c r="AG240" s="477" t="n">
        <f aca="false">IVA!AG223+IVA!AG257</f>
        <v>4329890.53607</v>
      </c>
      <c r="AH240" s="477" t="n">
        <f aca="false">IVA!AH223+IVA!AH257</f>
        <v>4700336.74577</v>
      </c>
      <c r="AI240" s="477" t="n">
        <f aca="false">IVA!AI223+IVA!AI257</f>
        <v>4913338.78925</v>
      </c>
      <c r="AJ240" s="477" t="n">
        <f aca="false">IVA!AJ223+IVA!AJ257</f>
        <v>4884990.56708</v>
      </c>
      <c r="AK240" s="477" t="n">
        <f aca="false">IVA!AK223+IVA!AK257</f>
        <v>6664644.35675</v>
      </c>
      <c r="AL240" s="477" t="n">
        <f aca="false">IVA!AL223+IVA!AL257</f>
        <v>5162434.1448</v>
      </c>
      <c r="AM240" s="477" t="n">
        <f aca="false">IVA!AM223+IVA!AM257</f>
        <v>5350905.425</v>
      </c>
      <c r="AN240" s="477" t="n">
        <f aca="false">IVA!AN223+IVA!AN257</f>
        <v>5391229.47865</v>
      </c>
      <c r="AO240" s="477" t="n">
        <f aca="false">IVA!AO223+IVA!AO257</f>
        <v>5608923.18233</v>
      </c>
      <c r="AP240" s="478" t="n">
        <f aca="false">IVA!AP223+IVA!AP257</f>
        <v>5466150.53182</v>
      </c>
      <c r="AQ240" s="155" t="n">
        <f aca="false">IVA!AE240+IVA!AF240+IVA!AG240</f>
        <v>14102781.75478</v>
      </c>
      <c r="AR240" s="155" t="n">
        <f aca="false">IVA!AH240+IVA!AI240+IVA!AJ240</f>
        <v>14498666.1021</v>
      </c>
      <c r="AS240" s="155" t="n">
        <f aca="false">IVA!AK240+IVA!AL240+IVA!AM240</f>
        <v>17177983.92655</v>
      </c>
      <c r="AT240" s="155" t="n">
        <f aca="false">IVA!AP240+IVA!AO240+IVA!AN240</f>
        <v>16466303.1928</v>
      </c>
      <c r="AU240" s="467" t="n">
        <f aca="false">IVA!AQ240+IVA!AR240+IVA!AS240+IVA!AT240</f>
        <v>62245734.97623</v>
      </c>
      <c r="AV240" s="130" t="n">
        <f aca="false">IVA!AQ240/IVA!CJ17</f>
        <v>0.0158878983496518</v>
      </c>
      <c r="AW240" s="130" t="n">
        <f aca="false">IVA!AR240/IVA!CK17</f>
        <v>0.0130861138084464</v>
      </c>
      <c r="AX240" s="130" t="n">
        <f aca="false">IVA!AS240/IVA!CL17</f>
        <v>0.0162431762447903</v>
      </c>
      <c r="AY240" s="130" t="n">
        <f aca="false">IVA!AT240/IVA!CM17</f>
        <v>0.015276332083527</v>
      </c>
      <c r="AZ240" s="271" t="n">
        <f aca="false">IVA!AU240/IVA!CN17</f>
        <v>0.0602713655824792</v>
      </c>
      <c r="BA240" s="454"/>
      <c r="BW240" s="264"/>
      <c r="BX240" s="263"/>
      <c r="BY240" s="264"/>
      <c r="BZ240" s="264"/>
      <c r="CA240" s="303"/>
    </row>
    <row r="241" customFormat="false" ht="12.75" hidden="false" customHeight="true" outlineLevel="0" collapsed="false">
      <c r="AA241" s="474" t="n">
        <v>2009</v>
      </c>
      <c r="AB241" s="474" t="s">
        <v>587</v>
      </c>
      <c r="AC241" s="475"/>
      <c r="AD241" s="476"/>
      <c r="AE241" s="477" t="n">
        <f aca="false">IVA!AE224+IVA!AE258</f>
        <v>7305043</v>
      </c>
      <c r="AF241" s="477" t="n">
        <f aca="false">IVA!AF224+IVA!AF258</f>
        <v>5790859</v>
      </c>
      <c r="AG241" s="477" t="n">
        <f aca="false">IVA!AG224+IVA!AG258</f>
        <v>5598071</v>
      </c>
      <c r="AH241" s="477" t="n">
        <f aca="false">IVA!AH224+IVA!AH258</f>
        <v>5721387</v>
      </c>
      <c r="AI241" s="477" t="n">
        <f aca="false">IVA!AI224+IVA!AI258</f>
        <v>5761417</v>
      </c>
      <c r="AJ241" s="477" t="n">
        <f aca="false">IVA!AJ224+IVA!AJ258</f>
        <v>5857322</v>
      </c>
      <c r="AK241" s="477" t="n">
        <f aca="false">IVA!AK224+IVA!AK258</f>
        <v>7856580</v>
      </c>
      <c r="AL241" s="477" t="n">
        <f aca="false">IVA!AL224+IVA!AL258</f>
        <v>6364804</v>
      </c>
      <c r="AM241" s="477" t="n">
        <f aca="false">IVA!AM224+IVA!AM258</f>
        <v>6520048</v>
      </c>
      <c r="AN241" s="477" t="n">
        <f aca="false">IVA!AN224+IVA!AN258</f>
        <v>6553657</v>
      </c>
      <c r="AO241" s="477" t="n">
        <f aca="false">IVA!AO224+IVA!AO258</f>
        <v>6278183</v>
      </c>
      <c r="AP241" s="478" t="n">
        <f aca="false">IVA!AP224+IVA!AP258</f>
        <v>6669855</v>
      </c>
      <c r="AQ241" s="155" t="n">
        <f aca="false">IVA!AE241+IVA!AF241+IVA!AG241</f>
        <v>18693973</v>
      </c>
      <c r="AR241" s="155" t="n">
        <f aca="false">IVA!AH241+IVA!AI241+IVA!AJ241</f>
        <v>17340126</v>
      </c>
      <c r="AS241" s="155" t="n">
        <f aca="false">IVA!AK241+IVA!AL241+IVA!AM241</f>
        <v>20741432</v>
      </c>
      <c r="AT241" s="155" t="n">
        <f aca="false">IVA!AP241+IVA!AO241+IVA!AN241</f>
        <v>19501695</v>
      </c>
      <c r="AU241" s="470" t="n">
        <f aca="false">IVA!AQ241+IVA!AR241+IVA!AS241+IVA!AT241</f>
        <v>76277226</v>
      </c>
      <c r="AV241" s="130" t="n">
        <f aca="false">IVA!AQ241/IVA!CJ18</f>
        <v>0.0188264737220558</v>
      </c>
      <c r="AW241" s="130" t="n">
        <f aca="false">IVA!AR241/IVA!CK18</f>
        <v>0.0145060446744038</v>
      </c>
      <c r="AX241" s="130" t="n">
        <f aca="false">IVA!AS241/IVA!CL18</f>
        <v>0.0177459979228375</v>
      </c>
      <c r="AY241" s="130" t="n">
        <f aca="false">IVA!AT241/IVA!CM18</f>
        <v>0.0159236019246018</v>
      </c>
      <c r="AZ241" s="271" t="n">
        <f aca="false">IVA!AU241/IVA!CN18</f>
        <v>0.0665910086629303</v>
      </c>
      <c r="BA241" s="454"/>
      <c r="BW241" s="264"/>
      <c r="BX241" s="263"/>
      <c r="BY241" s="264"/>
      <c r="BZ241" s="264"/>
      <c r="CA241" s="303"/>
    </row>
    <row r="242" customFormat="false" ht="12.75" hidden="false" customHeight="true" outlineLevel="0" collapsed="false">
      <c r="AA242" s="474" t="n">
        <v>2010</v>
      </c>
      <c r="AB242" s="474" t="s">
        <v>587</v>
      </c>
      <c r="AC242" s="475"/>
      <c r="AD242" s="476"/>
      <c r="AE242" s="477" t="n">
        <f aca="false">IVA!AE225+IVA!AE259</f>
        <v>9023895</v>
      </c>
      <c r="AF242" s="477" t="n">
        <f aca="false">IVA!AF225+IVA!AF259</f>
        <v>6922290</v>
      </c>
      <c r="AG242" s="477" t="n">
        <f aca="false">IVA!AG225+IVA!AG259</f>
        <v>6997405</v>
      </c>
      <c r="AH242" s="477" t="n">
        <f aca="false">IVA!AH225+IVA!AH259</f>
        <v>7355142</v>
      </c>
      <c r="AI242" s="477" t="n">
        <f aca="false">IVA!AI225+IVA!AI259</f>
        <v>7590453</v>
      </c>
      <c r="AJ242" s="477" t="n">
        <f aca="false">IVA!AJ225+IVA!AJ259</f>
        <v>7740909</v>
      </c>
      <c r="AK242" s="477" t="n">
        <f aca="false">IVA!AK225+IVA!AK259</f>
        <v>10430462</v>
      </c>
      <c r="AL242" s="477" t="n">
        <f aca="false">IVA!AL225+IVA!AL259</f>
        <v>8193041</v>
      </c>
      <c r="AM242" s="477" t="n">
        <f aca="false">IVA!AM225+IVA!AM259</f>
        <v>8480702</v>
      </c>
      <c r="AN242" s="477" t="n">
        <f aca="false">IVA!AN225+IVA!AN259</f>
        <v>8567794</v>
      </c>
      <c r="AO242" s="477" t="n">
        <f aca="false">IVA!AO225+IVA!AO259</f>
        <v>8984608</v>
      </c>
      <c r="AP242" s="478" t="n">
        <f aca="false">IVA!AP225+IVA!AP259</f>
        <v>8989271</v>
      </c>
      <c r="AQ242" s="155" t="n">
        <f aca="false">IVA!AE242+IVA!AF242+IVA!AG242</f>
        <v>22943590</v>
      </c>
      <c r="AR242" s="155" t="n">
        <f aca="false">IVA!AH242+IVA!AI242+IVA!AJ242</f>
        <v>22686504</v>
      </c>
      <c r="AS242" s="155" t="n">
        <f aca="false">IVA!AK242+IVA!AL242+IVA!AM242</f>
        <v>27104205</v>
      </c>
      <c r="AT242" s="155" t="n">
        <f aca="false">IVA!AP242+IVA!AO242+IVA!AN242</f>
        <v>26541673</v>
      </c>
      <c r="AU242" s="470" t="n">
        <f aca="false">IVA!AQ242+IVA!AR242+IVA!AS242+IVA!AT242</f>
        <v>99275972</v>
      </c>
      <c r="AV242" s="130" t="n">
        <f aca="false">IVA!AQ242/IVA!CJ19</f>
        <v>0.0188466798808261</v>
      </c>
      <c r="AW242" s="130" t="n">
        <f aca="false">IVA!AR242/IVA!CK19</f>
        <v>0.0150412514858656</v>
      </c>
      <c r="AX242" s="130" t="n">
        <f aca="false">IVA!AS242/IVA!CL19</f>
        <v>0.018490351456326</v>
      </c>
      <c r="AY242" s="130" t="n">
        <f aca="false">IVA!AT242/IVA!CM19</f>
        <v>0.0168081186284759</v>
      </c>
      <c r="AZ242" s="271" t="n">
        <f aca="false">IVA!AU242/IVA!CN19</f>
        <v>0.0688147519309401</v>
      </c>
      <c r="BA242" s="454"/>
      <c r="BW242" s="264"/>
      <c r="BX242" s="263"/>
      <c r="BY242" s="264"/>
      <c r="BZ242" s="264"/>
      <c r="CA242" s="303"/>
    </row>
    <row r="243" customFormat="false" ht="12.75" hidden="false" customHeight="true" outlineLevel="0" collapsed="false">
      <c r="AA243" s="474" t="n">
        <v>2011</v>
      </c>
      <c r="AB243" s="474" t="s">
        <v>587</v>
      </c>
      <c r="AC243" s="475"/>
      <c r="AD243" s="476"/>
      <c r="AE243" s="477" t="n">
        <f aca="false">IVA!AE226+IVA!AE260</f>
        <v>12163902</v>
      </c>
      <c r="AF243" s="477" t="n">
        <f aca="false">IVA!AF226+IVA!AF260</f>
        <v>9657309</v>
      </c>
      <c r="AG243" s="477" t="n">
        <f aca="false">IVA!AG226+IVA!AG260</f>
        <v>9374590</v>
      </c>
      <c r="AH243" s="477" t="n">
        <f aca="false">IVA!AH226+IVA!AH260</f>
        <v>10246175</v>
      </c>
      <c r="AI243" s="477" t="n">
        <f aca="false">IVA!AI226+IVA!AI260</f>
        <v>10285567</v>
      </c>
      <c r="AJ243" s="477" t="n">
        <f aca="false">IVA!AJ226+IVA!AJ260</f>
        <v>10564747</v>
      </c>
      <c r="AK243" s="477" t="n">
        <f aca="false">IVA!AK226+IVA!AK260</f>
        <v>14129843</v>
      </c>
      <c r="AL243" s="477" t="n">
        <f aca="false">IVA!AL226+IVA!AL260</f>
        <v>11091972</v>
      </c>
      <c r="AM243" s="477" t="n">
        <f aca="false">IVA!AM226+IVA!AM260</f>
        <v>11410351</v>
      </c>
      <c r="AN243" s="477" t="n">
        <f aca="false">IVA!AN226+IVA!AN260</f>
        <v>11586703</v>
      </c>
      <c r="AO243" s="477" t="n">
        <f aca="false">IVA!AO226+IVA!AO260</f>
        <v>11541246</v>
      </c>
      <c r="AP243" s="478" t="n">
        <f aca="false">IVA!AP226+IVA!AP260</f>
        <v>11759145</v>
      </c>
      <c r="AQ243" s="155" t="n">
        <f aca="false">IVA!AE243+IVA!AF243+IVA!AG243</f>
        <v>31195801</v>
      </c>
      <c r="AR243" s="155" t="n">
        <f aca="false">IVA!AH243+IVA!AI243+IVA!AJ243</f>
        <v>31096489</v>
      </c>
      <c r="AS243" s="155" t="n">
        <f aca="false">IVA!AK243+IVA!AL243+IVA!AM243</f>
        <v>36632166</v>
      </c>
      <c r="AT243" s="155" t="n">
        <f aca="false">IVA!AP243+IVA!AO243+IVA!AN243</f>
        <v>34887094</v>
      </c>
      <c r="AU243" s="471" t="n">
        <f aca="false">IVA!AQ243+IVA!AR243+IVA!AS243+IVA!AT243</f>
        <v>133811550</v>
      </c>
      <c r="AV243" s="130" t="n">
        <f aca="false">IVA!AQ243/IVA!CJ20</f>
        <v>0.0199006117710101</v>
      </c>
      <c r="AW243" s="130" t="n">
        <f aca="false">IVA!AR243/IVA!CK20</f>
        <v>0.0157352792561154</v>
      </c>
      <c r="AX243" s="130" t="n">
        <f aca="false">IVA!AS243/IVA!CL20</f>
        <v>0.0196377960108043</v>
      </c>
      <c r="AY243" s="130" t="n">
        <f aca="false">IVA!AT243/IVA!CM20</f>
        <v>0.0178096226801588</v>
      </c>
      <c r="AZ243" s="271" t="n">
        <f aca="false">IVA!AU243/IVA!CN20</f>
        <v>0.0726438339021856</v>
      </c>
      <c r="BA243" s="454"/>
      <c r="BW243" s="264"/>
      <c r="BX243" s="263"/>
      <c r="BY243" s="264"/>
      <c r="BZ243" s="264"/>
      <c r="CA243" s="303"/>
    </row>
    <row r="244" customFormat="false" ht="12.75" hidden="false" customHeight="true" outlineLevel="0" collapsed="false">
      <c r="AA244" s="479" t="n">
        <v>2012</v>
      </c>
      <c r="AB244" s="480" t="s">
        <v>587</v>
      </c>
      <c r="AC244" s="481"/>
      <c r="AD244" s="479"/>
      <c r="AE244" s="482" t="n">
        <f aca="false">IVA!AE227+IVA!AE261</f>
        <v>16122954.09545</v>
      </c>
      <c r="AF244" s="482" t="n">
        <f aca="false">IVA!AF227+IVA!AF261</f>
        <v>12506076.22705</v>
      </c>
      <c r="AG244" s="482" t="n">
        <f aca="false">IVA!AG227+IVA!AG261</f>
        <v>12756174.54197</v>
      </c>
      <c r="AH244" s="482" t="n">
        <f aca="false">IVA!AH227+IVA!AH261</f>
        <v>13125729.28527</v>
      </c>
      <c r="AI244" s="482" t="n">
        <f aca="false">IVA!AI227+IVA!AI261</f>
        <v>13650876.73237</v>
      </c>
      <c r="AJ244" s="482" t="n">
        <f aca="false">IVA!AJ227+IVA!AJ261</f>
        <v>13636958.89624</v>
      </c>
      <c r="AK244" s="482" t="n">
        <f aca="false">IVA!AK227+IVA!AK261</f>
        <v>18467177.41041</v>
      </c>
      <c r="AL244" s="482" t="n">
        <f aca="false">IVA!AL227+IVA!AL261</f>
        <v>14472192.84346</v>
      </c>
      <c r="AM244" s="482" t="n">
        <f aca="false">IVA!AM227+IVA!AM261</f>
        <v>14537887.06142</v>
      </c>
      <c r="AN244" s="482" t="n">
        <f aca="false">IVA!AN227+IVA!AN261</f>
        <v>15046929.63391</v>
      </c>
      <c r="AO244" s="482" t="n">
        <f aca="false">IVA!AO227+IVA!AO261</f>
        <v>15383125.48303</v>
      </c>
      <c r="AP244" s="483" t="n">
        <f aca="false">IVA!AP227+IVA!AP261</f>
        <v>15548883.52341</v>
      </c>
      <c r="AQ244" s="326" t="n">
        <f aca="false">IVA!AE244+IVA!AF244+IVA!AG244</f>
        <v>41385204.86447</v>
      </c>
      <c r="AR244" s="326" t="n">
        <f aca="false">IVA!AH244+IVA!AI244+IVA!AJ244</f>
        <v>40413564.91388</v>
      </c>
      <c r="AS244" s="326" t="n">
        <f aca="false">IVA!AK244+IVA!AL244+IVA!AM244</f>
        <v>47477257.31529</v>
      </c>
      <c r="AT244" s="326" t="n">
        <f aca="false">IVA!AP244+IVA!AO244+IVA!AN244</f>
        <v>45978938.64035</v>
      </c>
      <c r="AU244" s="473" t="n">
        <f aca="false">IVA!AQ244+IVA!AR244+IVA!AS244+IVA!AT244</f>
        <v>175254965.73399</v>
      </c>
      <c r="AV244" s="484" t="n">
        <f aca="false">IVA!AQ244/IVA!CJ21</f>
        <v>0.0220728744540317</v>
      </c>
      <c r="AW244" s="484" t="n">
        <f aca="false">IVA!AR244/IVA!CK21</f>
        <v>0.0177785702797111</v>
      </c>
      <c r="AX244" s="484" t="n">
        <f aca="false">IVA!AS244/IVA!CL21</f>
        <v>0.0217495317865357</v>
      </c>
      <c r="AY244" s="484" t="n">
        <f aca="false">IVA!AT244/IVA!CM21</f>
        <v>0.01976757761774</v>
      </c>
      <c r="AZ244" s="485" t="n">
        <f aca="false">IVA!AU244/IVA!CN21</f>
        <v>0.0809773823226137</v>
      </c>
      <c r="BA244" s="454"/>
      <c r="BW244" s="264"/>
      <c r="BX244" s="263"/>
      <c r="BY244" s="264"/>
      <c r="BZ244" s="264"/>
      <c r="CA244" s="303"/>
    </row>
    <row r="245" customFormat="false" ht="12.75" hidden="false" customHeight="true" outlineLevel="0" collapsed="false">
      <c r="AA245" s="479"/>
      <c r="AB245" s="480"/>
      <c r="AC245" s="481"/>
      <c r="AD245" s="479"/>
      <c r="AE245" s="482"/>
      <c r="AF245" s="482"/>
      <c r="AG245" s="482"/>
      <c r="AH245" s="482"/>
      <c r="AI245" s="482"/>
      <c r="AJ245" s="482"/>
      <c r="AK245" s="482"/>
      <c r="AL245" s="482"/>
      <c r="AM245" s="482"/>
      <c r="AN245" s="482"/>
      <c r="AO245" s="482"/>
      <c r="AP245" s="483"/>
      <c r="AQ245" s="326"/>
      <c r="AR245" s="326"/>
      <c r="AS245" s="326"/>
      <c r="AT245" s="326"/>
      <c r="AU245" s="473"/>
      <c r="AV245" s="484"/>
      <c r="AW245" s="484"/>
      <c r="AX245" s="484"/>
      <c r="AY245" s="484"/>
      <c r="AZ245" s="485"/>
      <c r="BA245" s="454"/>
      <c r="BW245" s="264"/>
      <c r="BX245" s="263"/>
      <c r="BY245" s="264"/>
      <c r="BZ245" s="264"/>
      <c r="CA245" s="303"/>
    </row>
    <row r="246" customFormat="false" ht="12.75" hidden="false" customHeight="true" outlineLevel="0" collapsed="false">
      <c r="AA246" s="486" t="n">
        <v>1997</v>
      </c>
      <c r="AB246" s="486" t="s">
        <v>588</v>
      </c>
      <c r="AC246" s="487"/>
      <c r="AD246" s="488"/>
      <c r="AE246" s="489" t="n">
        <v>682595</v>
      </c>
      <c r="AF246" s="489" t="n">
        <v>497612</v>
      </c>
      <c r="AG246" s="489" t="n">
        <v>460799</v>
      </c>
      <c r="AH246" s="489" t="n">
        <v>514408</v>
      </c>
      <c r="AI246" s="489" t="n">
        <v>493779</v>
      </c>
      <c r="AJ246" s="489" t="n">
        <v>466147</v>
      </c>
      <c r="AK246" s="489" t="n">
        <v>725901</v>
      </c>
      <c r="AL246" s="489" t="n">
        <v>479597</v>
      </c>
      <c r="AM246" s="489" t="n">
        <v>503472</v>
      </c>
      <c r="AN246" s="489" t="n">
        <v>528040</v>
      </c>
      <c r="AO246" s="489" t="n">
        <v>488363</v>
      </c>
      <c r="AP246" s="490" t="n">
        <v>534331</v>
      </c>
      <c r="AQ246" s="155" t="n">
        <f aca="false">IVA!AE246+IVA!AF246+IVA!AG246</f>
        <v>1641006</v>
      </c>
      <c r="AR246" s="155" t="n">
        <f aca="false">IVA!AH246+IVA!AI246+IVA!AJ246</f>
        <v>1474334</v>
      </c>
      <c r="AS246" s="155" t="n">
        <f aca="false">IVA!AK246+IVA!AL246+IVA!AM246</f>
        <v>1708970</v>
      </c>
      <c r="AT246" s="155" t="n">
        <f aca="false">IVA!AN246+IVA!AO246+IVA!AP246</f>
        <v>1550734</v>
      </c>
      <c r="AU246" s="491" t="n">
        <f aca="false">IVA!AQ246+IVA!AR246+IVA!AS246+IVA!AT246</f>
        <v>6375044</v>
      </c>
      <c r="AV246" s="130" t="n">
        <f aca="false">IVA!AQ246/IVA!CJ6</f>
        <v>0.00604956867949569</v>
      </c>
      <c r="AW246" s="130" t="n">
        <f aca="false">IVA!AR246/IVA!CK6</f>
        <v>0.00491653555887885</v>
      </c>
      <c r="AX246" s="130" t="n">
        <f aca="false">IVA!AS246/IVA!CL6</f>
        <v>0.00572970361474851</v>
      </c>
      <c r="AY246" s="130" t="n">
        <f aca="false">IVA!AT246/IVA!CM6</f>
        <v>0.00513424287812986</v>
      </c>
      <c r="AZ246" s="271" t="n">
        <f aca="false">IVA!AU246/IVA!CN6</f>
        <v>0.0217683140020591</v>
      </c>
      <c r="BA246" s="454"/>
      <c r="BW246" s="264"/>
      <c r="BX246" s="263"/>
      <c r="BY246" s="264"/>
      <c r="BZ246" s="264"/>
      <c r="CA246" s="303"/>
    </row>
    <row r="247" customFormat="false" ht="12.75" hidden="false" customHeight="true" outlineLevel="0" collapsed="false">
      <c r="AA247" s="486" t="n">
        <v>1998</v>
      </c>
      <c r="AB247" s="486" t="s">
        <v>588</v>
      </c>
      <c r="AC247" s="487"/>
      <c r="AD247" s="488"/>
      <c r="AE247" s="489" t="n">
        <v>685751</v>
      </c>
      <c r="AF247" s="489" t="n">
        <v>486237</v>
      </c>
      <c r="AG247" s="489" t="n">
        <v>487936</v>
      </c>
      <c r="AH247" s="489" t="n">
        <v>489540</v>
      </c>
      <c r="AI247" s="489" t="n">
        <v>482093</v>
      </c>
      <c r="AJ247" s="489" t="n">
        <v>481871</v>
      </c>
      <c r="AK247" s="489" t="n">
        <v>696291</v>
      </c>
      <c r="AL247" s="489" t="n">
        <v>499522</v>
      </c>
      <c r="AM247" s="489" t="n">
        <v>490859</v>
      </c>
      <c r="AN247" s="489" t="n">
        <v>488177</v>
      </c>
      <c r="AO247" s="489" t="n">
        <v>488658</v>
      </c>
      <c r="AP247" s="490" t="n">
        <v>476654</v>
      </c>
      <c r="AQ247" s="155" t="n">
        <f aca="false">IVA!AE247+IVA!AF247+IVA!AG247</f>
        <v>1659924</v>
      </c>
      <c r="AR247" s="155" t="n">
        <f aca="false">IVA!AH247+IVA!AI247+IVA!AJ247</f>
        <v>1453504</v>
      </c>
      <c r="AS247" s="155" t="n">
        <f aca="false">IVA!AK247+IVA!AL247+IVA!AM247</f>
        <v>1686672</v>
      </c>
      <c r="AT247" s="155" t="n">
        <f aca="false">IVA!AN247+IVA!AO247+IVA!AP247</f>
        <v>1453489</v>
      </c>
      <c r="AU247" s="491" t="n">
        <f aca="false">IVA!AQ247+IVA!AR247+IVA!AS247+IVA!AT247</f>
        <v>6253589</v>
      </c>
      <c r="AV247" s="130" t="n">
        <f aca="false">IVA!AQ247/IVA!CJ7</f>
        <v>0.00587035124697628</v>
      </c>
      <c r="AW247" s="130" t="n">
        <f aca="false">IVA!AR247/IVA!CK7</f>
        <v>0.00465673962671859</v>
      </c>
      <c r="AX247" s="130" t="n">
        <f aca="false">IVA!AS247/IVA!CL7</f>
        <v>0.00552147730332876</v>
      </c>
      <c r="AY247" s="130" t="n">
        <f aca="false">IVA!AT247/IVA!CM7</f>
        <v>0.00491998785805711</v>
      </c>
      <c r="AZ247" s="271" t="n">
        <f aca="false">IVA!AU247/IVA!CN7</f>
        <v>0.0209186263147387</v>
      </c>
      <c r="BA247" s="454"/>
      <c r="BW247" s="264"/>
      <c r="BX247" s="263"/>
      <c r="BY247" s="264"/>
      <c r="BZ247" s="264"/>
      <c r="CA247" s="303"/>
    </row>
    <row r="248" customFormat="false" ht="12.75" hidden="false" customHeight="true" outlineLevel="0" collapsed="false">
      <c r="AA248" s="486" t="n">
        <v>1999</v>
      </c>
      <c r="AB248" s="486" t="s">
        <v>588</v>
      </c>
      <c r="AC248" s="487"/>
      <c r="AD248" s="488"/>
      <c r="AE248" s="489" t="n">
        <v>702940</v>
      </c>
      <c r="AF248" s="489" t="n">
        <v>496031</v>
      </c>
      <c r="AG248" s="489" t="n">
        <v>496213</v>
      </c>
      <c r="AH248" s="489" t="n">
        <v>471322</v>
      </c>
      <c r="AI248" s="489" t="n">
        <v>476925</v>
      </c>
      <c r="AJ248" s="489" t="n">
        <v>471059</v>
      </c>
      <c r="AK248" s="489" t="n">
        <v>671501</v>
      </c>
      <c r="AL248" s="489" t="n">
        <v>479626</v>
      </c>
      <c r="AM248" s="489" t="n">
        <v>473308</v>
      </c>
      <c r="AN248" s="489" t="n">
        <v>466055</v>
      </c>
      <c r="AO248" s="489" t="n">
        <v>482637</v>
      </c>
      <c r="AP248" s="490" t="n">
        <v>464329</v>
      </c>
      <c r="AQ248" s="155" t="n">
        <f aca="false">IVA!AE248+IVA!AF248+IVA!AG248</f>
        <v>1695184</v>
      </c>
      <c r="AR248" s="155" t="n">
        <f aca="false">IVA!AH248+IVA!AI248+IVA!AJ248</f>
        <v>1419306</v>
      </c>
      <c r="AS248" s="155" t="n">
        <f aca="false">IVA!AK248+IVA!AL248+IVA!AM248</f>
        <v>1624435</v>
      </c>
      <c r="AT248" s="155" t="n">
        <f aca="false">IVA!AN248+IVA!AO248+IVA!AP248</f>
        <v>1413021</v>
      </c>
      <c r="AU248" s="491" t="n">
        <f aca="false">IVA!AQ248+IVA!AR248+IVA!AS248+IVA!AT248</f>
        <v>6151946</v>
      </c>
      <c r="AV248" s="130" t="n">
        <f aca="false">IVA!AQ248/IVA!CJ8</f>
        <v>0.00626115990633287</v>
      </c>
      <c r="AW248" s="130" t="n">
        <f aca="false">IVA!AR248/IVA!CK8</f>
        <v>0.00491398645545067</v>
      </c>
      <c r="AX248" s="130" t="n">
        <f aca="false">IVA!AS248/IVA!CL8</f>
        <v>0.00569803210288539</v>
      </c>
      <c r="AY248" s="130" t="n">
        <f aca="false">IVA!AT248/IVA!CM8</f>
        <v>0.00488210177608998</v>
      </c>
      <c r="AZ248" s="271" t="n">
        <f aca="false">IVA!AU248/IVA!CN8</f>
        <v>0.0216982237055264</v>
      </c>
      <c r="BA248" s="454"/>
      <c r="BW248" s="264"/>
      <c r="BX248" s="263"/>
      <c r="BY248" s="264"/>
      <c r="BZ248" s="264"/>
      <c r="CA248" s="303"/>
    </row>
    <row r="249" customFormat="false" ht="12.75" hidden="false" customHeight="true" outlineLevel="0" collapsed="false">
      <c r="AA249" s="486" t="n">
        <v>2000</v>
      </c>
      <c r="AB249" s="486" t="s">
        <v>588</v>
      </c>
      <c r="AC249" s="487"/>
      <c r="AD249" s="488"/>
      <c r="AE249" s="489" t="n">
        <v>682540.276</v>
      </c>
      <c r="AF249" s="489" t="n">
        <v>498534.163</v>
      </c>
      <c r="AG249" s="489" t="n">
        <v>506964.497</v>
      </c>
      <c r="AH249" s="489" t="n">
        <v>488301.871</v>
      </c>
      <c r="AI249" s="489" t="n">
        <v>488385.04</v>
      </c>
      <c r="AJ249" s="489" t="n">
        <v>498538.234</v>
      </c>
      <c r="AK249" s="489" t="n">
        <v>690124.777</v>
      </c>
      <c r="AL249" s="489" t="n">
        <v>495474.323</v>
      </c>
      <c r="AM249" s="489" t="n">
        <v>476983.779</v>
      </c>
      <c r="AN249" s="489" t="n">
        <v>482395.097</v>
      </c>
      <c r="AO249" s="489" t="n">
        <v>464835.1348</v>
      </c>
      <c r="AP249" s="490" t="n">
        <v>487218.6437</v>
      </c>
      <c r="AQ249" s="155" t="n">
        <f aca="false">IVA!AE249+IVA!AF249+IVA!AG249</f>
        <v>1688038.936</v>
      </c>
      <c r="AR249" s="155" t="n">
        <f aca="false">IVA!AH249+IVA!AI249+IVA!AJ249</f>
        <v>1475225.145</v>
      </c>
      <c r="AS249" s="155" t="n">
        <f aca="false">IVA!AK249+IVA!AL249+IVA!AM249</f>
        <v>1662582.879</v>
      </c>
      <c r="AT249" s="155" t="n">
        <f aca="false">IVA!AN249+IVA!AO249+IVA!AP249</f>
        <v>1434448.8755</v>
      </c>
      <c r="AU249" s="491" t="n">
        <f aca="false">IVA!AQ249+IVA!AR249+IVA!AS249+IVA!AT249</f>
        <v>6260295.8355</v>
      </c>
      <c r="AV249" s="130" t="n">
        <f aca="false">IVA!AQ249/IVA!CJ9</f>
        <v>0.00624173187794885</v>
      </c>
      <c r="AW249" s="130" t="n">
        <f aca="false">IVA!AR249/IVA!CK9</f>
        <v>0.00505567287597659</v>
      </c>
      <c r="AX249" s="130" t="n">
        <f aca="false">IVA!AS249/IVA!CL9</f>
        <v>0.0057829846225039</v>
      </c>
      <c r="AY249" s="130" t="n">
        <f aca="false">IVA!AT249/IVA!CM9</f>
        <v>0.00499670409107418</v>
      </c>
      <c r="AZ249" s="271" t="n">
        <f aca="false">IVA!AU249/IVA!CN9</f>
        <v>0.02202749284931</v>
      </c>
      <c r="BA249" s="454"/>
      <c r="BW249" s="264"/>
      <c r="BX249" s="263"/>
      <c r="BY249" s="264"/>
      <c r="BZ249" s="264"/>
      <c r="CA249" s="303"/>
    </row>
    <row r="250" customFormat="false" ht="12.75" hidden="false" customHeight="true" outlineLevel="0" collapsed="false">
      <c r="AA250" s="486" t="n">
        <v>2001</v>
      </c>
      <c r="AB250" s="486" t="s">
        <v>588</v>
      </c>
      <c r="AC250" s="487"/>
      <c r="AD250" s="488"/>
      <c r="AE250" s="489" t="n">
        <v>677667.188</v>
      </c>
      <c r="AF250" s="489" t="n">
        <v>505750.107</v>
      </c>
      <c r="AG250" s="489" t="n">
        <v>516659.963</v>
      </c>
      <c r="AH250" s="489" t="n">
        <v>477545.406</v>
      </c>
      <c r="AI250" s="489" t="n">
        <v>484705.426</v>
      </c>
      <c r="AJ250" s="489" t="n">
        <v>461633.696</v>
      </c>
      <c r="AK250" s="489" t="n">
        <v>657095.996</v>
      </c>
      <c r="AL250" s="489" t="n">
        <v>451440.997</v>
      </c>
      <c r="AM250" s="489" t="n">
        <v>435380.217</v>
      </c>
      <c r="AN250" s="489" t="n">
        <v>437836.003</v>
      </c>
      <c r="AO250" s="489" t="n">
        <v>413868.24</v>
      </c>
      <c r="AP250" s="490" t="n">
        <v>224598.981</v>
      </c>
      <c r="AQ250" s="155" t="n">
        <f aca="false">IVA!AE250+IVA!AF250+IVA!AG250</f>
        <v>1700077.258</v>
      </c>
      <c r="AR250" s="155" t="n">
        <f aca="false">IVA!AH250+IVA!AI250+IVA!AJ250</f>
        <v>1423884.528</v>
      </c>
      <c r="AS250" s="155" t="n">
        <f aca="false">IVA!AK250+IVA!AL250+IVA!AM250</f>
        <v>1543917.21</v>
      </c>
      <c r="AT250" s="155" t="n">
        <f aca="false">IVA!AN250+IVA!AO250+IVA!AP250</f>
        <v>1076303.224</v>
      </c>
      <c r="AU250" s="491" t="n">
        <f aca="false">IVA!AQ250+IVA!AR250+IVA!AS250+IVA!AT250</f>
        <v>5744182.22</v>
      </c>
      <c r="AV250" s="130" t="n">
        <f aca="false">IVA!AQ250/IVA!CJ10</f>
        <v>0.00645604679281968</v>
      </c>
      <c r="AW250" s="130" t="n">
        <f aca="false">IVA!AR250/IVA!CK10</f>
        <v>0.0049435959118074</v>
      </c>
      <c r="AX250" s="130" t="n">
        <f aca="false">IVA!AS250/IVA!CL10</f>
        <v>0.00568940187253174</v>
      </c>
      <c r="AY250" s="130" t="n">
        <f aca="false">IVA!AT250/IVA!CM10</f>
        <v>0.00426997798862097</v>
      </c>
      <c r="AZ250" s="271" t="n">
        <f aca="false">IVA!AU250/IVA!CN10</f>
        <v>0.0213779403734435</v>
      </c>
      <c r="BA250" s="454"/>
      <c r="BW250" s="264"/>
      <c r="BX250" s="263"/>
      <c r="BY250" s="264"/>
      <c r="BZ250" s="264"/>
      <c r="CA250" s="303"/>
    </row>
    <row r="251" customFormat="false" ht="12.75" hidden="false" customHeight="true" outlineLevel="0" collapsed="false">
      <c r="AA251" s="486" t="n">
        <v>2002</v>
      </c>
      <c r="AB251" s="486" t="s">
        <v>588</v>
      </c>
      <c r="AC251" s="487"/>
      <c r="AD251" s="488"/>
      <c r="AE251" s="489" t="n">
        <v>322163.109</v>
      </c>
      <c r="AF251" s="489" t="n">
        <v>253250.831</v>
      </c>
      <c r="AG251" s="489" t="n">
        <v>258511.272</v>
      </c>
      <c r="AH251" s="489" t="n">
        <v>244674.048</v>
      </c>
      <c r="AI251" s="489" t="n">
        <v>310116.598</v>
      </c>
      <c r="AJ251" s="489" t="n">
        <v>291637.226</v>
      </c>
      <c r="AK251" s="489" t="n">
        <v>405957.984</v>
      </c>
      <c r="AL251" s="489" t="n">
        <v>303032.389</v>
      </c>
      <c r="AM251" s="489" t="n">
        <v>297184.993</v>
      </c>
      <c r="AN251" s="489" t="n">
        <v>298341.609</v>
      </c>
      <c r="AO251" s="489" t="n">
        <v>291606.508</v>
      </c>
      <c r="AP251" s="490" t="n">
        <v>287638.262</v>
      </c>
      <c r="AQ251" s="155" t="n">
        <f aca="false">IVA!AE251+IVA!AF251+IVA!AG251</f>
        <v>833925.212</v>
      </c>
      <c r="AR251" s="155" t="n">
        <f aca="false">IVA!AH251+IVA!AI251+IVA!AJ251</f>
        <v>846427.872</v>
      </c>
      <c r="AS251" s="155" t="n">
        <f aca="false">IVA!AK251+IVA!AL251+IVA!AM251</f>
        <v>1006175.366</v>
      </c>
      <c r="AT251" s="155" t="n">
        <f aca="false">IVA!AN251+IVA!AO251+IVA!AP251</f>
        <v>877586.379</v>
      </c>
      <c r="AU251" s="491" t="n">
        <f aca="false">IVA!AQ251+IVA!AR251+IVA!AS251+IVA!AT251</f>
        <v>3564114.829</v>
      </c>
      <c r="AV251" s="130" t="n">
        <f aca="false">IVA!AQ251/IVA!CJ11</f>
        <v>0.00351782572124004</v>
      </c>
      <c r="AW251" s="130" t="n">
        <f aca="false">IVA!AR251/IVA!CK11</f>
        <v>0.00249677697414549</v>
      </c>
      <c r="AX251" s="130" t="n">
        <f aca="false">IVA!AS251/IVA!CL11</f>
        <v>0.00301244489793621</v>
      </c>
      <c r="AY251" s="130" t="n">
        <f aca="false">IVA!AT251/IVA!CM11</f>
        <v>0.00257924428262188</v>
      </c>
      <c r="AZ251" s="271" t="n">
        <f aca="false">IVA!AU251/IVA!CN11</f>
        <v>0.0114022432294744</v>
      </c>
      <c r="BA251" s="454"/>
      <c r="BW251" s="264"/>
      <c r="BX251" s="263"/>
      <c r="BY251" s="264"/>
      <c r="BZ251" s="264"/>
      <c r="CA251" s="303"/>
    </row>
    <row r="252" customFormat="false" ht="12.75" hidden="false" customHeight="true" outlineLevel="0" collapsed="false">
      <c r="AA252" s="486" t="n">
        <v>2003</v>
      </c>
      <c r="AB252" s="486" t="s">
        <v>588</v>
      </c>
      <c r="AC252" s="487"/>
      <c r="AD252" s="488"/>
      <c r="AE252" s="489" t="n">
        <v>416764.458</v>
      </c>
      <c r="AF252" s="489" t="n">
        <v>309728.795</v>
      </c>
      <c r="AG252" s="489" t="n">
        <v>314765.941</v>
      </c>
      <c r="AH252" s="489" t="n">
        <v>358588.931</v>
      </c>
      <c r="AI252" s="489" t="n">
        <v>368446.408</v>
      </c>
      <c r="AJ252" s="489" t="n">
        <v>356926.146</v>
      </c>
      <c r="AK252" s="489" t="n">
        <v>515588.072</v>
      </c>
      <c r="AL252" s="489" t="n">
        <v>383202.519</v>
      </c>
      <c r="AM252" s="489" t="n">
        <v>401671.586</v>
      </c>
      <c r="AN252" s="489" t="n">
        <v>411342.634</v>
      </c>
      <c r="AO252" s="489" t="n">
        <v>430627.1721</v>
      </c>
      <c r="AP252" s="490" t="n">
        <v>424685.31872</v>
      </c>
      <c r="AQ252" s="155" t="n">
        <f aca="false">IVA!AE252+IVA!AF252+IVA!AG252</f>
        <v>1041259.194</v>
      </c>
      <c r="AR252" s="155" t="n">
        <f aca="false">IVA!AH252+IVA!AI252+IVA!AJ252</f>
        <v>1083961.485</v>
      </c>
      <c r="AS252" s="155" t="n">
        <f aca="false">IVA!AK252+IVA!AL252+IVA!AM252</f>
        <v>1300462.177</v>
      </c>
      <c r="AT252" s="155" t="n">
        <f aca="false">IVA!AN252+IVA!AO252+IVA!AP252</f>
        <v>1266655.12482</v>
      </c>
      <c r="AU252" s="491" t="n">
        <f aca="false">IVA!AQ252+IVA!AR252+IVA!AS252+IVA!AT252</f>
        <v>4692337.98082</v>
      </c>
      <c r="AV252" s="130" t="n">
        <f aca="false">IVA!AQ252/IVA!CJ12</f>
        <v>0.00318075767498977</v>
      </c>
      <c r="AW252" s="130" t="n">
        <f aca="false">IVA!AR252/IVA!CK12</f>
        <v>0.00271588656153921</v>
      </c>
      <c r="AX252" s="130" t="n">
        <f aca="false">IVA!AS252/IVA!CL12</f>
        <v>0.00344140269798388</v>
      </c>
      <c r="AY252" s="130" t="n">
        <f aca="false">IVA!AT252/IVA!CM12</f>
        <v>0.00317243067825779</v>
      </c>
      <c r="AZ252" s="271" t="n">
        <f aca="false">IVA!AU252/IVA!CN12</f>
        <v>0.0124826313539683</v>
      </c>
      <c r="BA252" s="454"/>
      <c r="BW252" s="264"/>
      <c r="BX252" s="263"/>
      <c r="BY252" s="264"/>
      <c r="BZ252" s="264"/>
      <c r="CA252" s="303"/>
    </row>
    <row r="253" customFormat="false" ht="12.75" hidden="false" customHeight="true" outlineLevel="0" collapsed="false">
      <c r="AA253" s="486" t="n">
        <v>2004</v>
      </c>
      <c r="AB253" s="486" t="s">
        <v>588</v>
      </c>
      <c r="AC253" s="487"/>
      <c r="AD253" s="488"/>
      <c r="AE253" s="489" t="n">
        <v>628156.43591</v>
      </c>
      <c r="AF253" s="489" t="n">
        <v>477167.50381</v>
      </c>
      <c r="AG253" s="489" t="n">
        <v>482590.91555</v>
      </c>
      <c r="AH253" s="489" t="n">
        <v>500056.81191</v>
      </c>
      <c r="AI253" s="489" t="n">
        <v>513955.09991</v>
      </c>
      <c r="AJ253" s="489" t="n">
        <v>481949.91613</v>
      </c>
      <c r="AK253" s="489" t="n">
        <v>692545.9344</v>
      </c>
      <c r="AL253" s="489" t="n">
        <v>502552.52882</v>
      </c>
      <c r="AM253" s="489" t="n">
        <v>530979.88191</v>
      </c>
      <c r="AN253" s="489" t="n">
        <v>519187.12753</v>
      </c>
      <c r="AO253" s="489" t="n">
        <v>516371.07187</v>
      </c>
      <c r="AP253" s="490" t="n">
        <v>529528.97972</v>
      </c>
      <c r="AQ253" s="155" t="n">
        <f aca="false">IVA!AE253+IVA!AF253+IVA!AG253</f>
        <v>1587914.85527</v>
      </c>
      <c r="AR253" s="155" t="n">
        <f aca="false">IVA!AH253+IVA!AI253+IVA!AJ253</f>
        <v>1495961.82795</v>
      </c>
      <c r="AS253" s="155" t="n">
        <f aca="false">IVA!AK253+IVA!AL253+IVA!AM253</f>
        <v>1726078.34513</v>
      </c>
      <c r="AT253" s="155" t="n">
        <f aca="false">IVA!AN253+IVA!AO253+IVA!AP253</f>
        <v>1565087.17912</v>
      </c>
      <c r="AU253" s="491" t="n">
        <f aca="false">IVA!AQ253+IVA!AR253+IVA!AS253+IVA!AT253</f>
        <v>6375042.20747</v>
      </c>
      <c r="AV253" s="130" t="n">
        <f aca="false">IVA!AQ253/IVA!CJ13</f>
        <v>0.00404237814369032</v>
      </c>
      <c r="AW253" s="130" t="n">
        <f aca="false">IVA!AR253/IVA!CK13</f>
        <v>0.00315461949668431</v>
      </c>
      <c r="AX253" s="130" t="n">
        <f aca="false">IVA!AS253/IVA!CL13</f>
        <v>0.00381808447313317</v>
      </c>
      <c r="AY253" s="130" t="n">
        <f aca="false">IVA!AT253/IVA!CM13</f>
        <v>0.00331963573841422</v>
      </c>
      <c r="AZ253" s="271" t="n">
        <f aca="false">IVA!AU253/IVA!CN13</f>
        <v>0.0142413399645696</v>
      </c>
      <c r="BA253" s="454"/>
      <c r="BW253" s="264"/>
      <c r="BX253" s="263"/>
      <c r="BY253" s="264"/>
      <c r="BZ253" s="264"/>
      <c r="CA253" s="303"/>
    </row>
    <row r="254" customFormat="false" ht="12.75" hidden="false" customHeight="true" outlineLevel="0" collapsed="false">
      <c r="AA254" s="486" t="n">
        <v>2005</v>
      </c>
      <c r="AB254" s="486" t="s">
        <v>588</v>
      </c>
      <c r="AC254" s="487"/>
      <c r="AD254" s="488"/>
      <c r="AE254" s="489" t="n">
        <v>764238.30681</v>
      </c>
      <c r="AF254" s="489" t="n">
        <v>576046.78419</v>
      </c>
      <c r="AG254" s="489" t="n">
        <v>559169.47947</v>
      </c>
      <c r="AH254" s="489" t="n">
        <v>574950.24246</v>
      </c>
      <c r="AI254" s="489" t="n">
        <v>589867.26991</v>
      </c>
      <c r="AJ254" s="489" t="n">
        <v>614048.4327</v>
      </c>
      <c r="AK254" s="489" t="n">
        <v>841372.89066</v>
      </c>
      <c r="AL254" s="489" t="n">
        <v>646943.74498</v>
      </c>
      <c r="AM254" s="489" t="n">
        <v>664964.33635</v>
      </c>
      <c r="AN254" s="489" t="n">
        <v>706932.29679</v>
      </c>
      <c r="AO254" s="489" t="n">
        <v>726323.50543</v>
      </c>
      <c r="AP254" s="490" t="n">
        <v>738868.3268</v>
      </c>
      <c r="AQ254" s="155" t="n">
        <f aca="false">IVA!AE254+IVA!AF254+IVA!AG254</f>
        <v>1899454.57047</v>
      </c>
      <c r="AR254" s="155" t="n">
        <f aca="false">IVA!AH254+IVA!AI254+IVA!AJ254</f>
        <v>1778865.94507</v>
      </c>
      <c r="AS254" s="155" t="n">
        <f aca="false">IVA!AK254+IVA!AL254+IVA!AM254</f>
        <v>2153280.97199</v>
      </c>
      <c r="AT254" s="155" t="n">
        <f aca="false">IVA!AN254+IVA!AO254+IVA!AP254</f>
        <v>2172124.12902</v>
      </c>
      <c r="AU254" s="491" t="n">
        <f aca="false">IVA!AQ254+IVA!AR254+IVA!AS254+IVA!AT254</f>
        <v>8003725.61655</v>
      </c>
      <c r="AV254" s="130" t="n">
        <f aca="false">IVA!AQ254/IVA!CJ14</f>
        <v>0.00415850323245702</v>
      </c>
      <c r="AW254" s="130" t="n">
        <f aca="false">IVA!AR254/IVA!CK14</f>
        <v>0.00322018075919911</v>
      </c>
      <c r="AX254" s="130" t="n">
        <f aca="false">IVA!AS254/IVA!CL14</f>
        <v>0.00395657759573791</v>
      </c>
      <c r="AY254" s="130" t="n">
        <f aca="false">IVA!AT254/IVA!CM14</f>
        <v>0.00378187475311949</v>
      </c>
      <c r="AZ254" s="271" t="n">
        <f aca="false">IVA!AU254/IVA!CN14</f>
        <v>0.0150463301148627</v>
      </c>
      <c r="BA254" s="454"/>
      <c r="BW254" s="264"/>
      <c r="BX254" s="263"/>
      <c r="BY254" s="264"/>
      <c r="BZ254" s="264"/>
      <c r="CA254" s="303"/>
    </row>
    <row r="255" customFormat="false" ht="12.75" hidden="false" customHeight="true" outlineLevel="0" collapsed="false">
      <c r="AA255" s="486" t="n">
        <v>2006</v>
      </c>
      <c r="AB255" s="486" t="s">
        <v>588</v>
      </c>
      <c r="AC255" s="487"/>
      <c r="AD255" s="488"/>
      <c r="AE255" s="489" t="n">
        <v>1010033.33653</v>
      </c>
      <c r="AF255" s="489" t="n">
        <v>773956.30795</v>
      </c>
      <c r="AG255" s="489" t="n">
        <v>780122.05799</v>
      </c>
      <c r="AH255" s="489" t="n">
        <v>789293.80991</v>
      </c>
      <c r="AI255" s="489" t="n">
        <v>827740.77005</v>
      </c>
      <c r="AJ255" s="489" t="n">
        <v>832154.18555</v>
      </c>
      <c r="AK255" s="489" t="n">
        <v>1161650.15054</v>
      </c>
      <c r="AL255" s="489" t="n">
        <v>890319.77317</v>
      </c>
      <c r="AM255" s="489" t="n">
        <v>888221.20577</v>
      </c>
      <c r="AN255" s="489" t="n">
        <v>910037.67223</v>
      </c>
      <c r="AO255" s="489" t="n">
        <v>924476.438459999</v>
      </c>
      <c r="AP255" s="490" t="n">
        <v>942806.96442</v>
      </c>
      <c r="AQ255" s="155" t="n">
        <f aca="false">IVA!AE255+IVA!AF255+IVA!AG255</f>
        <v>2564111.70247</v>
      </c>
      <c r="AR255" s="155" t="n">
        <f aca="false">IVA!AH255+IVA!AI255+IVA!AJ255</f>
        <v>2449188.76551</v>
      </c>
      <c r="AS255" s="155" t="n">
        <f aca="false">IVA!AK255+IVA!AL255+IVA!AM255</f>
        <v>2940191.12948</v>
      </c>
      <c r="AT255" s="155" t="n">
        <f aca="false">IVA!AN255+IVA!AO255+IVA!AP255</f>
        <v>2777321.07511</v>
      </c>
      <c r="AU255" s="491" t="n">
        <f aca="false">IVA!AQ255+IVA!AR255+IVA!AS255+IVA!AT255</f>
        <v>10730812.67257</v>
      </c>
      <c r="AV255" s="130" t="n">
        <f aca="false">IVA!AQ255/IVA!CJ15</f>
        <v>0.00451432885289281</v>
      </c>
      <c r="AW255" s="130" t="n">
        <f aca="false">IVA!AR255/IVA!CK15</f>
        <v>0.00361088970792205</v>
      </c>
      <c r="AX255" s="130" t="n">
        <f aca="false">IVA!AS255/IVA!CL15</f>
        <v>0.00440018455801731</v>
      </c>
      <c r="AY255" s="130" t="n">
        <f aca="false">IVA!AT255/IVA!CM15</f>
        <v>0.00394906394798678</v>
      </c>
      <c r="AZ255" s="271" t="n">
        <f aca="false">IVA!AU255/IVA!CN15</f>
        <v>0.0163969642922372</v>
      </c>
      <c r="BA255" s="454"/>
      <c r="BW255" s="264"/>
      <c r="BX255" s="263"/>
      <c r="BY255" s="264"/>
      <c r="BZ255" s="264"/>
      <c r="CA255" s="303"/>
    </row>
    <row r="256" customFormat="false" ht="12.75" hidden="false" customHeight="true" outlineLevel="0" collapsed="false">
      <c r="AA256" s="486" t="n">
        <v>2007</v>
      </c>
      <c r="AB256" s="486" t="s">
        <v>588</v>
      </c>
      <c r="AC256" s="487"/>
      <c r="AD256" s="488"/>
      <c r="AE256" s="489" t="n">
        <v>1336969.4653</v>
      </c>
      <c r="AF256" s="489" t="n">
        <v>1032072.92289</v>
      </c>
      <c r="AG256" s="489" t="n">
        <v>1017583.41375</v>
      </c>
      <c r="AH256" s="489" t="n">
        <v>1019749.29056</v>
      </c>
      <c r="AI256" s="489" t="n">
        <v>1107031.99723</v>
      </c>
      <c r="AJ256" s="489" t="n">
        <v>1078716.39954</v>
      </c>
      <c r="AK256" s="489" t="n">
        <v>1516834.26605</v>
      </c>
      <c r="AL256" s="489" t="n">
        <v>1153959.23973</v>
      </c>
      <c r="AM256" s="489" t="n">
        <v>1172138.15758</v>
      </c>
      <c r="AN256" s="489" t="n">
        <v>1304285.54727</v>
      </c>
      <c r="AO256" s="489" t="n">
        <v>1279956.11487</v>
      </c>
      <c r="AP256" s="490" t="n">
        <v>1303336.3113</v>
      </c>
      <c r="AQ256" s="155" t="n">
        <f aca="false">IVA!AE256+IVA!AF256+IVA!AG256</f>
        <v>3386625.80194</v>
      </c>
      <c r="AR256" s="155" t="n">
        <f aca="false">IVA!AH256+IVA!AI256+IVA!AJ256</f>
        <v>3205497.68733</v>
      </c>
      <c r="AS256" s="155" t="n">
        <f aca="false">IVA!AK256+IVA!AL256+IVA!AM256</f>
        <v>3842931.66336</v>
      </c>
      <c r="AT256" s="155" t="n">
        <f aca="false">IVA!AN256+IVA!AO256+IVA!AP256</f>
        <v>3887577.97344</v>
      </c>
      <c r="AU256" s="491" t="n">
        <f aca="false">IVA!AQ256+IVA!AR256+IVA!AS256+IVA!AT256</f>
        <v>14322633.12607</v>
      </c>
      <c r="AV256" s="130" t="n">
        <f aca="false">IVA!AQ256/IVA!CJ16</f>
        <v>0.00497214265025253</v>
      </c>
      <c r="AW256" s="130" t="n">
        <f aca="false">IVA!AR256/IVA!CK16</f>
        <v>0.00383834354112066</v>
      </c>
      <c r="AX256" s="130" t="n">
        <f aca="false">IVA!AS256/IVA!CL16</f>
        <v>0.00464423383687246</v>
      </c>
      <c r="AY256" s="130" t="n">
        <f aca="false">IVA!AT256/IVA!CM16</f>
        <v>0.00429038069269258</v>
      </c>
      <c r="AZ256" s="271" t="n">
        <f aca="false">IVA!AU256/IVA!CN16</f>
        <v>0.0176288145494059</v>
      </c>
      <c r="BA256" s="454"/>
      <c r="BW256" s="264"/>
      <c r="BX256" s="263"/>
      <c r="BY256" s="264"/>
      <c r="BZ256" s="264"/>
      <c r="CA256" s="303"/>
    </row>
    <row r="257" customFormat="false" ht="12.75" hidden="false" customHeight="true" outlineLevel="0" collapsed="false">
      <c r="AA257" s="486" t="n">
        <v>2008</v>
      </c>
      <c r="AB257" s="486" t="s">
        <v>588</v>
      </c>
      <c r="AC257" s="487"/>
      <c r="AD257" s="488"/>
      <c r="AE257" s="489" t="n">
        <v>1747273.56752</v>
      </c>
      <c r="AF257" s="489" t="n">
        <v>1661775.47404</v>
      </c>
      <c r="AG257" s="489" t="n">
        <v>1619754.6236</v>
      </c>
      <c r="AH257" s="489" t="n">
        <v>1754876.56439</v>
      </c>
      <c r="AI257" s="489" t="n">
        <v>1832785.08093</v>
      </c>
      <c r="AJ257" s="489" t="n">
        <v>1853451.92152</v>
      </c>
      <c r="AK257" s="489" t="n">
        <v>2565781.77522</v>
      </c>
      <c r="AL257" s="489" t="n">
        <v>1950585.56567</v>
      </c>
      <c r="AM257" s="489" t="n">
        <v>2015308.41978</v>
      </c>
      <c r="AN257" s="489" t="n">
        <v>2046402.81887</v>
      </c>
      <c r="AO257" s="489" t="n">
        <v>2151381.72478</v>
      </c>
      <c r="AP257" s="490" t="n">
        <v>2043204.98101</v>
      </c>
      <c r="AQ257" s="155" t="n">
        <f aca="false">IVA!AE257+IVA!AF257+IVA!AG257</f>
        <v>5028803.66516</v>
      </c>
      <c r="AR257" s="155" t="n">
        <f aca="false">IVA!AH257+IVA!AI257+IVA!AJ257</f>
        <v>5441113.56684</v>
      </c>
      <c r="AS257" s="155" t="n">
        <f aca="false">IVA!AK257+IVA!AL257+IVA!AM257</f>
        <v>6531675.76067</v>
      </c>
      <c r="AT257" s="155" t="n">
        <f aca="false">IVA!AN257+IVA!AO257+IVA!AP257</f>
        <v>6240989.52466</v>
      </c>
      <c r="AU257" s="491" t="n">
        <f aca="false">IVA!AQ257+IVA!AR257+IVA!AS257+IVA!AT257</f>
        <v>23242582.51733</v>
      </c>
      <c r="AV257" s="130" t="n">
        <f aca="false">IVA!AQ257/IVA!CJ17</f>
        <v>0.00566534481222744</v>
      </c>
      <c r="AW257" s="130" t="n">
        <f aca="false">IVA!AR257/IVA!CK17</f>
        <v>0.00491100566624103</v>
      </c>
      <c r="AX257" s="130" t="n">
        <f aca="false">IVA!AS257/IVA!CL17</f>
        <v>0.00617622888739632</v>
      </c>
      <c r="AY257" s="130" t="n">
        <f aca="false">IVA!AT257/IVA!CM17</f>
        <v>0.00578997164039876</v>
      </c>
      <c r="AZ257" s="271" t="n">
        <f aca="false">IVA!AU257/IVA!CN17</f>
        <v>0.0225053521902808</v>
      </c>
      <c r="BA257" s="454"/>
      <c r="BW257" s="138"/>
      <c r="BX257" s="139"/>
      <c r="BY257" s="138"/>
      <c r="BZ257" s="138"/>
      <c r="CA257" s="273"/>
    </row>
    <row r="258" customFormat="false" ht="12.75" hidden="false" customHeight="true" outlineLevel="0" collapsed="false">
      <c r="AA258" s="486" t="n">
        <v>2009</v>
      </c>
      <c r="AB258" s="486" t="s">
        <v>588</v>
      </c>
      <c r="AC258" s="487"/>
      <c r="AD258" s="488"/>
      <c r="AE258" s="489" t="n">
        <v>2808668</v>
      </c>
      <c r="AF258" s="489" t="n">
        <v>2166934</v>
      </c>
      <c r="AG258" s="489" t="n">
        <v>2083821</v>
      </c>
      <c r="AH258" s="489" t="n">
        <v>2117001</v>
      </c>
      <c r="AI258" s="489" t="n">
        <v>2043882</v>
      </c>
      <c r="AJ258" s="489" t="n">
        <v>2217603</v>
      </c>
      <c r="AK258" s="489" t="n">
        <v>3031109</v>
      </c>
      <c r="AL258" s="489" t="n">
        <v>2394563</v>
      </c>
      <c r="AM258" s="489" t="n">
        <v>2402174</v>
      </c>
      <c r="AN258" s="489" t="n">
        <v>2491140</v>
      </c>
      <c r="AO258" s="489" t="n">
        <v>2465216</v>
      </c>
      <c r="AP258" s="490" t="n">
        <v>2556913</v>
      </c>
      <c r="AQ258" s="155" t="n">
        <f aca="false">IVA!AE258+IVA!AF258+IVA!AG258</f>
        <v>7059423</v>
      </c>
      <c r="AR258" s="155" t="n">
        <f aca="false">IVA!AH258+IVA!AI258+IVA!AJ258</f>
        <v>6378486</v>
      </c>
      <c r="AS258" s="155" t="n">
        <f aca="false">IVA!AK258+IVA!AL258+IVA!AM258</f>
        <v>7827846</v>
      </c>
      <c r="AT258" s="155" t="n">
        <f aca="false">IVA!AN258+IVA!AO258+IVA!AP258</f>
        <v>7513269</v>
      </c>
      <c r="AU258" s="491" t="n">
        <f aca="false">IVA!AQ258+IVA!AR258+IVA!AS258+IVA!AT258</f>
        <v>28779024</v>
      </c>
      <c r="AV258" s="130" t="n">
        <f aca="false">IVA!AQ258/IVA!CJ18</f>
        <v>0.00710945937508183</v>
      </c>
      <c r="AW258" s="130" t="n">
        <f aca="false">IVA!AR258/IVA!CK18</f>
        <v>0.00533598215324729</v>
      </c>
      <c r="AX258" s="130" t="n">
        <f aca="false">IVA!AS258/IVA!CL18</f>
        <v>0.00669736490982356</v>
      </c>
      <c r="AY258" s="130" t="n">
        <f aca="false">IVA!AT258/IVA!CM18</f>
        <v>0.00613476442475646</v>
      </c>
      <c r="AZ258" s="271" t="n">
        <f aca="false">IVA!AU258/IVA!CN18</f>
        <v>0.0251244616118405</v>
      </c>
      <c r="BA258" s="454"/>
      <c r="BW258" s="138"/>
      <c r="BX258" s="139"/>
      <c r="BY258" s="138"/>
      <c r="BZ258" s="138"/>
      <c r="CA258" s="273"/>
    </row>
    <row r="259" customFormat="false" ht="12.75" hidden="false" customHeight="true" outlineLevel="0" collapsed="false">
      <c r="AA259" s="486" t="n">
        <v>2010</v>
      </c>
      <c r="AB259" s="486" t="s">
        <v>588</v>
      </c>
      <c r="AC259" s="487"/>
      <c r="AD259" s="488"/>
      <c r="AE259" s="489" t="n">
        <v>3500747</v>
      </c>
      <c r="AF259" s="489" t="n">
        <v>2559222</v>
      </c>
      <c r="AG259" s="489" t="n">
        <v>2610588</v>
      </c>
      <c r="AH259" s="489" t="n">
        <v>2771994</v>
      </c>
      <c r="AI259" s="489" t="n">
        <v>2896093</v>
      </c>
      <c r="AJ259" s="489" t="n">
        <v>2968922</v>
      </c>
      <c r="AK259" s="489" t="n">
        <v>4048570</v>
      </c>
      <c r="AL259" s="489" t="n">
        <v>3089779</v>
      </c>
      <c r="AM259" s="489" t="n">
        <v>3193633</v>
      </c>
      <c r="AN259" s="489" t="n">
        <v>3219954</v>
      </c>
      <c r="AO259" s="489" t="n">
        <v>3378564</v>
      </c>
      <c r="AP259" s="490" t="n">
        <v>3365116</v>
      </c>
      <c r="AQ259" s="155" t="n">
        <f aca="false">IVA!AE259+IVA!AF259+IVA!AG259</f>
        <v>8670557</v>
      </c>
      <c r="AR259" s="155" t="n">
        <f aca="false">IVA!AH259+IVA!AI259+IVA!AJ259</f>
        <v>8637009</v>
      </c>
      <c r="AS259" s="155" t="n">
        <f aca="false">IVA!AK259+IVA!AL259+IVA!AM259</f>
        <v>10331982</v>
      </c>
      <c r="AT259" s="155" t="n">
        <f aca="false">IVA!AN259+IVA!AO259+IVA!AP259</f>
        <v>9963634</v>
      </c>
      <c r="AU259" s="491" t="n">
        <f aca="false">IVA!AQ259+IVA!AR259+IVA!AS259+IVA!AT259</f>
        <v>37603182</v>
      </c>
      <c r="AV259" s="130" t="n">
        <f aca="false">IVA!AQ259/IVA!CJ19</f>
        <v>0.00712230353521207</v>
      </c>
      <c r="AW259" s="130" t="n">
        <f aca="false">IVA!AR259/IVA!CK19</f>
        <v>0.00572637478452761</v>
      </c>
      <c r="AX259" s="130" t="n">
        <f aca="false">IVA!AS259/IVA!CL19</f>
        <v>0.00704842582250369</v>
      </c>
      <c r="AY259" s="130" t="n">
        <f aca="false">IVA!AT259/IVA!CM19</f>
        <v>0.00630969804513514</v>
      </c>
      <c r="AZ259" s="271" t="n">
        <f aca="false">IVA!AU259/IVA!CN19</f>
        <v>0.0260652561643415</v>
      </c>
      <c r="BA259" s="454"/>
      <c r="BW259" s="138"/>
      <c r="BX259" s="139"/>
      <c r="BY259" s="138"/>
      <c r="BZ259" s="138"/>
      <c r="CA259" s="273"/>
    </row>
    <row r="260" customFormat="false" ht="12.75" hidden="false" customHeight="true" outlineLevel="0" collapsed="false">
      <c r="AA260" s="486" t="n">
        <v>2011</v>
      </c>
      <c r="AB260" s="486" t="s">
        <v>588</v>
      </c>
      <c r="AC260" s="487"/>
      <c r="AD260" s="488"/>
      <c r="AE260" s="489" t="n">
        <v>4674018</v>
      </c>
      <c r="AF260" s="489" t="n">
        <v>3603342</v>
      </c>
      <c r="AG260" s="489" t="n">
        <v>3544311</v>
      </c>
      <c r="AH260" s="489" t="n">
        <v>3802980</v>
      </c>
      <c r="AI260" s="489" t="n">
        <v>3919810</v>
      </c>
      <c r="AJ260" s="489" t="n">
        <v>4037083</v>
      </c>
      <c r="AK260" s="489" t="n">
        <v>5492108</v>
      </c>
      <c r="AL260" s="489" t="n">
        <v>4270534</v>
      </c>
      <c r="AM260" s="489" t="n">
        <v>4423497</v>
      </c>
      <c r="AN260" s="489" t="n">
        <v>4531162</v>
      </c>
      <c r="AO260" s="489" t="n">
        <v>4528590</v>
      </c>
      <c r="AP260" s="490" t="n">
        <v>4640009</v>
      </c>
      <c r="AQ260" s="155" t="n">
        <f aca="false">IVA!AE260+IVA!AF260+IVA!AG260</f>
        <v>11821671</v>
      </c>
      <c r="AR260" s="155" t="n">
        <f aca="false">IVA!AH260+IVA!AI260+IVA!AJ260</f>
        <v>11759873</v>
      </c>
      <c r="AS260" s="155" t="n">
        <f aca="false">IVA!AK260+IVA!AL260+IVA!AM260</f>
        <v>14186139</v>
      </c>
      <c r="AT260" s="155" t="n">
        <f aca="false">IVA!AN260+IVA!AO260+IVA!AP260</f>
        <v>13699761</v>
      </c>
      <c r="AU260" s="491" t="n">
        <f aca="false">IVA!AQ260+IVA!AR260+IVA!AS260+IVA!AT260</f>
        <v>51467444</v>
      </c>
      <c r="AV260" s="130" t="n">
        <f aca="false">IVA!AQ260/IVA!CJ20</f>
        <v>0.00754135099963</v>
      </c>
      <c r="AW260" s="130" t="n">
        <f aca="false">IVA!AR260/IVA!CK20</f>
        <v>0.00595066811791685</v>
      </c>
      <c r="AX260" s="130" t="n">
        <f aca="false">IVA!AS260/IVA!CL20</f>
        <v>0.00760491486806747</v>
      </c>
      <c r="AY260" s="130" t="n">
        <f aca="false">IVA!AT260/IVA!CM20</f>
        <v>0.00699363421379708</v>
      </c>
      <c r="AZ260" s="271" t="n">
        <f aca="false">IVA!AU260/IVA!CN20</f>
        <v>0.027940730477347</v>
      </c>
      <c r="BA260" s="454"/>
      <c r="BW260" s="138"/>
      <c r="BX260" s="139"/>
      <c r="BY260" s="138"/>
      <c r="BZ260" s="138"/>
      <c r="CA260" s="273"/>
    </row>
    <row r="261" customFormat="false" ht="12.75" hidden="false" customHeight="true" outlineLevel="0" collapsed="false">
      <c r="AA261" s="492" t="n">
        <v>2012</v>
      </c>
      <c r="AB261" s="492" t="s">
        <v>588</v>
      </c>
      <c r="AC261" s="493"/>
      <c r="AD261" s="494"/>
      <c r="AE261" s="495" t="n">
        <v>6432765.55781</v>
      </c>
      <c r="AF261" s="495" t="n">
        <v>4864898.76909</v>
      </c>
      <c r="AG261" s="495" t="n">
        <v>5026603.97404</v>
      </c>
      <c r="AH261" s="495" t="n">
        <v>5082544.28313</v>
      </c>
      <c r="AI261" s="495" t="n">
        <v>5407460.28575</v>
      </c>
      <c r="AJ261" s="495" t="n">
        <v>5380640.34822</v>
      </c>
      <c r="AK261" s="495" t="n">
        <v>7389598.01777</v>
      </c>
      <c r="AL261" s="495" t="n">
        <v>5738627.65497</v>
      </c>
      <c r="AM261" s="495" t="n">
        <v>5812693.31108</v>
      </c>
      <c r="AN261" s="495" t="n">
        <v>6025690.41751</v>
      </c>
      <c r="AO261" s="495" t="n">
        <v>6156456.54539</v>
      </c>
      <c r="AP261" s="496" t="n">
        <v>6225707.31634</v>
      </c>
      <c r="AQ261" s="326" t="n">
        <f aca="false">IVA!AE261+IVA!AF261+IVA!AG261</f>
        <v>16324268.30094</v>
      </c>
      <c r="AR261" s="326" t="n">
        <f aca="false">IVA!AH261+IVA!AI261+IVA!AJ261</f>
        <v>15870644.9171</v>
      </c>
      <c r="AS261" s="326" t="n">
        <f aca="false">IVA!AK261+IVA!AL261+IVA!AM261</f>
        <v>18940918.98382</v>
      </c>
      <c r="AT261" s="326" t="n">
        <f aca="false">IVA!AN261+IVA!AO261+IVA!AP261</f>
        <v>18407854.27924</v>
      </c>
      <c r="AU261" s="497" t="n">
        <f aca="false">IVA!AQ261+IVA!AR261+IVA!AS261+IVA!AT261</f>
        <v>69543686.4811</v>
      </c>
      <c r="AV261" s="252" t="n">
        <f aca="false">IVA!AQ261/IVA!CJ21</f>
        <v>0.00870657825521418</v>
      </c>
      <c r="AW261" s="252" t="n">
        <f aca="false">IVA!AR261/IVA!CK21</f>
        <v>0.00698174923801624</v>
      </c>
      <c r="AX261" s="252" t="n">
        <f aca="false">IVA!AS261/IVA!CL21</f>
        <v>0.00867691485986745</v>
      </c>
      <c r="AY261" s="252" t="n">
        <f aca="false">IVA!AT261/IVA!CM21</f>
        <v>0.00791402974929903</v>
      </c>
      <c r="AZ261" s="296" t="n">
        <f aca="false">IVA!AU261/IVA!CN21</f>
        <v>0.0321329878712351</v>
      </c>
      <c r="BA261" s="454"/>
      <c r="BW261" s="138"/>
      <c r="BX261" s="139"/>
      <c r="BY261" s="138"/>
      <c r="BZ261" s="138"/>
      <c r="CA261" s="273"/>
    </row>
    <row r="262" customFormat="false" ht="12.75" hidden="false" customHeight="true" outlineLevel="0" collapsed="false">
      <c r="AA262" s="486" t="n">
        <v>1997</v>
      </c>
      <c r="AB262" s="486" t="s">
        <v>589</v>
      </c>
      <c r="AQ262" s="498" t="n">
        <v>271260</v>
      </c>
      <c r="AR262" s="499" t="n">
        <v>299872.538771224</v>
      </c>
      <c r="AS262" s="499" t="n">
        <v>298264.991508642</v>
      </c>
      <c r="AT262" s="499" t="n">
        <v>302037.522729126</v>
      </c>
      <c r="AU262" s="499" t="n">
        <v>292858.877329543</v>
      </c>
      <c r="BA262" s="454"/>
      <c r="BW262" s="138"/>
      <c r="BX262" s="139"/>
      <c r="BY262" s="138"/>
      <c r="BZ262" s="138"/>
      <c r="CA262" s="273"/>
    </row>
    <row r="263" customFormat="false" ht="12.75" hidden="false" customHeight="true" outlineLevel="0" collapsed="false">
      <c r="AA263" s="486" t="n">
        <v>1998</v>
      </c>
      <c r="AB263" s="486" t="s">
        <v>589</v>
      </c>
      <c r="AQ263" s="498" t="n">
        <v>282764</v>
      </c>
      <c r="AR263" s="499" t="n">
        <v>312129.111033039</v>
      </c>
      <c r="AS263" s="499" t="n">
        <v>305474.768316651</v>
      </c>
      <c r="AT263" s="499" t="n">
        <v>295425.322568576</v>
      </c>
      <c r="AU263" s="499" t="n">
        <v>298948.358554208</v>
      </c>
      <c r="BA263" s="454"/>
      <c r="BW263" s="138"/>
      <c r="BX263" s="139"/>
      <c r="BY263" s="138"/>
      <c r="BZ263" s="138"/>
      <c r="CA263" s="273"/>
    </row>
    <row r="264" customFormat="false" ht="12.75" hidden="false" customHeight="true" outlineLevel="0" collapsed="false">
      <c r="AA264" s="486" t="n">
        <v>1999</v>
      </c>
      <c r="AB264" s="486" t="s">
        <v>589</v>
      </c>
      <c r="AQ264" s="498" t="n">
        <v>270746</v>
      </c>
      <c r="AR264" s="499" t="n">
        <v>288829.855936148</v>
      </c>
      <c r="AS264" s="499" t="n">
        <v>285087.021390668</v>
      </c>
      <c r="AT264" s="499" t="n">
        <v>289428.828976948</v>
      </c>
      <c r="AU264" s="499" t="n">
        <v>283523.023980675</v>
      </c>
      <c r="BA264" s="454"/>
      <c r="BW264" s="138"/>
      <c r="BX264" s="139"/>
      <c r="BY264" s="138"/>
      <c r="BZ264" s="138"/>
      <c r="CA264" s="273"/>
    </row>
    <row r="265" customFormat="false" ht="12.75" hidden="false" customHeight="true" outlineLevel="0" collapsed="false">
      <c r="AA265" s="486" t="n">
        <v>2000</v>
      </c>
      <c r="AB265" s="486" t="s">
        <v>589</v>
      </c>
      <c r="AQ265" s="498" t="n">
        <v>270444</v>
      </c>
      <c r="AR265" s="499" t="n">
        <v>291796.004446794</v>
      </c>
      <c r="AS265" s="499" t="n">
        <v>287495.642393761</v>
      </c>
      <c r="AT265" s="499" t="n">
        <v>287079.012355848</v>
      </c>
      <c r="AU265" s="499" t="n">
        <v>284203.739314622</v>
      </c>
      <c r="BA265" s="454"/>
      <c r="BW265" s="138"/>
      <c r="BX265" s="139"/>
      <c r="BY265" s="138"/>
      <c r="BZ265" s="138"/>
      <c r="CA265" s="273"/>
    </row>
    <row r="266" customFormat="false" ht="12.75" hidden="false" customHeight="true" outlineLevel="0" collapsed="false">
      <c r="AA266" s="486" t="n">
        <v>2001</v>
      </c>
      <c r="AB266" s="486" t="s">
        <v>589</v>
      </c>
      <c r="AQ266" s="498" t="n">
        <v>263331</v>
      </c>
      <c r="AR266" s="499" t="n">
        <v>288026.075229806</v>
      </c>
      <c r="AS266" s="499" t="n">
        <v>271367.22709886</v>
      </c>
      <c r="AT266" s="499" t="n">
        <v>252062.944321547</v>
      </c>
      <c r="AU266" s="499" t="n">
        <v>268696.708834292</v>
      </c>
      <c r="BA266" s="454"/>
      <c r="BW266" s="138"/>
      <c r="BX266" s="139"/>
      <c r="BY266" s="138"/>
      <c r="BZ266" s="138"/>
      <c r="CA266" s="273"/>
    </row>
    <row r="267" customFormat="false" ht="12.75" hidden="false" customHeight="true" outlineLevel="0" collapsed="false">
      <c r="AA267" s="486" t="n">
        <v>2002</v>
      </c>
      <c r="AB267" s="486" t="s">
        <v>589</v>
      </c>
      <c r="AQ267" s="498" t="n">
        <v>237057</v>
      </c>
      <c r="AR267" s="499" t="n">
        <v>339008.201679561</v>
      </c>
      <c r="AS267" s="499" t="n">
        <v>334006.230849009</v>
      </c>
      <c r="AT267" s="499" t="n">
        <v>340249.423023982</v>
      </c>
      <c r="AU267" s="500" t="n">
        <v>312580.143860367</v>
      </c>
      <c r="BA267" s="454"/>
      <c r="BW267" s="138"/>
      <c r="BX267" s="139"/>
      <c r="BY267" s="138"/>
      <c r="BZ267" s="138"/>
      <c r="CA267" s="273"/>
    </row>
    <row r="268" customFormat="false" ht="12.75" hidden="false" customHeight="true" outlineLevel="0" collapsed="false">
      <c r="AA268" s="486" t="n">
        <v>2003</v>
      </c>
      <c r="AB268" s="486" t="s">
        <v>589</v>
      </c>
      <c r="AQ268" s="498" t="n">
        <v>327362</v>
      </c>
      <c r="AR268" s="499" t="n">
        <v>399118.836681335</v>
      </c>
      <c r="AS268" s="499" t="n">
        <v>377887.242827428</v>
      </c>
      <c r="AT268" s="499" t="n">
        <v>399269.599017877</v>
      </c>
      <c r="AU268" s="501" t="n">
        <v>375909.361396649</v>
      </c>
      <c r="BA268" s="454"/>
      <c r="BW268" s="138"/>
      <c r="BX268" s="139"/>
      <c r="BY268" s="138"/>
      <c r="BZ268" s="138"/>
      <c r="CA268" s="273"/>
    </row>
    <row r="269" customFormat="false" ht="12.75" hidden="false" customHeight="true" outlineLevel="0" collapsed="false">
      <c r="AA269" s="486" t="n">
        <v>2004</v>
      </c>
      <c r="AB269" s="486" t="s">
        <v>589</v>
      </c>
      <c r="AQ269" s="498" t="n">
        <v>392817</v>
      </c>
      <c r="AR269" s="499" t="n">
        <v>474213.080063172</v>
      </c>
      <c r="AS269" s="499" t="n">
        <v>452079.663840847</v>
      </c>
      <c r="AT269" s="499" t="n">
        <v>471463.528666443</v>
      </c>
      <c r="AU269" s="501" t="n">
        <v>447643.425641841</v>
      </c>
      <c r="BA269" s="454"/>
      <c r="BW269" s="138"/>
      <c r="BX269" s="139"/>
      <c r="BY269" s="138"/>
      <c r="BZ269" s="138"/>
      <c r="CA269" s="273"/>
    </row>
    <row r="270" customFormat="false" ht="12.75" hidden="false" customHeight="true" outlineLevel="0" collapsed="false">
      <c r="AA270" s="486" t="n">
        <v>2005</v>
      </c>
      <c r="AB270" s="486" t="s">
        <v>589</v>
      </c>
      <c r="AQ270" s="498" t="n">
        <v>456764</v>
      </c>
      <c r="AR270" s="499" t="n">
        <v>552411.829673941</v>
      </c>
      <c r="AS270" s="499" t="n">
        <v>544228.166865614</v>
      </c>
      <c r="AT270" s="499" t="n">
        <v>574351.15407466</v>
      </c>
      <c r="AU270" s="501" t="n">
        <v>531938.722296405</v>
      </c>
      <c r="BA270" s="454"/>
      <c r="BW270" s="138"/>
      <c r="BX270" s="139"/>
      <c r="BY270" s="138"/>
      <c r="BZ270" s="138"/>
      <c r="CA270" s="273"/>
    </row>
    <row r="271" customFormat="false" ht="12.75" hidden="false" customHeight="true" outlineLevel="0" collapsed="false">
      <c r="AA271" s="486" t="n">
        <v>2006</v>
      </c>
      <c r="AB271" s="486" t="s">
        <v>589</v>
      </c>
      <c r="AQ271" s="498" t="n">
        <v>567994</v>
      </c>
      <c r="AR271" s="499" t="n">
        <v>678278.475284539</v>
      </c>
      <c r="AS271" s="499" t="n">
        <v>668197.229164594</v>
      </c>
      <c r="AT271" s="499" t="n">
        <v>703285.920838499</v>
      </c>
      <c r="AU271" s="500" t="n">
        <v>654438.985248647</v>
      </c>
      <c r="BA271" s="454"/>
      <c r="BW271" s="138"/>
      <c r="BX271" s="139"/>
      <c r="BY271" s="138"/>
      <c r="BZ271" s="138"/>
      <c r="CA271" s="273"/>
    </row>
    <row r="272" customFormat="false" ht="12.75" hidden="false" customHeight="true" outlineLevel="0" collapsed="false">
      <c r="AA272" s="486" t="n">
        <v>2007</v>
      </c>
      <c r="AB272" s="486" t="s">
        <v>589</v>
      </c>
      <c r="AQ272" s="498" t="n">
        <v>681120</v>
      </c>
      <c r="AR272" s="499" t="n">
        <v>835125.270312335</v>
      </c>
      <c r="AS272" s="28" t="n">
        <v>827463</v>
      </c>
      <c r="AT272" s="499" t="n">
        <v>906114.923568755</v>
      </c>
      <c r="AU272" s="499" t="n">
        <v>812455.828265131</v>
      </c>
      <c r="BA272" s="454"/>
      <c r="BW272" s="264"/>
      <c r="BX272" s="263"/>
      <c r="BY272" s="264"/>
      <c r="BZ272" s="264"/>
      <c r="CA272" s="303"/>
    </row>
    <row r="273" customFormat="false" ht="12.75" hidden="false" customHeight="true" outlineLevel="0" collapsed="false">
      <c r="AA273" s="486" t="n">
        <v>2008</v>
      </c>
      <c r="AB273" s="486" t="s">
        <v>589</v>
      </c>
      <c r="AQ273" s="498" t="n">
        <v>887643</v>
      </c>
      <c r="AR273" s="499" t="n">
        <v>1107942.84035203</v>
      </c>
      <c r="AS273" s="499" t="n">
        <v>1057550.79349456</v>
      </c>
      <c r="AT273" s="499" t="n">
        <v>1077896.38918338</v>
      </c>
      <c r="AU273" s="498" t="n">
        <v>1032758</v>
      </c>
      <c r="BW273" s="502"/>
      <c r="BX273" s="502"/>
      <c r="BY273" s="502"/>
      <c r="BZ273" s="502"/>
      <c r="CA273" s="502"/>
    </row>
    <row r="274" customFormat="false" ht="12.75" hidden="false" customHeight="true" outlineLevel="0" collapsed="false">
      <c r="AA274" s="486" t="n">
        <v>2009</v>
      </c>
      <c r="AB274" s="486" t="s">
        <v>589</v>
      </c>
      <c r="AQ274" s="498" t="n">
        <v>992962</v>
      </c>
      <c r="AR274" s="499" t="n">
        <v>1195372.4388149</v>
      </c>
      <c r="AS274" s="499" t="n">
        <v>1168794.90745954</v>
      </c>
      <c r="AT274" s="499" t="n">
        <v>1224703.75059239</v>
      </c>
      <c r="AU274" s="499" t="n">
        <v>1145458.33636639</v>
      </c>
      <c r="BW274" s="502"/>
      <c r="BX274" s="502"/>
      <c r="BY274" s="502"/>
      <c r="BZ274" s="502"/>
      <c r="CA274" s="502"/>
    </row>
    <row r="275" customFormat="false" ht="12.75" hidden="false" customHeight="true" outlineLevel="0" collapsed="false">
      <c r="AA275" s="486" t="n">
        <v>2010</v>
      </c>
      <c r="AB275" s="486" t="s">
        <v>589</v>
      </c>
      <c r="AQ275" s="498" t="n">
        <v>1217381</v>
      </c>
      <c r="AR275" s="499" t="n">
        <v>1508285.66501389</v>
      </c>
      <c r="AS275" s="499" t="n">
        <v>1465856.66930236</v>
      </c>
      <c r="AT275" s="499" t="n">
        <v>1579098.38612358</v>
      </c>
      <c r="AU275" s="499" t="n">
        <v>1442655.37859716</v>
      </c>
      <c r="BW275" s="502"/>
      <c r="BX275" s="502"/>
      <c r="BY275" s="502"/>
      <c r="BZ275" s="502"/>
      <c r="CA275" s="502"/>
    </row>
    <row r="276" customFormat="false" ht="12.75" hidden="false" customHeight="true" outlineLevel="0" collapsed="false">
      <c r="AA276" s="486" t="n">
        <v>2011</v>
      </c>
      <c r="AB276" s="486" t="s">
        <v>589</v>
      </c>
      <c r="AQ276" s="498" t="n">
        <v>1567580</v>
      </c>
      <c r="AR276" s="499" t="n">
        <v>1976227.33564862</v>
      </c>
      <c r="AS276" s="499" t="n">
        <v>1865390.90129288</v>
      </c>
      <c r="AT276" s="499" t="n">
        <v>1958890.12510449</v>
      </c>
      <c r="AU276" s="499" t="n">
        <v>1842022.13473722</v>
      </c>
      <c r="BW276" s="502"/>
      <c r="BX276" s="502"/>
      <c r="BY276" s="502"/>
      <c r="BZ276" s="502"/>
      <c r="CA276" s="502"/>
    </row>
    <row r="277" customFormat="false" ht="12.75" hidden="false" customHeight="true" outlineLevel="0" collapsed="false">
      <c r="AA277" s="492" t="n">
        <v>2012</v>
      </c>
      <c r="AB277" s="486" t="s">
        <v>589</v>
      </c>
      <c r="AQ277" s="498" t="n">
        <v>1874935</v>
      </c>
      <c r="AR277" s="499" t="n">
        <v>2273161.69287246</v>
      </c>
      <c r="AS277" s="499" t="n">
        <v>2182909.39691315</v>
      </c>
      <c r="BW277" s="502"/>
      <c r="BX277" s="502"/>
      <c r="BY277" s="502"/>
      <c r="BZ277" s="502"/>
      <c r="CA277" s="502"/>
    </row>
  </sheetData>
  <mergeCells count="7">
    <mergeCell ref="DY2:EI2"/>
    <mergeCell ref="ED4:EE4"/>
    <mergeCell ref="DO5:DR5"/>
    <mergeCell ref="DY6:EI6"/>
    <mergeCell ref="AA7:AD7"/>
    <mergeCell ref="BB7:BE7"/>
    <mergeCell ref="DY8:EI8"/>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X94"/>
  <sheetViews>
    <sheetView showFormulas="false" showGridLines="true" showRowColHeaders="true" showZeros="true" rightToLeft="false" tabSelected="false" showOutlineSymbols="true" defaultGridColor="true" view="normal" topLeftCell="S7" colorId="64" zoomScale="75" zoomScaleNormal="75" zoomScalePageLayoutView="100" workbookViewId="0">
      <selection pane="topLeft" activeCell="X8" activeCellId="0" sqref="X8"/>
    </sheetView>
  </sheetViews>
  <sheetFormatPr defaultColWidth="11.43359375" defaultRowHeight="15" zeroHeight="false" outlineLevelRow="0" outlineLevelCol="0"/>
  <cols>
    <col collapsed="false" customWidth="false" hidden="false" outlineLevel="0" max="24" min="1" style="1" width="11.42"/>
  </cols>
  <sheetData>
    <row r="1" customFormat="false" ht="14.45" hidden="false" customHeight="true" outlineLevel="0" collapsed="false">
      <c r="A1" s="503"/>
      <c r="B1" s="504" t="s">
        <v>590</v>
      </c>
      <c r="C1" s="503"/>
      <c r="D1" s="503"/>
      <c r="E1" s="503"/>
      <c r="F1" s="503"/>
      <c r="G1" s="503"/>
      <c r="H1" s="503"/>
      <c r="I1" s="503"/>
      <c r="J1" s="503"/>
      <c r="K1" s="503"/>
      <c r="L1" s="503"/>
      <c r="M1" s="503"/>
      <c r="N1" s="503"/>
      <c r="O1" s="503"/>
      <c r="P1" s="503"/>
      <c r="Q1" s="503"/>
      <c r="R1" s="503"/>
      <c r="S1" s="503"/>
      <c r="T1" s="503"/>
      <c r="U1" s="503"/>
      <c r="V1" s="503"/>
      <c r="W1" s="503"/>
      <c r="X1" s="503"/>
    </row>
    <row r="2" customFormat="false" ht="14.45" hidden="false" customHeight="true" outlineLevel="0" collapsed="false">
      <c r="B2" s="505" t="s">
        <v>591</v>
      </c>
    </row>
    <row r="3" customFormat="false" ht="14.45" hidden="false" customHeight="true" outlineLevel="0" collapsed="false">
      <c r="B3" s="506" t="s">
        <v>592</v>
      </c>
    </row>
    <row r="4" customFormat="false" ht="14.45" hidden="false" customHeight="true" outlineLevel="0" collapsed="false">
      <c r="B4" s="507" t="s">
        <v>593</v>
      </c>
      <c r="C4" s="508" t="s">
        <v>594</v>
      </c>
      <c r="D4" s="508" t="s">
        <v>595</v>
      </c>
      <c r="E4" s="508"/>
      <c r="Q4" s="509"/>
      <c r="R4" s="509"/>
    </row>
    <row r="5" customFormat="false" ht="14.45" hidden="false" customHeight="true" outlineLevel="0" collapsed="false">
      <c r="A5" s="506"/>
    </row>
    <row r="6" customFormat="false" ht="84.75" hidden="false" customHeight="true" outlineLevel="0" collapsed="false">
      <c r="A6" s="510"/>
      <c r="B6" s="511" t="s">
        <v>596</v>
      </c>
      <c r="C6" s="511" t="s">
        <v>597</v>
      </c>
      <c r="D6" s="511" t="s">
        <v>598</v>
      </c>
      <c r="E6" s="511" t="s">
        <v>599</v>
      </c>
      <c r="F6" s="511" t="s">
        <v>600</v>
      </c>
      <c r="G6" s="511" t="s">
        <v>601</v>
      </c>
      <c r="H6" s="512" t="s">
        <v>602</v>
      </c>
      <c r="I6" s="512" t="s">
        <v>603</v>
      </c>
      <c r="J6" s="512" t="s">
        <v>604</v>
      </c>
      <c r="K6" s="512" t="s">
        <v>605</v>
      </c>
      <c r="L6" s="512" t="s">
        <v>606</v>
      </c>
      <c r="M6" s="512" t="s">
        <v>607</v>
      </c>
      <c r="N6" s="512" t="s">
        <v>608</v>
      </c>
      <c r="O6" s="512" t="s">
        <v>609</v>
      </c>
      <c r="P6" s="512" t="s">
        <v>610</v>
      </c>
      <c r="Q6" s="512" t="s">
        <v>611</v>
      </c>
      <c r="R6" s="512" t="s">
        <v>612</v>
      </c>
      <c r="S6" s="512" t="s">
        <v>613</v>
      </c>
      <c r="T6" s="512" t="s">
        <v>614</v>
      </c>
      <c r="U6" s="512" t="s">
        <v>615</v>
      </c>
      <c r="V6" s="512" t="s">
        <v>616</v>
      </c>
      <c r="W6" s="512" t="s">
        <v>617</v>
      </c>
      <c r="X6" s="512" t="s">
        <v>618</v>
      </c>
    </row>
    <row r="7" customFormat="false" ht="14.45" hidden="false" customHeight="true" outlineLevel="0" collapsed="false"/>
    <row r="8" customFormat="false" ht="14.45" hidden="false" customHeight="true" outlineLevel="0" collapsed="false">
      <c r="A8" s="513" t="n">
        <v>2004</v>
      </c>
      <c r="B8" s="514" t="n">
        <v>39125.1976130924</v>
      </c>
      <c r="C8" s="514" t="n">
        <v>1442.49560227065</v>
      </c>
      <c r="D8" s="514" t="n">
        <v>24321.8058192945</v>
      </c>
      <c r="E8" s="514" t="n">
        <v>91866.3304900708</v>
      </c>
      <c r="F8" s="514" t="n">
        <v>8702.40557679583</v>
      </c>
      <c r="G8" s="514" t="n">
        <v>14904.7253894997</v>
      </c>
      <c r="H8" s="514" t="n">
        <v>180362.960491024</v>
      </c>
      <c r="I8" s="514" t="n">
        <v>60034.5954425289</v>
      </c>
      <c r="J8" s="514" t="n">
        <v>6936.03424754636</v>
      </c>
      <c r="K8" s="514" t="n">
        <v>29789.9001449429</v>
      </c>
      <c r="L8" s="514" t="n">
        <v>15079.4087404287</v>
      </c>
      <c r="M8" s="514" t="n">
        <v>53084.3657347051</v>
      </c>
      <c r="N8" s="514" t="n">
        <v>21585.0544818944</v>
      </c>
      <c r="O8" s="514" t="n">
        <v>17057.3989493386</v>
      </c>
      <c r="P8" s="514" t="n">
        <v>13201.3534771092</v>
      </c>
      <c r="Q8" s="514" t="n">
        <v>12253.53911376</v>
      </c>
      <c r="R8" s="514" t="n">
        <v>3042.84856011445</v>
      </c>
      <c r="S8" s="514" t="n">
        <v>232064.498892369</v>
      </c>
      <c r="T8" s="514" t="n">
        <v>412427.459383393</v>
      </c>
      <c r="U8" s="514" t="n">
        <v>30976.949123732</v>
      </c>
      <c r="V8" s="514" t="n">
        <v>3250.45344763</v>
      </c>
      <c r="W8" s="514" t="n">
        <v>38460.33277</v>
      </c>
      <c r="X8" s="514" t="n">
        <f aca="false">'Cuenta Ahorro-Inversión-Financi'!DG19/1000</f>
        <v>485115.194724754</v>
      </c>
    </row>
    <row r="9" customFormat="false" ht="14.45" hidden="false" customHeight="true" outlineLevel="0" collapsed="false">
      <c r="A9" s="515" t="n">
        <v>2005</v>
      </c>
      <c r="B9" s="516" t="n">
        <v>44579.7700503574</v>
      </c>
      <c r="C9" s="516" t="n">
        <v>1666.50404627676</v>
      </c>
      <c r="D9" s="516" t="n">
        <v>28837.4146083548</v>
      </c>
      <c r="E9" s="516" t="n">
        <v>106839.923860476</v>
      </c>
      <c r="F9" s="516" t="n">
        <v>10603.8459274267</v>
      </c>
      <c r="G9" s="516" t="n">
        <v>20478.0224249444</v>
      </c>
      <c r="H9" s="516" t="n">
        <v>213005.480917836</v>
      </c>
      <c r="I9" s="516" t="n">
        <v>72220.3132914937</v>
      </c>
      <c r="J9" s="516" t="n">
        <v>9196.61493525935</v>
      </c>
      <c r="K9" s="516" t="n">
        <v>36320.250477104</v>
      </c>
      <c r="L9" s="516" t="n">
        <v>18744.0700319324</v>
      </c>
      <c r="M9" s="516" t="n">
        <v>61544.1429854623</v>
      </c>
      <c r="N9" s="516" t="n">
        <v>27491.2032788881</v>
      </c>
      <c r="O9" s="516" t="n">
        <v>21799.8466863513</v>
      </c>
      <c r="P9" s="516" t="n">
        <v>16316.5853051665</v>
      </c>
      <c r="Q9" s="516" t="n">
        <v>15212.5079862144</v>
      </c>
      <c r="R9" s="516" t="n">
        <v>3604.77363422069</v>
      </c>
      <c r="S9" s="516" t="n">
        <v>282450.308612093</v>
      </c>
      <c r="T9" s="516" t="n">
        <v>495455.789529929</v>
      </c>
      <c r="U9" s="516" t="n">
        <v>36853.12189667</v>
      </c>
      <c r="V9" s="516" t="n">
        <v>3876.5633269</v>
      </c>
      <c r="W9" s="516" t="n">
        <v>46352.6981837756</v>
      </c>
      <c r="X9" s="516" t="n">
        <f aca="false">'Cuenta Ahorro-Inversión-Financi'!DG20/1000</f>
        <v>582538.172937274</v>
      </c>
    </row>
    <row r="10" customFormat="false" ht="14.45" hidden="false" customHeight="true" outlineLevel="0" collapsed="false">
      <c r="A10" s="513" t="n">
        <v>2006</v>
      </c>
      <c r="B10" s="514" t="n">
        <v>47093.037544981</v>
      </c>
      <c r="C10" s="514" t="n">
        <v>2559.02077425536</v>
      </c>
      <c r="D10" s="514" t="n">
        <v>40991.2016665789</v>
      </c>
      <c r="E10" s="514" t="n">
        <v>127987.889915557</v>
      </c>
      <c r="F10" s="514" t="n">
        <v>11665.6319509132</v>
      </c>
      <c r="G10" s="514" t="n">
        <v>28422.8030567678</v>
      </c>
      <c r="H10" s="514" t="n">
        <v>258719.584909053</v>
      </c>
      <c r="I10" s="514" t="n">
        <v>89062.1682221383</v>
      </c>
      <c r="J10" s="514" t="n">
        <v>11935.3321304704</v>
      </c>
      <c r="K10" s="514" t="n">
        <v>44561.4260483719</v>
      </c>
      <c r="L10" s="514" t="n">
        <v>22814.6002758887</v>
      </c>
      <c r="M10" s="514" t="n">
        <v>73324.1247161768</v>
      </c>
      <c r="N10" s="514" t="n">
        <v>35063.2295665145</v>
      </c>
      <c r="O10" s="514" t="n">
        <v>27992.7447009791</v>
      </c>
      <c r="P10" s="514" t="n">
        <v>20580.8461466419</v>
      </c>
      <c r="Q10" s="514" t="n">
        <v>19119.8460230944</v>
      </c>
      <c r="R10" s="514" t="n">
        <v>4542.81032443699</v>
      </c>
      <c r="S10" s="514" t="n">
        <v>348997.128154713</v>
      </c>
      <c r="T10" s="514" t="n">
        <v>607716.713063766</v>
      </c>
      <c r="U10" s="514" t="n">
        <v>47104.30911027</v>
      </c>
      <c r="V10" s="514" t="n">
        <v>5138.99673361</v>
      </c>
      <c r="W10" s="514" t="n">
        <v>55944.2528262026</v>
      </c>
      <c r="X10" s="514" t="n">
        <f aca="false">'Cuenta Ahorro-Inversión-Financi'!DG21/1000</f>
        <v>715904.271733849</v>
      </c>
    </row>
    <row r="11" customFormat="false" ht="14.45" hidden="false" customHeight="true" outlineLevel="0" collapsed="false">
      <c r="A11" s="515" t="n">
        <v>2007</v>
      </c>
      <c r="B11" s="516" t="n">
        <v>64516.790695969</v>
      </c>
      <c r="C11" s="516" t="n">
        <v>2329.34669045981</v>
      </c>
      <c r="D11" s="516" t="n">
        <v>39241.2054215327</v>
      </c>
      <c r="E11" s="516" t="n">
        <v>152911.936776874</v>
      </c>
      <c r="F11" s="516" t="n">
        <v>14375.6622771257</v>
      </c>
      <c r="G11" s="516" t="n">
        <v>39380.4282849449</v>
      </c>
      <c r="H11" s="516" t="n">
        <v>312755.370146906</v>
      </c>
      <c r="I11" s="516" t="n">
        <v>115030.371259901</v>
      </c>
      <c r="J11" s="516" t="n">
        <v>15574.7703528384</v>
      </c>
      <c r="K11" s="516" t="n">
        <v>55583.1585424353</v>
      </c>
      <c r="L11" s="516" t="n">
        <v>28647.5436384598</v>
      </c>
      <c r="M11" s="516" t="n">
        <v>89841.9047128629</v>
      </c>
      <c r="N11" s="516" t="n">
        <v>46164.7965212466</v>
      </c>
      <c r="O11" s="516" t="n">
        <v>36617.3073575845</v>
      </c>
      <c r="P11" s="516" t="n">
        <v>27140.5457737176</v>
      </c>
      <c r="Q11" s="516" t="n">
        <v>23890.4887133455</v>
      </c>
      <c r="R11" s="516" t="n">
        <v>5589.02473173743</v>
      </c>
      <c r="S11" s="516" t="n">
        <v>444079.911604129</v>
      </c>
      <c r="T11" s="516" t="n">
        <v>756835.281751036</v>
      </c>
      <c r="U11" s="516" t="n">
        <v>62669.31761279</v>
      </c>
      <c r="V11" s="516" t="n">
        <v>7015.29175452267</v>
      </c>
      <c r="W11" s="516" t="n">
        <v>70460.2829535546</v>
      </c>
      <c r="X11" s="516" t="n">
        <f aca="false">'Cuenta Ahorro-Inversión-Financi'!DG22/1000</f>
        <v>896980.174071903</v>
      </c>
    </row>
    <row r="12" customFormat="false" ht="14.45" hidden="false" customHeight="true" outlineLevel="0" collapsed="false">
      <c r="A12" s="513" t="n">
        <v>2008</v>
      </c>
      <c r="B12" s="514" t="n">
        <v>81153.3964821623</v>
      </c>
      <c r="C12" s="514" t="n">
        <v>2988.67891529571</v>
      </c>
      <c r="D12" s="514" t="n">
        <v>42868.6732796351</v>
      </c>
      <c r="E12" s="514" t="n">
        <v>190132.679275126</v>
      </c>
      <c r="F12" s="514" t="n">
        <v>16413.4415395755</v>
      </c>
      <c r="G12" s="514" t="n">
        <v>52625.5145413669</v>
      </c>
      <c r="H12" s="514" t="n">
        <v>386182.384033162</v>
      </c>
      <c r="I12" s="514" t="n">
        <v>148415.94088124</v>
      </c>
      <c r="J12" s="514" t="n">
        <v>20346.5426312992</v>
      </c>
      <c r="K12" s="514" t="n">
        <v>69895.8526776707</v>
      </c>
      <c r="L12" s="514" t="n">
        <v>37216.94370985</v>
      </c>
      <c r="M12" s="514" t="n">
        <v>111708.724245323</v>
      </c>
      <c r="N12" s="514" t="n">
        <v>63293.8457724401</v>
      </c>
      <c r="O12" s="514" t="n">
        <v>50131.8276344631</v>
      </c>
      <c r="P12" s="514" t="n">
        <v>38582.3253082126</v>
      </c>
      <c r="Q12" s="514" t="n">
        <v>30858.1167554451</v>
      </c>
      <c r="R12" s="514" t="n">
        <v>7306.73291263738</v>
      </c>
      <c r="S12" s="514" t="n">
        <v>577756.852528582</v>
      </c>
      <c r="T12" s="514" t="n">
        <v>963939.236561743</v>
      </c>
      <c r="U12" s="514" t="n">
        <v>80228.90482022</v>
      </c>
      <c r="V12" s="514" t="n">
        <v>8987.90753415</v>
      </c>
      <c r="W12" s="514" t="n">
        <v>96490.041667522</v>
      </c>
      <c r="X12" s="514" t="n">
        <f aca="false">'Cuenta Ahorro-Inversión-Financi'!DG23/1000</f>
        <v>1149646.09058364</v>
      </c>
    </row>
    <row r="13" customFormat="false" ht="14.45" hidden="false" customHeight="true" outlineLevel="0" collapsed="false">
      <c r="A13" s="515" t="n">
        <v>2009</v>
      </c>
      <c r="B13" s="516" t="n">
        <v>62929.8353511446</v>
      </c>
      <c r="C13" s="516" t="n">
        <v>2881.25541691563</v>
      </c>
      <c r="D13" s="516" t="n">
        <v>50630.1539429319</v>
      </c>
      <c r="E13" s="516" t="n">
        <v>194474.517782919</v>
      </c>
      <c r="F13" s="516" t="n">
        <v>17406.7304118027</v>
      </c>
      <c r="G13" s="516" t="n">
        <v>53017.5899571824</v>
      </c>
      <c r="H13" s="516" t="n">
        <v>381340.082862897</v>
      </c>
      <c r="I13" s="516" t="n">
        <v>153591.749086943</v>
      </c>
      <c r="J13" s="516" t="n">
        <v>21728.056894523</v>
      </c>
      <c r="K13" s="516" t="n">
        <v>77548.3271739604</v>
      </c>
      <c r="L13" s="516" t="n">
        <v>42817.2353159127</v>
      </c>
      <c r="M13" s="516" t="n">
        <v>128952.116010452</v>
      </c>
      <c r="N13" s="516" t="n">
        <v>81182.9325384594</v>
      </c>
      <c r="O13" s="516" t="n">
        <v>62662.0378417964</v>
      </c>
      <c r="P13" s="516" t="n">
        <v>50577.1281877556</v>
      </c>
      <c r="Q13" s="516" t="n">
        <v>36995.3956001894</v>
      </c>
      <c r="R13" s="516" t="n">
        <v>9166.2099192174</v>
      </c>
      <c r="S13" s="516" t="n">
        <v>665221.18856921</v>
      </c>
      <c r="T13" s="516" t="n">
        <v>1046561.27143211</v>
      </c>
      <c r="U13" s="516" t="n">
        <v>87385.733474901</v>
      </c>
      <c r="V13" s="516" t="n">
        <v>7699.78822951</v>
      </c>
      <c r="W13" s="516" t="n">
        <v>106282.475788502</v>
      </c>
      <c r="X13" s="516" t="n">
        <f aca="false">'Cuenta Ahorro-Inversión-Financi'!DG24/1000</f>
        <v>1247929.26892502</v>
      </c>
    </row>
    <row r="14" customFormat="false" ht="14.45" hidden="false" customHeight="true" outlineLevel="0" collapsed="false">
      <c r="A14" s="513" t="n">
        <v>2010</v>
      </c>
      <c r="B14" s="514" t="n">
        <v>114933.988879434</v>
      </c>
      <c r="C14" s="514" t="n">
        <v>3582.73007250065</v>
      </c>
      <c r="D14" s="514" t="n">
        <v>64353.0684284178</v>
      </c>
      <c r="E14" s="514" t="n">
        <v>263297.36770006</v>
      </c>
      <c r="F14" s="514" t="n">
        <v>19608.8709695897</v>
      </c>
      <c r="G14" s="514" t="n">
        <v>72471.0635537799</v>
      </c>
      <c r="H14" s="514" t="n">
        <v>538247.089603782</v>
      </c>
      <c r="I14" s="514" t="n">
        <v>208305.700861764</v>
      </c>
      <c r="J14" s="514" t="n">
        <v>29901.5889576213</v>
      </c>
      <c r="K14" s="514" t="n">
        <v>99282.6651068018</v>
      </c>
      <c r="L14" s="514" t="n">
        <v>52869.1700963421</v>
      </c>
      <c r="M14" s="514" t="n">
        <v>160089.031303578</v>
      </c>
      <c r="N14" s="514" t="n">
        <v>104800.460596557</v>
      </c>
      <c r="O14" s="514" t="n">
        <v>75998.8171348272</v>
      </c>
      <c r="P14" s="514" t="n">
        <v>65967.3944946743</v>
      </c>
      <c r="Q14" s="514" t="n">
        <v>47292.5931767184</v>
      </c>
      <c r="R14" s="514" t="n">
        <v>11198.7635408875</v>
      </c>
      <c r="S14" s="514" t="n">
        <v>855706.185269771</v>
      </c>
      <c r="T14" s="514" t="n">
        <v>1393953.27487355</v>
      </c>
      <c r="U14" s="514" t="n">
        <v>116385.98716221</v>
      </c>
      <c r="V14" s="514" t="n">
        <v>11428.31272538</v>
      </c>
      <c r="W14" s="514" t="n">
        <v>139953.351183439</v>
      </c>
      <c r="X14" s="514" t="n">
        <f aca="false">'Cuenta Ahorro-Inversión-Financi'!DG25/1000</f>
        <v>1661720.92594458</v>
      </c>
    </row>
    <row r="15" customFormat="false" ht="14.45" hidden="false" customHeight="true" outlineLevel="0" collapsed="false">
      <c r="A15" s="515" t="n">
        <v>2011</v>
      </c>
      <c r="B15" s="516" t="n">
        <v>148881.000742201</v>
      </c>
      <c r="C15" s="516" t="n">
        <v>3623.09507156981</v>
      </c>
      <c r="D15" s="516" t="n">
        <v>73692.0919595074</v>
      </c>
      <c r="E15" s="516" t="n">
        <v>345390.538594644</v>
      </c>
      <c r="F15" s="516" t="n">
        <v>24618.0960926708</v>
      </c>
      <c r="G15" s="516" t="n">
        <v>105690.031318078</v>
      </c>
      <c r="H15" s="516" t="n">
        <v>701894.85377867</v>
      </c>
      <c r="I15" s="516" t="n">
        <v>273903.567101935</v>
      </c>
      <c r="J15" s="516" t="n">
        <v>41427.9139869515</v>
      </c>
      <c r="K15" s="516" t="n">
        <v>125129.922454508</v>
      </c>
      <c r="L15" s="516" t="n">
        <v>69001.2979689815</v>
      </c>
      <c r="M15" s="516" t="n">
        <v>203862.594370668</v>
      </c>
      <c r="N15" s="516" t="n">
        <v>141426.419540782</v>
      </c>
      <c r="O15" s="516" t="n">
        <v>104848.12553531</v>
      </c>
      <c r="P15" s="516" t="n">
        <v>92793.2982721016</v>
      </c>
      <c r="Q15" s="516" t="n">
        <v>61947.9372335527</v>
      </c>
      <c r="R15" s="516" t="n">
        <v>14652.7293987804</v>
      </c>
      <c r="S15" s="516" t="n">
        <v>1128993.80586357</v>
      </c>
      <c r="T15" s="516" t="n">
        <v>1830888.65964224</v>
      </c>
      <c r="U15" s="516" t="n">
        <v>154236.866361707</v>
      </c>
      <c r="V15" s="516" t="n">
        <v>14677.50979322</v>
      </c>
      <c r="W15" s="516" t="n">
        <v>179221.067833611</v>
      </c>
      <c r="X15" s="516" t="n">
        <f aca="false">'Cuenta Ahorro-Inversión-Financi'!DG26/1000</f>
        <v>2179024.10363078</v>
      </c>
    </row>
    <row r="16" customFormat="false" ht="14.45" hidden="false" customHeight="true" outlineLevel="0" collapsed="false">
      <c r="A16" s="513" t="n">
        <v>2012</v>
      </c>
      <c r="B16" s="514" t="n">
        <v>148392.569213711</v>
      </c>
      <c r="C16" s="514" t="n">
        <v>4124.86188830178</v>
      </c>
      <c r="D16" s="514" t="n">
        <v>85876.6211217334</v>
      </c>
      <c r="E16" s="514" t="n">
        <v>401406.098523243</v>
      </c>
      <c r="F16" s="514" t="n">
        <v>29070.7500074754</v>
      </c>
      <c r="G16" s="514" t="n">
        <v>128064.009663161</v>
      </c>
      <c r="H16" s="514" t="n">
        <v>796934.910417625</v>
      </c>
      <c r="I16" s="514" t="n">
        <v>325101.833047298</v>
      </c>
      <c r="J16" s="514" t="n">
        <v>54390.3837636027</v>
      </c>
      <c r="K16" s="514" t="n">
        <v>151238.519973974</v>
      </c>
      <c r="L16" s="514" t="n">
        <v>93262.8612587392</v>
      </c>
      <c r="M16" s="514" t="n">
        <v>248725.757545323</v>
      </c>
      <c r="N16" s="514" t="n">
        <v>184671.507473061</v>
      </c>
      <c r="O16" s="514" t="n">
        <v>135223.297608515</v>
      </c>
      <c r="P16" s="514" t="n">
        <v>124153.072862115</v>
      </c>
      <c r="Q16" s="514" t="n">
        <v>79052.0441214078</v>
      </c>
      <c r="R16" s="514" t="n">
        <v>19635.6455952957</v>
      </c>
      <c r="S16" s="514" t="n">
        <v>1415454.92324933</v>
      </c>
      <c r="T16" s="514" t="n">
        <v>2212389.83366696</v>
      </c>
      <c r="U16" s="514" t="n">
        <v>190496.44035313</v>
      </c>
      <c r="V16" s="514" t="n">
        <v>16642.99794236</v>
      </c>
      <c r="W16" s="514" t="n">
        <v>218384.576253103</v>
      </c>
      <c r="X16" s="514" t="n">
        <f aca="false">'Cuenta Ahorro-Inversión-Financi'!DG27/1000</f>
        <v>2637913.84821555</v>
      </c>
    </row>
    <row r="17" customFormat="false" ht="12" hidden="false" customHeight="true" outlineLevel="0" collapsed="false">
      <c r="A17" s="515" t="n">
        <v>2013</v>
      </c>
      <c r="B17" s="516" t="n">
        <v>194918.847282408</v>
      </c>
      <c r="C17" s="516" t="n">
        <v>7751.53452858309</v>
      </c>
      <c r="D17" s="516" t="n">
        <v>98106.5544873194</v>
      </c>
      <c r="E17" s="516" t="n">
        <v>502616.403786605</v>
      </c>
      <c r="F17" s="516" t="n">
        <v>39698.7522675264</v>
      </c>
      <c r="G17" s="516" t="n">
        <v>163369.255421956</v>
      </c>
      <c r="H17" s="516" t="n">
        <v>1006461.3477744</v>
      </c>
      <c r="I17" s="516" t="n">
        <v>412296.631489185</v>
      </c>
      <c r="J17" s="516" t="n">
        <v>67811.336698678</v>
      </c>
      <c r="K17" s="516" t="n">
        <v>187031.929424045</v>
      </c>
      <c r="L17" s="516" t="n">
        <v>120154.424377176</v>
      </c>
      <c r="M17" s="516" t="n">
        <v>320106.831646527</v>
      </c>
      <c r="N17" s="516" t="n">
        <v>240661.512754116</v>
      </c>
      <c r="O17" s="516" t="n">
        <v>170754.889265749</v>
      </c>
      <c r="P17" s="516" t="n">
        <v>161554.1435919</v>
      </c>
      <c r="Q17" s="516" t="n">
        <v>99046.2671270406</v>
      </c>
      <c r="R17" s="516" t="n">
        <v>25959.6236083604</v>
      </c>
      <c r="S17" s="516" t="n">
        <v>1805377.58998278</v>
      </c>
      <c r="T17" s="516" t="n">
        <v>2811838.93775718</v>
      </c>
      <c r="U17" s="516" t="n">
        <v>249006.25115145</v>
      </c>
      <c r="V17" s="516" t="n">
        <v>23550.52085733</v>
      </c>
      <c r="W17" s="516" t="n">
        <v>263912.77846125</v>
      </c>
      <c r="X17" s="516" t="n">
        <f aca="false">'Cuenta Ahorro-Inversión-Financi'!DG28/1000</f>
        <v>3348308.48822721</v>
      </c>
    </row>
    <row r="18" customFormat="false" ht="12" hidden="false" customHeight="true" outlineLevel="0" collapsed="false">
      <c r="A18" s="513" t="n">
        <v>2014</v>
      </c>
      <c r="B18" s="514" t="n">
        <v>296467.591852072</v>
      </c>
      <c r="C18" s="514" t="n">
        <v>10912.9035059523</v>
      </c>
      <c r="D18" s="514" t="n">
        <v>170194.97253377</v>
      </c>
      <c r="E18" s="514" t="n">
        <v>676458.297228698</v>
      </c>
      <c r="F18" s="514" t="n">
        <v>52741.8678813769</v>
      </c>
      <c r="G18" s="514" t="n">
        <v>212287.738015266</v>
      </c>
      <c r="H18" s="514" t="n">
        <v>1419063.37101714</v>
      </c>
      <c r="I18" s="514" t="n">
        <v>553275.217148189</v>
      </c>
      <c r="J18" s="514" t="n">
        <v>92601.3047232921</v>
      </c>
      <c r="K18" s="514" t="n">
        <v>252845.169538884</v>
      </c>
      <c r="L18" s="514" t="n">
        <v>159736.796114979</v>
      </c>
      <c r="M18" s="514" t="n">
        <v>416131.153750562</v>
      </c>
      <c r="N18" s="514" t="n">
        <v>336546.238066438</v>
      </c>
      <c r="O18" s="514" t="n">
        <v>228889.507320116</v>
      </c>
      <c r="P18" s="514" t="n">
        <v>220024.753491448</v>
      </c>
      <c r="Q18" s="514" t="n">
        <v>130256.887821708</v>
      </c>
      <c r="R18" s="514" t="n">
        <v>33886.2113818159</v>
      </c>
      <c r="S18" s="514" t="n">
        <v>2424193.23935743</v>
      </c>
      <c r="T18" s="514" t="n">
        <v>3843256.61037457</v>
      </c>
      <c r="U18" s="514" t="n">
        <v>331202.80735269</v>
      </c>
      <c r="V18" s="514" t="n">
        <v>30058.4484072</v>
      </c>
      <c r="W18" s="514" t="n">
        <v>374568.559275641</v>
      </c>
      <c r="X18" s="514" t="n">
        <f aca="false">'Cuenta Ahorro-Inversión-Financi'!DG29/1000</f>
        <v>4579086.4254101</v>
      </c>
    </row>
    <row r="19" customFormat="false" ht="12" hidden="false" customHeight="true" outlineLevel="0" collapsed="false">
      <c r="A19" s="515" t="n">
        <v>2015</v>
      </c>
      <c r="B19" s="516" t="n">
        <v>282822.342843166</v>
      </c>
      <c r="C19" s="516" t="n">
        <v>13885.935258007</v>
      </c>
      <c r="D19" s="516" t="n">
        <v>191253.108792919</v>
      </c>
      <c r="E19" s="516" t="n">
        <v>846937.357935133</v>
      </c>
      <c r="F19" s="516" t="n">
        <v>67296.9790271942</v>
      </c>
      <c r="G19" s="516" t="n">
        <v>272256.902344197</v>
      </c>
      <c r="H19" s="516" t="n">
        <v>1674452.62620062</v>
      </c>
      <c r="I19" s="516" t="n">
        <v>706551.403521913</v>
      </c>
      <c r="J19" s="516" t="n">
        <v>125433.790420842</v>
      </c>
      <c r="K19" s="516" t="n">
        <v>325556.968968185</v>
      </c>
      <c r="L19" s="516" t="n">
        <v>202875.537974079</v>
      </c>
      <c r="M19" s="516" t="n">
        <v>569533.907311678</v>
      </c>
      <c r="N19" s="516" t="n">
        <v>469488.243592298</v>
      </c>
      <c r="O19" s="516" t="n">
        <v>314470.429234</v>
      </c>
      <c r="P19" s="516" t="n">
        <v>298463.804720828</v>
      </c>
      <c r="Q19" s="516" t="n">
        <v>177520.913366778</v>
      </c>
      <c r="R19" s="516" t="n">
        <v>44807.9588492332</v>
      </c>
      <c r="S19" s="516" t="n">
        <v>3234702.95795983</v>
      </c>
      <c r="T19" s="516" t="n">
        <v>4909155.58416045</v>
      </c>
      <c r="U19" s="516" t="n">
        <v>433076.24098407</v>
      </c>
      <c r="V19" s="516" t="n">
        <v>35512.31628528</v>
      </c>
      <c r="W19" s="516" t="n">
        <v>476270.307748627</v>
      </c>
      <c r="X19" s="516" t="n">
        <f aca="false">'Cuenta Ahorro-Inversión-Financi'!DG30/1000</f>
        <v>5954510.89569234</v>
      </c>
    </row>
    <row r="20" customFormat="false" ht="12" hidden="false" customHeight="true" outlineLevel="0" collapsed="false">
      <c r="A20" s="513" t="n">
        <v>2016</v>
      </c>
      <c r="B20" s="514" t="n">
        <v>484140.031694749</v>
      </c>
      <c r="C20" s="514" t="n">
        <v>21980.7201616412</v>
      </c>
      <c r="D20" s="514" t="n">
        <v>272029.561087026</v>
      </c>
      <c r="E20" s="514" t="n">
        <v>1113840.67333943</v>
      </c>
      <c r="F20" s="514" t="n">
        <v>106903.190220517</v>
      </c>
      <c r="G20" s="514" t="n">
        <v>317529.372487173</v>
      </c>
      <c r="H20" s="514" t="n">
        <v>2316423.54899054</v>
      </c>
      <c r="I20" s="514" t="n">
        <v>961250.221748472</v>
      </c>
      <c r="J20" s="514" t="n">
        <v>166253.054767827</v>
      </c>
      <c r="K20" s="514" t="n">
        <v>452172.470293382</v>
      </c>
      <c r="L20" s="514" t="n">
        <v>313813.272246653</v>
      </c>
      <c r="M20" s="514" t="n">
        <v>773119.38980547</v>
      </c>
      <c r="N20" s="514" t="n">
        <v>643046.605010581</v>
      </c>
      <c r="O20" s="514" t="n">
        <v>435212.26524287</v>
      </c>
      <c r="P20" s="514" t="n">
        <v>423612.751010013</v>
      </c>
      <c r="Q20" s="514" t="n">
        <v>238631.122376838</v>
      </c>
      <c r="R20" s="514" t="n">
        <v>59655.6219664743</v>
      </c>
      <c r="S20" s="514" t="n">
        <v>4466766.77446858</v>
      </c>
      <c r="T20" s="514" t="n">
        <v>6783190.32345912</v>
      </c>
      <c r="U20" s="514" t="n">
        <v>583486.93634567</v>
      </c>
      <c r="V20" s="514" t="n">
        <v>56364.64902211</v>
      </c>
      <c r="W20" s="514" t="n">
        <v>627203.504433701</v>
      </c>
      <c r="X20" s="514" t="n">
        <f aca="false">'Cuenta Ahorro-Inversión-Financi'!DG31/1000</f>
        <v>8228159.55653643</v>
      </c>
    </row>
    <row r="21" customFormat="false" ht="12" hidden="false" customHeight="true" outlineLevel="0" collapsed="false">
      <c r="A21" s="515" t="n">
        <v>2017</v>
      </c>
      <c r="B21" s="516"/>
      <c r="C21" s="516"/>
      <c r="D21" s="516"/>
      <c r="E21" s="516"/>
      <c r="F21" s="516"/>
      <c r="G21" s="516"/>
      <c r="H21" s="516"/>
      <c r="I21" s="516"/>
      <c r="J21" s="516"/>
      <c r="K21" s="516"/>
      <c r="L21" s="516"/>
      <c r="M21" s="516"/>
      <c r="N21" s="516"/>
      <c r="O21" s="516"/>
      <c r="P21" s="516"/>
      <c r="Q21" s="516"/>
      <c r="R21" s="516"/>
      <c r="S21" s="516"/>
      <c r="T21" s="516"/>
      <c r="U21" s="516"/>
      <c r="V21" s="516"/>
      <c r="W21" s="516"/>
      <c r="X21" s="516" t="n">
        <f aca="false">'Cuenta Ahorro-Inversión-Financi'!DG32/1000</f>
        <v>10644778.799189</v>
      </c>
    </row>
    <row r="22" customFormat="false" ht="12" hidden="false" customHeight="true" outlineLevel="0" collapsed="false">
      <c r="A22" s="513" t="n">
        <v>2018</v>
      </c>
      <c r="B22" s="514"/>
      <c r="C22" s="514"/>
      <c r="D22" s="514"/>
      <c r="E22" s="514"/>
      <c r="F22" s="514"/>
      <c r="G22" s="514"/>
      <c r="H22" s="514"/>
      <c r="I22" s="514"/>
      <c r="J22" s="514"/>
      <c r="K22" s="514"/>
      <c r="L22" s="514"/>
      <c r="M22" s="514"/>
      <c r="N22" s="514"/>
      <c r="O22" s="514"/>
      <c r="P22" s="514"/>
      <c r="Q22" s="514"/>
      <c r="R22" s="514"/>
      <c r="S22" s="514"/>
      <c r="T22" s="514"/>
      <c r="U22" s="514"/>
      <c r="V22" s="514"/>
      <c r="W22" s="514"/>
      <c r="X22" s="514" t="n">
        <f aca="false">'Cuenta Ahorro-Inversión-Financi'!DG33/1000</f>
        <v>14566558.892139</v>
      </c>
    </row>
    <row r="23" customFormat="false" ht="12" hidden="false" customHeight="true" outlineLevel="0" collapsed="false">
      <c r="A23" s="517"/>
      <c r="B23" s="518"/>
      <c r="C23" s="518"/>
      <c r="D23" s="518"/>
      <c r="E23" s="518"/>
      <c r="F23" s="518"/>
      <c r="G23" s="518"/>
      <c r="H23" s="518"/>
      <c r="I23" s="518"/>
      <c r="J23" s="518"/>
      <c r="K23" s="518"/>
      <c r="L23" s="518"/>
      <c r="M23" s="518"/>
      <c r="N23" s="518"/>
      <c r="O23" s="518"/>
      <c r="P23" s="518"/>
      <c r="Q23" s="518"/>
      <c r="R23" s="518"/>
      <c r="S23" s="518"/>
      <c r="T23" s="518"/>
      <c r="U23" s="518"/>
      <c r="V23" s="518"/>
      <c r="W23" s="518"/>
      <c r="X23" s="518" t="n">
        <v>21605824</v>
      </c>
    </row>
    <row r="24" customFormat="false" ht="12" hidden="false" customHeight="true" outlineLevel="0" collapsed="false">
      <c r="A24" s="517"/>
      <c r="B24" s="518"/>
      <c r="C24" s="518"/>
      <c r="D24" s="518"/>
      <c r="E24" s="518"/>
      <c r="F24" s="518"/>
      <c r="G24" s="518"/>
      <c r="H24" s="518"/>
      <c r="I24" s="518"/>
      <c r="J24" s="518"/>
      <c r="K24" s="518"/>
      <c r="L24" s="518"/>
      <c r="M24" s="518"/>
      <c r="N24" s="518"/>
      <c r="O24" s="518"/>
      <c r="P24" s="518"/>
      <c r="Q24" s="518"/>
      <c r="R24" s="518"/>
      <c r="S24" s="518"/>
      <c r="T24" s="518"/>
      <c r="U24" s="518"/>
      <c r="V24" s="518"/>
      <c r="W24" s="518"/>
      <c r="X24" s="518"/>
    </row>
    <row r="25" customFormat="false" ht="12" hidden="false" customHeight="true" outlineLevel="0" collapsed="false">
      <c r="A25" s="517"/>
      <c r="B25" s="518"/>
      <c r="C25" s="518"/>
      <c r="D25" s="518"/>
      <c r="E25" s="518"/>
      <c r="F25" s="518"/>
      <c r="G25" s="518"/>
      <c r="H25" s="518"/>
      <c r="I25" s="518"/>
      <c r="J25" s="518"/>
      <c r="K25" s="518"/>
      <c r="L25" s="518"/>
      <c r="M25" s="518"/>
      <c r="N25" s="518"/>
      <c r="O25" s="518"/>
      <c r="P25" s="518"/>
      <c r="Q25" s="518"/>
      <c r="R25" s="518"/>
      <c r="S25" s="518"/>
      <c r="T25" s="518"/>
      <c r="U25" s="518"/>
      <c r="V25" s="518"/>
      <c r="W25" s="518"/>
      <c r="X25" s="518"/>
    </row>
    <row r="26" customFormat="false" ht="12" hidden="false" customHeight="true" outlineLevel="0" collapsed="false">
      <c r="A26" s="517"/>
      <c r="B26" s="518"/>
      <c r="C26" s="518"/>
      <c r="D26" s="518"/>
      <c r="E26" s="518"/>
      <c r="F26" s="518"/>
      <c r="G26" s="518"/>
      <c r="H26" s="518"/>
      <c r="I26" s="518"/>
      <c r="J26" s="518"/>
      <c r="K26" s="518"/>
      <c r="L26" s="518"/>
      <c r="M26" s="518"/>
      <c r="N26" s="518"/>
      <c r="O26" s="518"/>
      <c r="P26" s="518"/>
      <c r="Q26" s="518"/>
      <c r="R26" s="518"/>
      <c r="S26" s="518"/>
      <c r="T26" s="518"/>
      <c r="U26" s="518"/>
      <c r="V26" s="518"/>
      <c r="W26" s="518"/>
      <c r="X26" s="518"/>
    </row>
    <row r="27" customFormat="false" ht="12" hidden="false" customHeight="true" outlineLevel="0" collapsed="false">
      <c r="A27" s="517"/>
      <c r="B27" s="518"/>
      <c r="C27" s="518"/>
      <c r="D27" s="518"/>
      <c r="E27" s="518"/>
      <c r="F27" s="518"/>
      <c r="G27" s="518"/>
      <c r="H27" s="518"/>
      <c r="I27" s="518"/>
      <c r="J27" s="518"/>
      <c r="K27" s="518"/>
      <c r="L27" s="518"/>
      <c r="M27" s="518"/>
      <c r="N27" s="518"/>
      <c r="O27" s="518"/>
      <c r="P27" s="518"/>
      <c r="Q27" s="518"/>
      <c r="R27" s="518"/>
      <c r="S27" s="518"/>
      <c r="T27" s="518"/>
      <c r="U27" s="518"/>
      <c r="V27" s="518"/>
      <c r="W27" s="519"/>
      <c r="X27" s="519"/>
    </row>
    <row r="28" customFormat="false" ht="12" hidden="false" customHeight="true" outlineLevel="0" collapsed="false">
      <c r="A28" s="517"/>
      <c r="B28" s="518"/>
      <c r="C28" s="518"/>
      <c r="D28" s="518"/>
      <c r="E28" s="518"/>
      <c r="F28" s="518"/>
      <c r="G28" s="518"/>
      <c r="H28" s="518"/>
      <c r="I28" s="518"/>
      <c r="J28" s="518"/>
      <c r="K28" s="518"/>
      <c r="L28" s="518"/>
      <c r="M28" s="518"/>
      <c r="N28" s="518"/>
      <c r="O28" s="518"/>
      <c r="P28" s="518"/>
      <c r="Q28" s="518"/>
      <c r="R28" s="518"/>
      <c r="S28" s="518"/>
      <c r="T28" s="518"/>
      <c r="U28" s="518"/>
      <c r="V28" s="518"/>
      <c r="W28" s="518"/>
      <c r="X28" s="518"/>
    </row>
    <row r="29" customFormat="false" ht="12" hidden="false" customHeight="true" outlineLevel="0" collapsed="false">
      <c r="A29" s="517"/>
      <c r="B29" s="518"/>
      <c r="C29" s="518"/>
      <c r="D29" s="518"/>
      <c r="E29" s="518"/>
      <c r="F29" s="518"/>
      <c r="G29" s="518"/>
      <c r="H29" s="518"/>
      <c r="I29" s="518"/>
      <c r="J29" s="518"/>
      <c r="K29" s="518"/>
      <c r="L29" s="518"/>
      <c r="M29" s="518"/>
      <c r="N29" s="518"/>
      <c r="O29" s="518"/>
      <c r="P29" s="518"/>
      <c r="Q29" s="518"/>
      <c r="R29" s="518"/>
      <c r="S29" s="518"/>
      <c r="T29" s="518"/>
      <c r="U29" s="518"/>
      <c r="V29" s="518"/>
      <c r="W29" s="518"/>
      <c r="X29" s="518"/>
    </row>
    <row r="40" customFormat="false" ht="12" hidden="false" customHeight="true" outlineLevel="0" collapsed="false">
      <c r="A40" s="520" t="s">
        <v>619</v>
      </c>
      <c r="B40" s="521" t="n">
        <v>31421.9764066352</v>
      </c>
      <c r="C40" s="521" t="n">
        <v>1236.08854004843</v>
      </c>
      <c r="D40" s="521" t="n">
        <v>21667.2159756081</v>
      </c>
      <c r="E40" s="521" t="n">
        <v>82878.1216053458</v>
      </c>
      <c r="F40" s="521" t="n">
        <v>7595.81446028229</v>
      </c>
      <c r="G40" s="521" t="n">
        <v>13856.8667627285</v>
      </c>
      <c r="H40" s="521" t="n">
        <v>158656.083750648</v>
      </c>
      <c r="I40" s="521" t="n">
        <v>57036.2357530791</v>
      </c>
      <c r="J40" s="521" t="n">
        <v>9098.39425063143</v>
      </c>
      <c r="K40" s="521" t="n">
        <v>27835.2114523249</v>
      </c>
      <c r="L40" s="521" t="n">
        <v>13660.4375156393</v>
      </c>
      <c r="M40" s="521" t="n">
        <v>47316.4027735858</v>
      </c>
      <c r="N40" s="521" t="n">
        <v>19955.5792931231</v>
      </c>
      <c r="O40" s="521" t="n">
        <v>15938.5784085285</v>
      </c>
      <c r="P40" s="521" t="n">
        <v>11594.4218093466</v>
      </c>
      <c r="Q40" s="521" t="n">
        <v>11555.5040279502</v>
      </c>
      <c r="R40" s="521" t="n">
        <v>2979.02649373189</v>
      </c>
      <c r="S40" s="521" t="n">
        <v>216969.791777941</v>
      </c>
      <c r="T40" s="521" t="n">
        <v>375625.875528589</v>
      </c>
      <c r="U40" s="521" t="n">
        <v>27780.80822952</v>
      </c>
      <c r="V40" s="521" t="n">
        <v>2705.4046422</v>
      </c>
      <c r="W40" s="521" t="n">
        <v>33083.7765998634</v>
      </c>
      <c r="X40" s="521" t="n">
        <v>439195.865000173</v>
      </c>
    </row>
    <row r="41" customFormat="false" ht="12" hidden="false" customHeight="true" outlineLevel="0" collapsed="false">
      <c r="A41" s="522" t="s">
        <v>620</v>
      </c>
      <c r="B41" s="523" t="n">
        <v>66759.8219553655</v>
      </c>
      <c r="C41" s="523" t="n">
        <v>2159.64214899718</v>
      </c>
      <c r="D41" s="523" t="n">
        <v>23923.5445905583</v>
      </c>
      <c r="E41" s="523" t="n">
        <v>90585.8772559679</v>
      </c>
      <c r="F41" s="523" t="n">
        <v>8859.57545800227</v>
      </c>
      <c r="G41" s="523" t="n">
        <v>14331.3745005034</v>
      </c>
      <c r="H41" s="523" t="n">
        <v>206619.835909395</v>
      </c>
      <c r="I41" s="523" t="n">
        <v>60357.4244197299</v>
      </c>
      <c r="J41" s="523" t="n">
        <v>6037.55339302484</v>
      </c>
      <c r="K41" s="523" t="n">
        <v>30468.0833360572</v>
      </c>
      <c r="L41" s="523" t="n">
        <v>15947.3311398005</v>
      </c>
      <c r="M41" s="523" t="n">
        <v>51777.5748218902</v>
      </c>
      <c r="N41" s="523" t="n">
        <v>20633.80552185</v>
      </c>
      <c r="O41" s="523" t="n">
        <v>16092.5582139717</v>
      </c>
      <c r="P41" s="523" t="n">
        <v>13433.9420946417</v>
      </c>
      <c r="Q41" s="523" t="n">
        <v>12210.1889011456</v>
      </c>
      <c r="R41" s="523" t="n">
        <v>3033.15034191438</v>
      </c>
      <c r="S41" s="523" t="n">
        <v>229991.612184026</v>
      </c>
      <c r="T41" s="523" t="n">
        <v>436611.448093421</v>
      </c>
      <c r="U41" s="523" t="n">
        <v>30680.241993488</v>
      </c>
      <c r="V41" s="523" t="n">
        <v>3120.52485308</v>
      </c>
      <c r="W41" s="523" t="n">
        <v>39086.4483068945</v>
      </c>
      <c r="X41" s="523" t="n">
        <v>509498.663246883</v>
      </c>
    </row>
    <row r="42" customFormat="false" ht="12" hidden="false" customHeight="true" outlineLevel="0" collapsed="false">
      <c r="A42" s="520" t="s">
        <v>621</v>
      </c>
      <c r="B42" s="521" t="n">
        <v>28050.0161932817</v>
      </c>
      <c r="C42" s="521" t="n">
        <v>1324.97596269925</v>
      </c>
      <c r="D42" s="521" t="n">
        <v>25879.9564189466</v>
      </c>
      <c r="E42" s="521" t="n">
        <v>94949.7530698286</v>
      </c>
      <c r="F42" s="521" t="n">
        <v>9460.21807764378</v>
      </c>
      <c r="G42" s="521" t="n">
        <v>15454.411711954</v>
      </c>
      <c r="H42" s="521" t="n">
        <v>175119.331434354</v>
      </c>
      <c r="I42" s="521" t="n">
        <v>60996.7146778016</v>
      </c>
      <c r="J42" s="521" t="n">
        <v>6105.14654436747</v>
      </c>
      <c r="K42" s="521" t="n">
        <v>29502.2277156443</v>
      </c>
      <c r="L42" s="521" t="n">
        <v>15474.632752684</v>
      </c>
      <c r="M42" s="521" t="n">
        <v>54858.0802906492</v>
      </c>
      <c r="N42" s="521" t="n">
        <v>22128.206804137</v>
      </c>
      <c r="O42" s="521" t="n">
        <v>17696.6965053726</v>
      </c>
      <c r="P42" s="521" t="n">
        <v>13970.5422479545</v>
      </c>
      <c r="Q42" s="521" t="n">
        <v>12498.9934672028</v>
      </c>
      <c r="R42" s="521" t="n">
        <v>2973.62004554386</v>
      </c>
      <c r="S42" s="521" t="n">
        <v>236204.861051357</v>
      </c>
      <c r="T42" s="521" t="n">
        <v>411324.192485711</v>
      </c>
      <c r="U42" s="521" t="n">
        <v>33774.36826444</v>
      </c>
      <c r="V42" s="521" t="n">
        <v>3547.35965352</v>
      </c>
      <c r="W42" s="521" t="n">
        <v>39816.4621875121</v>
      </c>
      <c r="X42" s="521" t="n">
        <v>488462.382591183</v>
      </c>
    </row>
    <row r="43" customFormat="false" ht="12" hidden="false" customHeight="true" outlineLevel="0" collapsed="false">
      <c r="A43" s="522" t="s">
        <v>622</v>
      </c>
      <c r="B43" s="523" t="n">
        <v>30268.9758970871</v>
      </c>
      <c r="C43" s="523" t="n">
        <v>1049.27575733776</v>
      </c>
      <c r="D43" s="523" t="n">
        <v>25816.5062920652</v>
      </c>
      <c r="E43" s="523" t="n">
        <v>99051.570029141</v>
      </c>
      <c r="F43" s="523" t="n">
        <v>8894.01431125498</v>
      </c>
      <c r="G43" s="523" t="n">
        <v>15976.248582813</v>
      </c>
      <c r="H43" s="523" t="n">
        <v>181056.590869699</v>
      </c>
      <c r="I43" s="523" t="n">
        <v>61748.006919505</v>
      </c>
      <c r="J43" s="523" t="n">
        <v>6503.04280216171</v>
      </c>
      <c r="K43" s="523" t="n">
        <v>31354.0780757451</v>
      </c>
      <c r="L43" s="523" t="n">
        <v>15235.2335535911</v>
      </c>
      <c r="M43" s="523" t="n">
        <v>58385.4050526953</v>
      </c>
      <c r="N43" s="523" t="n">
        <v>23622.6263084674</v>
      </c>
      <c r="O43" s="523" t="n">
        <v>18501.7626694818</v>
      </c>
      <c r="P43" s="523" t="n">
        <v>13806.507756494</v>
      </c>
      <c r="Q43" s="523" t="n">
        <v>12749.4700587415</v>
      </c>
      <c r="R43" s="523" t="n">
        <v>3185.59735926767</v>
      </c>
      <c r="S43" s="523" t="n">
        <v>245091.73055615</v>
      </c>
      <c r="T43" s="523" t="n">
        <v>426148.321425849</v>
      </c>
      <c r="U43" s="523" t="n">
        <v>31672.37800748</v>
      </c>
      <c r="V43" s="523" t="n">
        <v>3628.52464172</v>
      </c>
      <c r="W43" s="523" t="n">
        <v>41854.6439857299</v>
      </c>
      <c r="X43" s="523" t="n">
        <v>503303.868060779</v>
      </c>
    </row>
    <row r="44" customFormat="false" ht="12" hidden="false" customHeight="true" outlineLevel="0" collapsed="false">
      <c r="A44" s="520" t="s">
        <v>623</v>
      </c>
      <c r="B44" s="521" t="n">
        <v>35483.0019217949</v>
      </c>
      <c r="C44" s="521" t="n">
        <v>1917.42910618513</v>
      </c>
      <c r="D44" s="521" t="n">
        <v>23859.1564385869</v>
      </c>
      <c r="E44" s="521" t="n">
        <v>96710.4437210871</v>
      </c>
      <c r="F44" s="521" t="n">
        <v>9479.60553827169</v>
      </c>
      <c r="G44" s="521" t="n">
        <v>18521.2087189408</v>
      </c>
      <c r="H44" s="521" t="n">
        <v>185970.845444866</v>
      </c>
      <c r="I44" s="521" t="n">
        <v>66912.2473277132</v>
      </c>
      <c r="J44" s="521" t="n">
        <v>9202.60004221412</v>
      </c>
      <c r="K44" s="521" t="n">
        <v>32910.491485885</v>
      </c>
      <c r="L44" s="521" t="n">
        <v>17516.0054129043</v>
      </c>
      <c r="M44" s="521" t="n">
        <v>45634.1555266852</v>
      </c>
      <c r="N44" s="521" t="n">
        <v>24972.7643069407</v>
      </c>
      <c r="O44" s="521" t="n">
        <v>19231.6822381875</v>
      </c>
      <c r="P44" s="521" t="n">
        <v>14290.0627769039</v>
      </c>
      <c r="Q44" s="521" t="n">
        <v>13818.5854874184</v>
      </c>
      <c r="R44" s="521" t="n">
        <v>3614.9236611543</v>
      </c>
      <c r="S44" s="521" t="n">
        <v>248103.518266007</v>
      </c>
      <c r="T44" s="521" t="n">
        <v>434074.363710873</v>
      </c>
      <c r="U44" s="521" t="n">
        <v>33006.13073076</v>
      </c>
      <c r="V44" s="521" t="n">
        <v>3208.07000188</v>
      </c>
      <c r="W44" s="521" t="n">
        <v>40414.8625716033</v>
      </c>
      <c r="X44" s="521" t="n">
        <v>510703.427015116</v>
      </c>
    </row>
    <row r="45" customFormat="false" ht="12" hidden="false" customHeight="true" outlineLevel="0" collapsed="false">
      <c r="A45" s="522" t="s">
        <v>624</v>
      </c>
      <c r="B45" s="523" t="n">
        <v>70909.1161027</v>
      </c>
      <c r="C45" s="523" t="n">
        <v>2633.92199496089</v>
      </c>
      <c r="D45" s="523" t="n">
        <v>27978.1491831754</v>
      </c>
      <c r="E45" s="523" t="n">
        <v>106323.420940789</v>
      </c>
      <c r="F45" s="523" t="n">
        <v>10574.3950394749</v>
      </c>
      <c r="G45" s="523" t="n">
        <v>20043.1002147016</v>
      </c>
      <c r="H45" s="523" t="n">
        <v>238462.103475802</v>
      </c>
      <c r="I45" s="523" t="n">
        <v>72818.9498029585</v>
      </c>
      <c r="J45" s="523" t="n">
        <v>7670.02076717544</v>
      </c>
      <c r="K45" s="523" t="n">
        <v>37553.2551380552</v>
      </c>
      <c r="L45" s="523" t="n">
        <v>18255.8514850313</v>
      </c>
      <c r="M45" s="523" t="n">
        <v>61648.7351712389</v>
      </c>
      <c r="N45" s="523" t="n">
        <v>25957.6319280352</v>
      </c>
      <c r="O45" s="523" t="n">
        <v>20629.8296914536</v>
      </c>
      <c r="P45" s="523" t="n">
        <v>16578.8486466317</v>
      </c>
      <c r="Q45" s="523" t="n">
        <v>14701.353087052</v>
      </c>
      <c r="R45" s="523" t="n">
        <v>3539.80159710747</v>
      </c>
      <c r="S45" s="523" t="n">
        <v>279354.277314739</v>
      </c>
      <c r="T45" s="523" t="n">
        <v>517816.380790541</v>
      </c>
      <c r="U45" s="523" t="n">
        <v>36710.50272688</v>
      </c>
      <c r="V45" s="523" t="n">
        <v>3724.8147716</v>
      </c>
      <c r="W45" s="523" t="n">
        <v>47520.077557489</v>
      </c>
      <c r="X45" s="523" t="n">
        <v>605771.77584651</v>
      </c>
    </row>
    <row r="46" customFormat="false" ht="12" hidden="false" customHeight="true" outlineLevel="0" collapsed="false">
      <c r="A46" s="520" t="s">
        <v>625</v>
      </c>
      <c r="B46" s="521" t="n">
        <v>34028.2645902696</v>
      </c>
      <c r="C46" s="521" t="n">
        <v>973.212657876913</v>
      </c>
      <c r="D46" s="521" t="n">
        <v>30311.1710417336</v>
      </c>
      <c r="E46" s="521" t="n">
        <v>108491.37035152</v>
      </c>
      <c r="F46" s="521" t="n">
        <v>11648.4836992309</v>
      </c>
      <c r="G46" s="521" t="n">
        <v>21193.5039680538</v>
      </c>
      <c r="H46" s="521" t="n">
        <v>206646.006308685</v>
      </c>
      <c r="I46" s="521" t="n">
        <v>73347.8992382506</v>
      </c>
      <c r="J46" s="521" t="n">
        <v>9744.96165841206</v>
      </c>
      <c r="K46" s="521" t="n">
        <v>36422.0502757322</v>
      </c>
      <c r="L46" s="521" t="n">
        <v>19003.3419896455</v>
      </c>
      <c r="M46" s="521" t="n">
        <v>67000.3037700587</v>
      </c>
      <c r="N46" s="521" t="n">
        <v>27847.4891094725</v>
      </c>
      <c r="O46" s="521" t="n">
        <v>22464.7164073765</v>
      </c>
      <c r="P46" s="521" t="n">
        <v>17039.8331008654</v>
      </c>
      <c r="Q46" s="521" t="n">
        <v>15807.1438832507</v>
      </c>
      <c r="R46" s="521" t="n">
        <v>3565.04477076509</v>
      </c>
      <c r="S46" s="521" t="n">
        <v>292242.784203829</v>
      </c>
      <c r="T46" s="521" t="n">
        <v>498888.790512514</v>
      </c>
      <c r="U46" s="521" t="n">
        <v>38827.05391056</v>
      </c>
      <c r="V46" s="521" t="n">
        <v>4132.02842248</v>
      </c>
      <c r="W46" s="521" t="n">
        <v>48371.6862970749</v>
      </c>
      <c r="X46" s="521" t="n">
        <v>590219.559142629</v>
      </c>
    </row>
    <row r="47" customFormat="false" ht="12" hidden="false" customHeight="true" outlineLevel="0" collapsed="false">
      <c r="A47" s="522" t="s">
        <v>626</v>
      </c>
      <c r="B47" s="523" t="n">
        <v>37898.6975866652</v>
      </c>
      <c r="C47" s="523" t="n">
        <v>1141.45242608411</v>
      </c>
      <c r="D47" s="523" t="n">
        <v>33201.1817699232</v>
      </c>
      <c r="E47" s="523" t="n">
        <v>115834.460428509</v>
      </c>
      <c r="F47" s="523" t="n">
        <v>10712.8994327294</v>
      </c>
      <c r="G47" s="523" t="n">
        <v>22154.2767980814</v>
      </c>
      <c r="H47" s="523" t="n">
        <v>220942.968441992</v>
      </c>
      <c r="I47" s="523" t="n">
        <v>75802.1567970525</v>
      </c>
      <c r="J47" s="523" t="n">
        <v>10168.8772732358</v>
      </c>
      <c r="K47" s="523" t="n">
        <v>38395.2050087438</v>
      </c>
      <c r="L47" s="523" t="n">
        <v>20201.0812401484</v>
      </c>
      <c r="M47" s="523" t="n">
        <v>71893.3774738664</v>
      </c>
      <c r="N47" s="523" t="n">
        <v>31186.9277711039</v>
      </c>
      <c r="O47" s="523" t="n">
        <v>24873.1584083876</v>
      </c>
      <c r="P47" s="523" t="n">
        <v>17357.5966962649</v>
      </c>
      <c r="Q47" s="523" t="n">
        <v>16522.9494871367</v>
      </c>
      <c r="R47" s="523" t="n">
        <v>3699.32450785591</v>
      </c>
      <c r="S47" s="523" t="n">
        <v>310100.654663796</v>
      </c>
      <c r="T47" s="523" t="n">
        <v>531043.623105788</v>
      </c>
      <c r="U47" s="523" t="n">
        <v>38868.80021848</v>
      </c>
      <c r="V47" s="523" t="n">
        <v>4441.34011164</v>
      </c>
      <c r="W47" s="523" t="n">
        <v>49104.1663089351</v>
      </c>
      <c r="X47" s="523" t="n">
        <v>623457.929744843</v>
      </c>
    </row>
    <row r="48" customFormat="false" ht="12" hidden="false" customHeight="true" outlineLevel="0" collapsed="false">
      <c r="A48" s="520" t="s">
        <v>627</v>
      </c>
      <c r="B48" s="521" t="n">
        <v>39588.1454276457</v>
      </c>
      <c r="C48" s="521" t="n">
        <v>2763.04945018585</v>
      </c>
      <c r="D48" s="521" t="n">
        <v>37371.3209124387</v>
      </c>
      <c r="E48" s="521" t="n">
        <v>114644.306752128</v>
      </c>
      <c r="F48" s="521" t="n">
        <v>10472.1307587972</v>
      </c>
      <c r="G48" s="521" t="n">
        <v>26135.158010981</v>
      </c>
      <c r="H48" s="521" t="n">
        <v>230974.111312176</v>
      </c>
      <c r="I48" s="521" t="n">
        <v>82383.2897092569</v>
      </c>
      <c r="J48" s="521" t="n">
        <v>12614.1944150074</v>
      </c>
      <c r="K48" s="521" t="n">
        <v>41058.7979820591</v>
      </c>
      <c r="L48" s="521" t="n">
        <v>21380.5493230481</v>
      </c>
      <c r="M48" s="521" t="n">
        <v>64554.801866552</v>
      </c>
      <c r="N48" s="521" t="n">
        <v>31784.4996774408</v>
      </c>
      <c r="O48" s="521" t="n">
        <v>24843.3491006833</v>
      </c>
      <c r="P48" s="521" t="n">
        <v>18245.298226953</v>
      </c>
      <c r="Q48" s="521" t="n">
        <v>17176.4288390173</v>
      </c>
      <c r="R48" s="521" t="n">
        <v>4248.33939728804</v>
      </c>
      <c r="S48" s="521" t="n">
        <v>318289.548537306</v>
      </c>
      <c r="T48" s="521" t="n">
        <v>549263.659849482</v>
      </c>
      <c r="U48" s="521" t="n">
        <v>42007.15496036</v>
      </c>
      <c r="V48" s="521" t="n">
        <v>4547.09142272</v>
      </c>
      <c r="W48" s="521" t="n">
        <v>47744.4733544986</v>
      </c>
      <c r="X48" s="521" t="n">
        <v>643562.379587061</v>
      </c>
    </row>
    <row r="49" customFormat="false" ht="12" hidden="false" customHeight="true" outlineLevel="0" collapsed="false">
      <c r="A49" s="522" t="s">
        <v>628</v>
      </c>
      <c r="B49" s="523" t="n">
        <v>71886.8571070266</v>
      </c>
      <c r="C49" s="523" t="n">
        <v>3382.68920313968</v>
      </c>
      <c r="D49" s="523" t="n">
        <v>42425.0619013644</v>
      </c>
      <c r="E49" s="523" t="n">
        <v>126623.220362654</v>
      </c>
      <c r="F49" s="523" t="n">
        <v>11726.5503448961</v>
      </c>
      <c r="G49" s="523" t="n">
        <v>26960.6938572709</v>
      </c>
      <c r="H49" s="523" t="n">
        <v>283005.072776352</v>
      </c>
      <c r="I49" s="523" t="n">
        <v>88092.1771296991</v>
      </c>
      <c r="J49" s="523" t="n">
        <v>10442.1296696456</v>
      </c>
      <c r="K49" s="523" t="n">
        <v>45549.7842930277</v>
      </c>
      <c r="L49" s="523" t="n">
        <v>21869.5880646186</v>
      </c>
      <c r="M49" s="523" t="n">
        <v>70815.5014063781</v>
      </c>
      <c r="N49" s="523" t="n">
        <v>34131.3724002381</v>
      </c>
      <c r="O49" s="523" t="n">
        <v>27329.3742672393</v>
      </c>
      <c r="P49" s="523" t="n">
        <v>21057.8318209681</v>
      </c>
      <c r="Q49" s="523" t="n">
        <v>18922.52750848</v>
      </c>
      <c r="R49" s="523" t="n">
        <v>4213.63446373041</v>
      </c>
      <c r="S49" s="523" t="n">
        <v>342423.921024025</v>
      </c>
      <c r="T49" s="523" t="n">
        <v>625428.993800377</v>
      </c>
      <c r="U49" s="523" t="n">
        <v>44613.79296296</v>
      </c>
      <c r="V49" s="523" t="n">
        <v>4807.3104754</v>
      </c>
      <c r="W49" s="523" t="n">
        <v>53139.0900281742</v>
      </c>
      <c r="X49" s="523" t="n">
        <v>727989.187266911</v>
      </c>
    </row>
    <row r="50" customFormat="false" ht="12" hidden="false" customHeight="true" outlineLevel="0" collapsed="false">
      <c r="A50" s="520" t="s">
        <v>629</v>
      </c>
      <c r="B50" s="521" t="n">
        <v>35888.2922541896</v>
      </c>
      <c r="C50" s="521" t="n">
        <v>2431.97882544682</v>
      </c>
      <c r="D50" s="521" t="n">
        <v>43688.2451405564</v>
      </c>
      <c r="E50" s="521" t="n">
        <v>132929.86852165</v>
      </c>
      <c r="F50" s="521" t="n">
        <v>12780.206825888</v>
      </c>
      <c r="G50" s="521" t="n">
        <v>29699.2190350237</v>
      </c>
      <c r="H50" s="521" t="n">
        <v>257417.810602755</v>
      </c>
      <c r="I50" s="521" t="n">
        <v>91627.0243847141</v>
      </c>
      <c r="J50" s="521" t="n">
        <v>12245.6246517141</v>
      </c>
      <c r="K50" s="521" t="n">
        <v>44995.6426523055</v>
      </c>
      <c r="L50" s="521" t="n">
        <v>22504.9740017671</v>
      </c>
      <c r="M50" s="521" t="n">
        <v>76364.5679794134</v>
      </c>
      <c r="N50" s="521" t="n">
        <v>35272.2972335887</v>
      </c>
      <c r="O50" s="521" t="n">
        <v>28756.3534565675</v>
      </c>
      <c r="P50" s="521" t="n">
        <v>21604.0281738205</v>
      </c>
      <c r="Q50" s="521" t="n">
        <v>20063.7555601781</v>
      </c>
      <c r="R50" s="521" t="n">
        <v>4518.03082081319</v>
      </c>
      <c r="S50" s="521" t="n">
        <v>357952.298914882</v>
      </c>
      <c r="T50" s="521" t="n">
        <v>615370.109517637</v>
      </c>
      <c r="U50" s="521" t="n">
        <v>48562.04955328</v>
      </c>
      <c r="V50" s="521" t="n">
        <v>5433.84562128</v>
      </c>
      <c r="W50" s="521" t="n">
        <v>59933.4933139987</v>
      </c>
      <c r="X50" s="521" t="n">
        <v>729299.498006196</v>
      </c>
    </row>
    <row r="51" customFormat="false" ht="12" hidden="false" customHeight="true" outlineLevel="0" collapsed="false">
      <c r="A51" s="522" t="s">
        <v>630</v>
      </c>
      <c r="B51" s="523" t="n">
        <v>41008.8553910621</v>
      </c>
      <c r="C51" s="523" t="n">
        <v>1658.36561824907</v>
      </c>
      <c r="D51" s="523" t="n">
        <v>40480.178711956</v>
      </c>
      <c r="E51" s="523" t="n">
        <v>137754.164025795</v>
      </c>
      <c r="F51" s="523" t="n">
        <v>11683.6398740713</v>
      </c>
      <c r="G51" s="523" t="n">
        <v>30896.1413237957</v>
      </c>
      <c r="H51" s="523" t="n">
        <v>263481.344944929</v>
      </c>
      <c r="I51" s="523" t="n">
        <v>94146.181664883</v>
      </c>
      <c r="J51" s="523" t="n">
        <v>12439.3797855144</v>
      </c>
      <c r="K51" s="523" t="n">
        <v>46641.4792660954</v>
      </c>
      <c r="L51" s="523" t="n">
        <v>25503.289714121</v>
      </c>
      <c r="M51" s="523" t="n">
        <v>81561.6276123638</v>
      </c>
      <c r="N51" s="523" t="n">
        <v>39064.7489547905</v>
      </c>
      <c r="O51" s="523" t="n">
        <v>31041.9019794262</v>
      </c>
      <c r="P51" s="523" t="n">
        <v>21416.2263648258</v>
      </c>
      <c r="Q51" s="523" t="n">
        <v>20316.672184702</v>
      </c>
      <c r="R51" s="523" t="n">
        <v>5191.23661591632</v>
      </c>
      <c r="S51" s="523" t="n">
        <v>377322.744142638</v>
      </c>
      <c r="T51" s="523" t="n">
        <v>640804.089087567</v>
      </c>
      <c r="U51" s="523" t="n">
        <v>53234.23896448</v>
      </c>
      <c r="V51" s="523" t="n">
        <v>5767.73941504</v>
      </c>
      <c r="W51" s="523" t="n">
        <v>62959.9546081391</v>
      </c>
      <c r="X51" s="523" t="n">
        <v>762766.022075226</v>
      </c>
    </row>
    <row r="52" customFormat="false" ht="12" hidden="false" customHeight="true" outlineLevel="0" collapsed="false">
      <c r="A52" s="520" t="s">
        <v>631</v>
      </c>
      <c r="B52" s="521" t="n">
        <v>47091.8550408363</v>
      </c>
      <c r="C52" s="521" t="n">
        <v>2776.26068093516</v>
      </c>
      <c r="D52" s="521" t="n">
        <v>35372.5247233254</v>
      </c>
      <c r="E52" s="521" t="n">
        <v>131847.997504422</v>
      </c>
      <c r="F52" s="521" t="n">
        <v>12157.5802196026</v>
      </c>
      <c r="G52" s="521" t="n">
        <v>34202.8028961097</v>
      </c>
      <c r="H52" s="521" t="n">
        <v>263449.021065231</v>
      </c>
      <c r="I52" s="521" t="n">
        <v>101206.104708443</v>
      </c>
      <c r="J52" s="521" t="n">
        <v>15981.1830047328</v>
      </c>
      <c r="K52" s="521" t="n">
        <v>49740.5359162705</v>
      </c>
      <c r="L52" s="521" t="n">
        <v>26524.0066817882</v>
      </c>
      <c r="M52" s="521" t="n">
        <v>77398.6003738509</v>
      </c>
      <c r="N52" s="521" t="n">
        <v>39930.4934102025</v>
      </c>
      <c r="O52" s="521" t="n">
        <v>31879.0972589847</v>
      </c>
      <c r="P52" s="521" t="n">
        <v>23531.4731774986</v>
      </c>
      <c r="Q52" s="521" t="n">
        <v>21703.8825702732</v>
      </c>
      <c r="R52" s="521" t="n">
        <v>5167.51887440018</v>
      </c>
      <c r="S52" s="521" t="n">
        <v>393062.895976444</v>
      </c>
      <c r="T52" s="521" t="n">
        <v>656511.917041675</v>
      </c>
      <c r="U52" s="521" t="n">
        <v>53587.98474</v>
      </c>
      <c r="V52" s="521" t="n">
        <v>5941.71558848</v>
      </c>
      <c r="W52" s="521" t="n">
        <v>58346.1704711213</v>
      </c>
      <c r="X52" s="521" t="n">
        <v>774387.787841277</v>
      </c>
    </row>
    <row r="53" customFormat="false" ht="12" hidden="false" customHeight="true" outlineLevel="0" collapsed="false">
      <c r="A53" s="522" t="s">
        <v>632</v>
      </c>
      <c r="B53" s="523" t="n">
        <v>102532.492996863</v>
      </c>
      <c r="C53" s="523" t="n">
        <v>3469.13891212081</v>
      </c>
      <c r="D53" s="523" t="n">
        <v>37909.5110613812</v>
      </c>
      <c r="E53" s="523" t="n">
        <v>147633.197268196</v>
      </c>
      <c r="F53" s="523" t="n">
        <v>15099.4407110203</v>
      </c>
      <c r="G53" s="523" t="n">
        <v>37107.2817850488</v>
      </c>
      <c r="H53" s="523" t="n">
        <v>343751.06273463</v>
      </c>
      <c r="I53" s="523" t="n">
        <v>110045.845513894</v>
      </c>
      <c r="J53" s="523" t="n">
        <v>13469.3186726843</v>
      </c>
      <c r="K53" s="523" t="n">
        <v>57025.1265183687</v>
      </c>
      <c r="L53" s="523" t="n">
        <v>27134.0790062512</v>
      </c>
      <c r="M53" s="523" t="n">
        <v>85989.9824743975</v>
      </c>
      <c r="N53" s="523" t="n">
        <v>44653.7121596882</v>
      </c>
      <c r="O53" s="523" t="n">
        <v>35399.3997690286</v>
      </c>
      <c r="P53" s="523" t="n">
        <v>28373.2682867218</v>
      </c>
      <c r="Q53" s="523" t="n">
        <v>22611.5696856485</v>
      </c>
      <c r="R53" s="523" t="n">
        <v>5369.97203246118</v>
      </c>
      <c r="S53" s="523" t="n">
        <v>430072.274119144</v>
      </c>
      <c r="T53" s="523" t="n">
        <v>773823.336853773</v>
      </c>
      <c r="U53" s="523" t="n">
        <v>57907.39366844</v>
      </c>
      <c r="V53" s="523" t="n">
        <v>6174.09951756</v>
      </c>
      <c r="W53" s="523" t="n">
        <v>66445.5580533072</v>
      </c>
      <c r="X53" s="523" t="n">
        <v>904350.388093081</v>
      </c>
    </row>
    <row r="54" customFormat="false" ht="12" hidden="false" customHeight="true" outlineLevel="0" collapsed="false">
      <c r="A54" s="520" t="s">
        <v>633</v>
      </c>
      <c r="B54" s="521" t="n">
        <v>47773.9238910975</v>
      </c>
      <c r="C54" s="521" t="n">
        <v>1709.95865095056</v>
      </c>
      <c r="D54" s="521" t="n">
        <v>40219.850922194</v>
      </c>
      <c r="E54" s="521" t="n">
        <v>157883.968721205</v>
      </c>
      <c r="F54" s="521" t="n">
        <v>16206.0720450042</v>
      </c>
      <c r="G54" s="521" t="n">
        <v>42304.4930080754</v>
      </c>
      <c r="H54" s="521" t="n">
        <v>306098.267238526</v>
      </c>
      <c r="I54" s="521" t="n">
        <v>121888.865604007</v>
      </c>
      <c r="J54" s="521" t="n">
        <v>15844.0263160249</v>
      </c>
      <c r="K54" s="521" t="n">
        <v>55927.9970967934</v>
      </c>
      <c r="L54" s="521" t="n">
        <v>29098.1775982037</v>
      </c>
      <c r="M54" s="521" t="n">
        <v>93355.5505542359</v>
      </c>
      <c r="N54" s="521" t="n">
        <v>47704.7930569542</v>
      </c>
      <c r="O54" s="521" t="n">
        <v>38020.1173233887</v>
      </c>
      <c r="P54" s="521" t="n">
        <v>28125.0070967243</v>
      </c>
      <c r="Q54" s="521" t="n">
        <v>25843.0940133518</v>
      </c>
      <c r="R54" s="521" t="n">
        <v>5641.00479759916</v>
      </c>
      <c r="S54" s="521" t="n">
        <v>461448.633457283</v>
      </c>
      <c r="T54" s="521" t="n">
        <v>767546.90069581</v>
      </c>
      <c r="U54" s="521" t="n">
        <v>66936.50528444</v>
      </c>
      <c r="V54" s="521" t="n">
        <v>7473.45748377068</v>
      </c>
      <c r="W54" s="521" t="n">
        <v>72147.103937899</v>
      </c>
      <c r="X54" s="521" t="n">
        <v>914103.967401919</v>
      </c>
    </row>
    <row r="55" customFormat="false" ht="12" hidden="false" customHeight="true" outlineLevel="0" collapsed="false">
      <c r="A55" s="522" t="s">
        <v>634</v>
      </c>
      <c r="B55" s="523" t="n">
        <v>60668.8908550791</v>
      </c>
      <c r="C55" s="523" t="n">
        <v>1362.0285178327</v>
      </c>
      <c r="D55" s="523" t="n">
        <v>43462.9349792303</v>
      </c>
      <c r="E55" s="523" t="n">
        <v>174282.583613675</v>
      </c>
      <c r="F55" s="523" t="n">
        <v>14039.5561328756</v>
      </c>
      <c r="G55" s="523" t="n">
        <v>43907.1354505457</v>
      </c>
      <c r="H55" s="523" t="n">
        <v>337723.129549239</v>
      </c>
      <c r="I55" s="523" t="n">
        <v>126980.669213262</v>
      </c>
      <c r="J55" s="523" t="n">
        <v>17004.5534179115</v>
      </c>
      <c r="K55" s="523" t="n">
        <v>59638.9746383085</v>
      </c>
      <c r="L55" s="523" t="n">
        <v>31833.911267596</v>
      </c>
      <c r="M55" s="523" t="n">
        <v>102623.485448967</v>
      </c>
      <c r="N55" s="523" t="n">
        <v>52370.1874581414</v>
      </c>
      <c r="O55" s="523" t="n">
        <v>41170.6150789361</v>
      </c>
      <c r="P55" s="523" t="n">
        <v>28532.4345339255</v>
      </c>
      <c r="Q55" s="523" t="n">
        <v>25403.4085841086</v>
      </c>
      <c r="R55" s="523" t="n">
        <v>6177.6032224892</v>
      </c>
      <c r="S55" s="523" t="n">
        <v>491735.842863646</v>
      </c>
      <c r="T55" s="523" t="n">
        <v>829458.972412885</v>
      </c>
      <c r="U55" s="523" t="n">
        <v>72245.38675828</v>
      </c>
      <c r="V55" s="523" t="n">
        <v>8471.89442828</v>
      </c>
      <c r="W55" s="523" t="n">
        <v>84902.2993518909</v>
      </c>
      <c r="X55" s="523" t="n">
        <v>995078.552951336</v>
      </c>
    </row>
    <row r="56" customFormat="false" ht="12" hidden="false" customHeight="true" outlineLevel="0" collapsed="false">
      <c r="A56" s="520" t="s">
        <v>635</v>
      </c>
      <c r="B56" s="521" t="n">
        <v>65889.4764144126</v>
      </c>
      <c r="C56" s="521" t="n">
        <v>2478.09286339683</v>
      </c>
      <c r="D56" s="521" t="n">
        <v>42522.989601725</v>
      </c>
      <c r="E56" s="521" t="n">
        <v>169758.026434338</v>
      </c>
      <c r="F56" s="521" t="n">
        <v>17863.3982137164</v>
      </c>
      <c r="G56" s="521" t="n">
        <v>49906.1996499335</v>
      </c>
      <c r="H56" s="521" t="n">
        <v>348418.183177522</v>
      </c>
      <c r="I56" s="521" t="n">
        <v>135812.758729009</v>
      </c>
      <c r="J56" s="521" t="n">
        <v>21210.7261144844</v>
      </c>
      <c r="K56" s="521" t="n">
        <v>63936.3352772424</v>
      </c>
      <c r="L56" s="521" t="n">
        <v>32710.3996118023</v>
      </c>
      <c r="M56" s="521" t="n">
        <v>95966.8624836161</v>
      </c>
      <c r="N56" s="521" t="n">
        <v>54402.8391834538</v>
      </c>
      <c r="O56" s="521" t="n">
        <v>43214.2770584278</v>
      </c>
      <c r="P56" s="521" t="n">
        <v>33451.3339201739</v>
      </c>
      <c r="Q56" s="521" t="n">
        <v>26888.8818028371</v>
      </c>
      <c r="R56" s="521" t="n">
        <v>6728.31239785386</v>
      </c>
      <c r="S56" s="521" t="n">
        <v>514322.7265789</v>
      </c>
      <c r="T56" s="521" t="n">
        <v>862740.909756422</v>
      </c>
      <c r="U56" s="521" t="n">
        <v>73600.98904568</v>
      </c>
      <c r="V56" s="521" t="n">
        <v>8286.774261</v>
      </c>
      <c r="W56" s="521" t="n">
        <v>87728.2001962559</v>
      </c>
      <c r="X56" s="521" t="n">
        <v>1032356.87325936</v>
      </c>
    </row>
    <row r="57" customFormat="false" ht="12" hidden="false" customHeight="true" outlineLevel="0" collapsed="false">
      <c r="A57" s="522" t="s">
        <v>636</v>
      </c>
      <c r="B57" s="523" t="n">
        <v>145075.90451418</v>
      </c>
      <c r="C57" s="523" t="n">
        <v>4248.41055961316</v>
      </c>
      <c r="D57" s="523" t="n">
        <v>40143.4468907393</v>
      </c>
      <c r="E57" s="523" t="n">
        <v>193751.406436214</v>
      </c>
      <c r="F57" s="523" t="n">
        <v>16811.7190315513</v>
      </c>
      <c r="G57" s="523" t="n">
        <v>54025.674823256</v>
      </c>
      <c r="H57" s="523" t="n">
        <v>454056.562255553</v>
      </c>
      <c r="I57" s="523" t="n">
        <v>155666.460798578</v>
      </c>
      <c r="J57" s="523" t="n">
        <v>18069.0396495358</v>
      </c>
      <c r="K57" s="523" t="n">
        <v>73960.3351895471</v>
      </c>
      <c r="L57" s="523" t="n">
        <v>36678.9561442134</v>
      </c>
      <c r="M57" s="523" t="n">
        <v>108500.883552246</v>
      </c>
      <c r="N57" s="523" t="n">
        <v>61292.7718081919</v>
      </c>
      <c r="O57" s="523" t="n">
        <v>48548.8900690118</v>
      </c>
      <c r="P57" s="523" t="n">
        <v>40086.0747817885</v>
      </c>
      <c r="Q57" s="523" t="n">
        <v>30162.8794333304</v>
      </c>
      <c r="R57" s="523" t="n">
        <v>7145.91085947314</v>
      </c>
      <c r="S57" s="523" t="n">
        <v>580112.202285916</v>
      </c>
      <c r="T57" s="523" t="n">
        <v>1034168.76454147</v>
      </c>
      <c r="U57" s="523" t="n">
        <v>79688.6834086</v>
      </c>
      <c r="V57" s="523" t="n">
        <v>8949.8238708</v>
      </c>
      <c r="W57" s="523" t="n">
        <v>91076.1391681604</v>
      </c>
      <c r="X57" s="523" t="n">
        <v>1213883.41098903</v>
      </c>
    </row>
    <row r="58" customFormat="false" ht="12" hidden="false" customHeight="true" outlineLevel="0" collapsed="false">
      <c r="A58" s="520" t="s">
        <v>637</v>
      </c>
      <c r="B58" s="521" t="n">
        <v>57514.1318453183</v>
      </c>
      <c r="C58" s="521" t="n">
        <v>2665.99291392419</v>
      </c>
      <c r="D58" s="521" t="n">
        <v>43451.8458276437</v>
      </c>
      <c r="E58" s="521" t="n">
        <v>204003.333290079</v>
      </c>
      <c r="F58" s="521" t="n">
        <v>17215.566456428</v>
      </c>
      <c r="G58" s="521" t="n">
        <v>55960.1186249943</v>
      </c>
      <c r="H58" s="521" t="n">
        <v>380810.988958387</v>
      </c>
      <c r="I58" s="521" t="n">
        <v>156723.902057753</v>
      </c>
      <c r="J58" s="521" t="n">
        <v>21326.0747017046</v>
      </c>
      <c r="K58" s="521" t="n">
        <v>71158.204795867</v>
      </c>
      <c r="L58" s="521" t="n">
        <v>38259.0751537242</v>
      </c>
      <c r="M58" s="521" t="n">
        <v>118251.077774209</v>
      </c>
      <c r="N58" s="521" t="n">
        <v>64199.8185354158</v>
      </c>
      <c r="O58" s="521" t="n">
        <v>51952.570484414</v>
      </c>
      <c r="P58" s="521" t="n">
        <v>40670.0341614081</v>
      </c>
      <c r="Q58" s="521" t="n">
        <v>32924.2724352417</v>
      </c>
      <c r="R58" s="521" t="n">
        <v>7611.12041944133</v>
      </c>
      <c r="S58" s="521" t="n">
        <v>603076.150519179</v>
      </c>
      <c r="T58" s="521" t="n">
        <v>983887.139477566</v>
      </c>
      <c r="U58" s="521" t="n">
        <v>85000.89599968</v>
      </c>
      <c r="V58" s="521" t="n">
        <v>9422.4901012</v>
      </c>
      <c r="W58" s="521" t="n">
        <v>105381.744128028</v>
      </c>
      <c r="X58" s="521" t="n">
        <v>1183692.26970647</v>
      </c>
    </row>
    <row r="59" customFormat="false" ht="12" hidden="false" customHeight="true" outlineLevel="0" collapsed="false">
      <c r="A59" s="522" t="s">
        <v>638</v>
      </c>
      <c r="B59" s="523" t="n">
        <v>56134.0731547388</v>
      </c>
      <c r="C59" s="523" t="n">
        <v>2562.21932424864</v>
      </c>
      <c r="D59" s="523" t="n">
        <v>45356.4107984323</v>
      </c>
      <c r="E59" s="523" t="n">
        <v>193017.950939875</v>
      </c>
      <c r="F59" s="523" t="n">
        <v>13763.0824566064</v>
      </c>
      <c r="G59" s="523" t="n">
        <v>50610.065067284</v>
      </c>
      <c r="H59" s="523" t="n">
        <v>361443.801741185</v>
      </c>
      <c r="I59" s="523" t="n">
        <v>145460.64193962</v>
      </c>
      <c r="J59" s="523" t="n">
        <v>20780.3300594721</v>
      </c>
      <c r="K59" s="523" t="n">
        <v>70528.5354480263</v>
      </c>
      <c r="L59" s="523" t="n">
        <v>41219.3439296599</v>
      </c>
      <c r="M59" s="523" t="n">
        <v>124116.073171222</v>
      </c>
      <c r="N59" s="523" t="n">
        <v>73279.9535626989</v>
      </c>
      <c r="O59" s="523" t="n">
        <v>56811.572925999</v>
      </c>
      <c r="P59" s="523" t="n">
        <v>40121.85836948</v>
      </c>
      <c r="Q59" s="523" t="n">
        <v>33456.4333503712</v>
      </c>
      <c r="R59" s="523" t="n">
        <v>7741.58797378121</v>
      </c>
      <c r="S59" s="523" t="n">
        <v>613516.330730331</v>
      </c>
      <c r="T59" s="523" t="n">
        <v>974960.132471516</v>
      </c>
      <c r="U59" s="523" t="n">
        <v>82625.05082692</v>
      </c>
      <c r="V59" s="523" t="n">
        <v>9292.5419036</v>
      </c>
      <c r="W59" s="523" t="n">
        <v>101774.083177644</v>
      </c>
      <c r="X59" s="523" t="n">
        <v>1168651.80837968</v>
      </c>
    </row>
    <row r="60" customFormat="false" ht="12" hidden="false" customHeight="true" outlineLevel="0" collapsed="false">
      <c r="A60" s="520" t="s">
        <v>639</v>
      </c>
      <c r="B60" s="521" t="n">
        <v>43520.0854083344</v>
      </c>
      <c r="C60" s="521" t="n">
        <v>2215.05069781831</v>
      </c>
      <c r="D60" s="521" t="n">
        <v>47155.6222415989</v>
      </c>
      <c r="E60" s="521" t="n">
        <v>169063.095725667</v>
      </c>
      <c r="F60" s="521" t="n">
        <v>16462.6856355648</v>
      </c>
      <c r="G60" s="521" t="n">
        <v>49062.5891627284</v>
      </c>
      <c r="H60" s="521" t="n">
        <v>327479.128871712</v>
      </c>
      <c r="I60" s="521" t="n">
        <v>139262.936531602</v>
      </c>
      <c r="J60" s="521" t="n">
        <v>22610.9064798858</v>
      </c>
      <c r="K60" s="521" t="n">
        <v>72311.3013379703</v>
      </c>
      <c r="L60" s="521" t="n">
        <v>38916.6285053584</v>
      </c>
      <c r="M60" s="521" t="n">
        <v>113552.321587472</v>
      </c>
      <c r="N60" s="521" t="n">
        <v>72356.197912277</v>
      </c>
      <c r="O60" s="521" t="n">
        <v>57429.0248327635</v>
      </c>
      <c r="P60" s="521" t="n">
        <v>44166.7126411922</v>
      </c>
      <c r="Q60" s="521" t="n">
        <v>33323.1179887921</v>
      </c>
      <c r="R60" s="521" t="n">
        <v>8503.83538556604</v>
      </c>
      <c r="S60" s="521" t="n">
        <v>602432.98320288</v>
      </c>
      <c r="T60" s="521" t="n">
        <v>929912.112074592</v>
      </c>
      <c r="U60" s="521" t="n">
        <v>80577.54481768</v>
      </c>
      <c r="V60" s="521" t="n">
        <v>6771.73030316</v>
      </c>
      <c r="W60" s="521" t="n">
        <v>95046.1011308642</v>
      </c>
      <c r="X60" s="521" t="n">
        <v>1112307.4883263</v>
      </c>
    </row>
    <row r="61" customFormat="false" ht="12" hidden="false" customHeight="true" outlineLevel="0" collapsed="false">
      <c r="A61" s="522" t="s">
        <v>640</v>
      </c>
      <c r="B61" s="523" t="n">
        <v>91342.3669308573</v>
      </c>
      <c r="C61" s="523" t="n">
        <v>4557.63271460102</v>
      </c>
      <c r="D61" s="523" t="n">
        <v>48524.4341526287</v>
      </c>
      <c r="E61" s="523" t="n">
        <v>189629.856245379</v>
      </c>
      <c r="F61" s="523" t="n">
        <v>15520.6482377278</v>
      </c>
      <c r="G61" s="523" t="n">
        <v>49332.8257084674</v>
      </c>
      <c r="H61" s="523" t="n">
        <v>398907.763989661</v>
      </c>
      <c r="I61" s="523" t="n">
        <v>148691.701185327</v>
      </c>
      <c r="J61" s="523" t="n">
        <v>19717.2193859455</v>
      </c>
      <c r="K61" s="523" t="n">
        <v>79397.7075251689</v>
      </c>
      <c r="L61" s="523" t="n">
        <v>42528.332775537</v>
      </c>
      <c r="M61" s="523" t="n">
        <v>124496.830344784</v>
      </c>
      <c r="N61" s="523" t="n">
        <v>79000.6198716222</v>
      </c>
      <c r="O61" s="523" t="n">
        <v>61794.5095484877</v>
      </c>
      <c r="P61" s="523" t="n">
        <v>53485.9546753451</v>
      </c>
      <c r="Q61" s="523" t="n">
        <v>35918.5623905285</v>
      </c>
      <c r="R61" s="523" t="n">
        <v>8996.82298341708</v>
      </c>
      <c r="S61" s="523" t="n">
        <v>654028.260686164</v>
      </c>
      <c r="T61" s="523" t="n">
        <v>1052936.02467583</v>
      </c>
      <c r="U61" s="523" t="n">
        <v>83665.017092644</v>
      </c>
      <c r="V61" s="523" t="n">
        <v>7125.73374556</v>
      </c>
      <c r="W61" s="523" t="n">
        <v>107737.952419838</v>
      </c>
      <c r="X61" s="523" t="n">
        <v>1251464.72793387</v>
      </c>
    </row>
    <row r="62" customFormat="false" ht="12" hidden="false" customHeight="true" outlineLevel="0" collapsed="false">
      <c r="A62" s="520" t="s">
        <v>641</v>
      </c>
      <c r="B62" s="521" t="n">
        <v>51415.2236785065</v>
      </c>
      <c r="C62" s="521" t="n">
        <v>2092.91146025367</v>
      </c>
      <c r="D62" s="521" t="n">
        <v>50170.7019759576</v>
      </c>
      <c r="E62" s="521" t="n">
        <v>202853.909357516</v>
      </c>
      <c r="F62" s="521" t="n">
        <v>20672.5483058767</v>
      </c>
      <c r="G62" s="521" t="n">
        <v>56308.6333606451</v>
      </c>
      <c r="H62" s="521" t="n">
        <v>383513.928138756</v>
      </c>
      <c r="I62" s="521" t="n">
        <v>159730.565433227</v>
      </c>
      <c r="J62" s="521" t="n">
        <v>21155.7519313211</v>
      </c>
      <c r="K62" s="521" t="n">
        <v>77386.2050970779</v>
      </c>
      <c r="L62" s="521" t="n">
        <v>43955.8544652179</v>
      </c>
      <c r="M62" s="521" t="n">
        <v>133944.132743796</v>
      </c>
      <c r="N62" s="521" t="n">
        <v>80040.6749051044</v>
      </c>
      <c r="O62" s="521" t="n">
        <v>64547.939897505</v>
      </c>
      <c r="P62" s="521" t="n">
        <v>53007.1574049177</v>
      </c>
      <c r="Q62" s="521" t="n">
        <v>38763.5128621004</v>
      </c>
      <c r="R62" s="521" t="n">
        <v>9406.76662622216</v>
      </c>
      <c r="S62" s="521" t="n">
        <v>681938.561366489</v>
      </c>
      <c r="T62" s="521" t="n">
        <v>1065452.48950524</v>
      </c>
      <c r="U62" s="521" t="n">
        <v>92957.91387028</v>
      </c>
      <c r="V62" s="521" t="n">
        <v>8136.561397</v>
      </c>
      <c r="W62" s="521" t="n">
        <v>103187.780494558</v>
      </c>
      <c r="X62" s="521" t="n">
        <v>1269734.74526708</v>
      </c>
    </row>
    <row r="63" customFormat="false" ht="12" hidden="false" customHeight="true" outlineLevel="0" collapsed="false">
      <c r="A63" s="522" t="s">
        <v>642</v>
      </c>
      <c r="B63" s="523" t="n">
        <v>65441.6653868803</v>
      </c>
      <c r="C63" s="523" t="n">
        <v>2659.42679498953</v>
      </c>
      <c r="D63" s="523" t="n">
        <v>56669.8574015426</v>
      </c>
      <c r="E63" s="523" t="n">
        <v>216351.209803115</v>
      </c>
      <c r="F63" s="523" t="n">
        <v>16971.0394680416</v>
      </c>
      <c r="G63" s="523" t="n">
        <v>57366.3115968886</v>
      </c>
      <c r="H63" s="523" t="n">
        <v>415459.510451458</v>
      </c>
      <c r="I63" s="523" t="n">
        <v>166681.793197616</v>
      </c>
      <c r="J63" s="523" t="n">
        <v>23428.3497809397</v>
      </c>
      <c r="K63" s="523" t="n">
        <v>81098.0947356247</v>
      </c>
      <c r="L63" s="523" t="n">
        <v>45868.1255175375</v>
      </c>
      <c r="M63" s="523" t="n">
        <v>143815.179365756</v>
      </c>
      <c r="N63" s="523" t="n">
        <v>93334.237464834</v>
      </c>
      <c r="O63" s="523" t="n">
        <v>66876.6770884294</v>
      </c>
      <c r="P63" s="523" t="n">
        <v>51648.6880295672</v>
      </c>
      <c r="Q63" s="523" t="n">
        <v>39976.3891593367</v>
      </c>
      <c r="R63" s="523" t="n">
        <v>9757.41468166433</v>
      </c>
      <c r="S63" s="523" t="n">
        <v>722484.949021305</v>
      </c>
      <c r="T63" s="523" t="n">
        <v>1137944.45947276</v>
      </c>
      <c r="U63" s="523" t="n">
        <v>92342.458119</v>
      </c>
      <c r="V63" s="523" t="n">
        <v>8765.12747232</v>
      </c>
      <c r="W63" s="523" t="n">
        <v>119158.069108749</v>
      </c>
      <c r="X63" s="523" t="n">
        <v>1358210.11417283</v>
      </c>
    </row>
    <row r="64" customFormat="false" ht="12" hidden="false" customHeight="true" outlineLevel="0" collapsed="false">
      <c r="A64" s="520" t="s">
        <v>643</v>
      </c>
      <c r="B64" s="521" t="n">
        <v>77647.5891524703</v>
      </c>
      <c r="C64" s="521" t="n">
        <v>2306.27461927957</v>
      </c>
      <c r="D64" s="521" t="n">
        <v>61070.9422814206</v>
      </c>
      <c r="E64" s="521" t="n">
        <v>224505.626431702</v>
      </c>
      <c r="F64" s="521" t="n">
        <v>17563.0679395565</v>
      </c>
      <c r="G64" s="521" t="n">
        <v>64081.5786450657</v>
      </c>
      <c r="H64" s="521" t="n">
        <v>447175.079069495</v>
      </c>
      <c r="I64" s="521" t="n">
        <v>179846.174526467</v>
      </c>
      <c r="J64" s="521" t="n">
        <v>28907.6852202176</v>
      </c>
      <c r="K64" s="521" t="n">
        <v>89838.3737371008</v>
      </c>
      <c r="L64" s="521" t="n">
        <v>45817.9486112742</v>
      </c>
      <c r="M64" s="521" t="n">
        <v>136823.752687442</v>
      </c>
      <c r="N64" s="521" t="n">
        <v>90603.0714545001</v>
      </c>
      <c r="O64" s="521" t="n">
        <v>67903.1579328232</v>
      </c>
      <c r="P64" s="521" t="n">
        <v>56573.8681478237</v>
      </c>
      <c r="Q64" s="521" t="n">
        <v>41898.3564549764</v>
      </c>
      <c r="R64" s="521" t="n">
        <v>9597.32214305657</v>
      </c>
      <c r="S64" s="521" t="n">
        <v>747809.710915681</v>
      </c>
      <c r="T64" s="521" t="n">
        <v>1194984.78998518</v>
      </c>
      <c r="U64" s="521" t="n">
        <v>100276.59623892</v>
      </c>
      <c r="V64" s="521" t="n">
        <v>8879.15386724</v>
      </c>
      <c r="W64" s="521" t="n">
        <v>114717.409875173</v>
      </c>
      <c r="X64" s="521" t="n">
        <v>1418857.94996651</v>
      </c>
    </row>
    <row r="65" customFormat="false" ht="12" hidden="false" customHeight="true" outlineLevel="0" collapsed="false">
      <c r="A65" s="522" t="s">
        <v>644</v>
      </c>
      <c r="B65" s="523" t="n">
        <v>171136.921174706</v>
      </c>
      <c r="C65" s="523" t="n">
        <v>4718.39153814125</v>
      </c>
      <c r="D65" s="523" t="n">
        <v>63558.0464524187</v>
      </c>
      <c r="E65" s="523" t="n">
        <v>258857.297167716</v>
      </c>
      <c r="F65" s="523" t="n">
        <v>19033.646121171</v>
      </c>
      <c r="G65" s="523" t="n">
        <v>69740.6080842594</v>
      </c>
      <c r="H65" s="523" t="n">
        <v>587044.910538413</v>
      </c>
      <c r="I65" s="523" t="n">
        <v>203340.111507181</v>
      </c>
      <c r="J65" s="523" t="n">
        <v>26263.5751178511</v>
      </c>
      <c r="K65" s="523" t="n">
        <v>103095.26418433</v>
      </c>
      <c r="L65" s="523" t="n">
        <v>51785.1792060319</v>
      </c>
      <c r="M65" s="523" t="n">
        <v>154315.119351471</v>
      </c>
      <c r="N65" s="523" t="n">
        <v>99564.6091905622</v>
      </c>
      <c r="O65" s="523" t="n">
        <v>74880.8235173743</v>
      </c>
      <c r="P65" s="523" t="n">
        <v>69221.5498359571</v>
      </c>
      <c r="Q65" s="523" t="n">
        <v>44367.9676868161</v>
      </c>
      <c r="R65" s="523" t="n">
        <v>10917.573670181</v>
      </c>
      <c r="S65" s="523" t="n">
        <v>837751.773267756</v>
      </c>
      <c r="T65" s="523" t="n">
        <v>1424796.68380617</v>
      </c>
      <c r="U65" s="523" t="n">
        <v>110906.89315232</v>
      </c>
      <c r="V65" s="523" t="n">
        <v>10218.06643984</v>
      </c>
      <c r="W65" s="523" t="n">
        <v>140145.311059453</v>
      </c>
      <c r="X65" s="523" t="n">
        <v>1686066.95445778</v>
      </c>
    </row>
    <row r="66" customFormat="false" ht="12" hidden="false" customHeight="true" outlineLevel="0" collapsed="false">
      <c r="A66" s="520" t="s">
        <v>645</v>
      </c>
      <c r="B66" s="521" t="n">
        <v>92254.064708596</v>
      </c>
      <c r="C66" s="521" t="n">
        <v>4187.8837399871</v>
      </c>
      <c r="D66" s="521" t="n">
        <v>64905.5384673399</v>
      </c>
      <c r="E66" s="521" t="n">
        <v>275862.709817031</v>
      </c>
      <c r="F66" s="521" t="n">
        <v>22467.0419599453</v>
      </c>
      <c r="G66" s="521" t="n">
        <v>77690.0617570158</v>
      </c>
      <c r="H66" s="521" t="n">
        <v>537367.300449915</v>
      </c>
      <c r="I66" s="521" t="n">
        <v>219069.566465033</v>
      </c>
      <c r="J66" s="521" t="n">
        <v>31214.7468927406</v>
      </c>
      <c r="K66" s="521" t="n">
        <v>100250.858717406</v>
      </c>
      <c r="L66" s="521" t="n">
        <v>54495.5405614427</v>
      </c>
      <c r="M66" s="521" t="n">
        <v>167424.310443339</v>
      </c>
      <c r="N66" s="521" t="n">
        <v>105082.321032288</v>
      </c>
      <c r="O66" s="521" t="n">
        <v>79655.8076620598</v>
      </c>
      <c r="P66" s="521" t="n">
        <v>69774.7529794909</v>
      </c>
      <c r="Q66" s="521" t="n">
        <v>49856.5552738546</v>
      </c>
      <c r="R66" s="521" t="n">
        <v>12385.0466655975</v>
      </c>
      <c r="S66" s="521" t="n">
        <v>889209.506693251</v>
      </c>
      <c r="T66" s="521" t="n">
        <v>1426576.80714317</v>
      </c>
      <c r="U66" s="521" t="n">
        <v>124762.40544808</v>
      </c>
      <c r="V66" s="521" t="n">
        <v>13022.24991416</v>
      </c>
      <c r="W66" s="521" t="n">
        <v>148473.086432886</v>
      </c>
      <c r="X66" s="521" t="n">
        <v>1712834.54893829</v>
      </c>
    </row>
    <row r="67" customFormat="false" ht="12" hidden="false" customHeight="true" outlineLevel="0" collapsed="false">
      <c r="A67" s="522" t="s">
        <v>646</v>
      </c>
      <c r="B67" s="523" t="n">
        <v>118697.380481963</v>
      </c>
      <c r="C67" s="523" t="n">
        <v>3118.37039259466</v>
      </c>
      <c r="D67" s="523" t="n">
        <v>67877.7465124918</v>
      </c>
      <c r="E67" s="523" t="n">
        <v>293963.837383791</v>
      </c>
      <c r="F67" s="523" t="n">
        <v>19371.727857686</v>
      </c>
      <c r="G67" s="523" t="n">
        <v>78372.0057287786</v>
      </c>
      <c r="H67" s="523" t="n">
        <v>581401.068357305</v>
      </c>
      <c r="I67" s="523" t="n">
        <v>230966.950948375</v>
      </c>
      <c r="J67" s="523" t="n">
        <v>33220.3485996761</v>
      </c>
      <c r="K67" s="523" t="n">
        <v>103946.16378837</v>
      </c>
      <c r="L67" s="523" t="n">
        <v>59378.0120066198</v>
      </c>
      <c r="M67" s="523" t="n">
        <v>181792.942732059</v>
      </c>
      <c r="N67" s="523" t="n">
        <v>123951.840708876</v>
      </c>
      <c r="O67" s="523" t="n">
        <v>81555.4794270514</v>
      </c>
      <c r="P67" s="523" t="n">
        <v>68299.4070154254</v>
      </c>
      <c r="Q67" s="523" t="n">
        <v>53047.4932912266</v>
      </c>
      <c r="R67" s="523" t="n">
        <v>11895.1116847149</v>
      </c>
      <c r="S67" s="523" t="n">
        <v>948053.750202395</v>
      </c>
      <c r="T67" s="523" t="n">
        <v>1529454.8185597</v>
      </c>
      <c r="U67" s="523" t="n">
        <v>129598.05380952</v>
      </c>
      <c r="V67" s="523" t="n">
        <v>13593.78068028</v>
      </c>
      <c r="W67" s="523" t="n">
        <v>156477.597366244</v>
      </c>
      <c r="X67" s="523" t="n">
        <v>1829124.25041574</v>
      </c>
    </row>
    <row r="68" customFormat="false" ht="12" hidden="false" customHeight="true" outlineLevel="0" collapsed="false">
      <c r="A68" s="520" t="s">
        <v>647</v>
      </c>
      <c r="B68" s="521" t="n">
        <v>106867.74184284</v>
      </c>
      <c r="C68" s="521" t="n">
        <v>3290.76855685546</v>
      </c>
      <c r="D68" s="521" t="n">
        <v>69065.0520791048</v>
      </c>
      <c r="E68" s="521" t="n">
        <v>299731.547181002</v>
      </c>
      <c r="F68" s="521" t="n">
        <v>24424.4639154787</v>
      </c>
      <c r="G68" s="521" t="n">
        <v>94966.0460758309</v>
      </c>
      <c r="H68" s="521" t="n">
        <v>598345.619651112</v>
      </c>
      <c r="I68" s="521" t="n">
        <v>239545.748903145</v>
      </c>
      <c r="J68" s="521" t="n">
        <v>39265.6584893088</v>
      </c>
      <c r="K68" s="521" t="n">
        <v>114076.916841397</v>
      </c>
      <c r="L68" s="521" t="n">
        <v>58430.3121816281</v>
      </c>
      <c r="M68" s="521" t="n">
        <v>171550.34745832</v>
      </c>
      <c r="N68" s="521" t="n">
        <v>123025.167956827</v>
      </c>
      <c r="O68" s="521" t="n">
        <v>95727.375624378</v>
      </c>
      <c r="P68" s="521" t="n">
        <v>77100.5755201445</v>
      </c>
      <c r="Q68" s="521" t="n">
        <v>55341.6499212823</v>
      </c>
      <c r="R68" s="521" t="n">
        <v>12691.0880568529</v>
      </c>
      <c r="S68" s="521" t="n">
        <v>986754.840953283</v>
      </c>
      <c r="T68" s="521" t="n">
        <v>1585100.4606044</v>
      </c>
      <c r="U68" s="521" t="n">
        <v>137056.26290812</v>
      </c>
      <c r="V68" s="521" t="n">
        <v>12935.86185308</v>
      </c>
      <c r="W68" s="521" t="n">
        <v>153734.566480201</v>
      </c>
      <c r="X68" s="521" t="n">
        <v>1888827.1518458</v>
      </c>
    </row>
    <row r="69" customFormat="false" ht="12" hidden="false" customHeight="true" outlineLevel="0" collapsed="false">
      <c r="A69" s="522" t="s">
        <v>648</v>
      </c>
      <c r="B69" s="523" t="n">
        <v>242910.148728131</v>
      </c>
      <c r="C69" s="523" t="n">
        <v>5048.16774108372</v>
      </c>
      <c r="D69" s="523" t="n">
        <v>65757.9795927477</v>
      </c>
      <c r="E69" s="523" t="n">
        <v>346818.153683014</v>
      </c>
      <c r="F69" s="523" t="n">
        <v>23850.746422906</v>
      </c>
      <c r="G69" s="523" t="n">
        <v>102469.46376735</v>
      </c>
      <c r="H69" s="523" t="n">
        <v>786854.659935233</v>
      </c>
      <c r="I69" s="523" t="n">
        <v>271757.262193321</v>
      </c>
      <c r="J69" s="523" t="n">
        <v>37487.9228100294</v>
      </c>
      <c r="K69" s="523" t="n">
        <v>129268.223022607</v>
      </c>
      <c r="L69" s="523" t="n">
        <v>65776.1191994148</v>
      </c>
      <c r="M69" s="523" t="n">
        <v>194096.168897895</v>
      </c>
      <c r="N69" s="523" t="n">
        <v>139109.880577697</v>
      </c>
      <c r="O69" s="523" t="n">
        <v>102272.710093775</v>
      </c>
      <c r="P69" s="523" t="n">
        <v>94964.6667267134</v>
      </c>
      <c r="Q69" s="523" t="n">
        <v>61220.2751598979</v>
      </c>
      <c r="R69" s="523" t="n">
        <v>14310.654655104</v>
      </c>
      <c r="S69" s="523" t="n">
        <v>1110263.88333645</v>
      </c>
      <c r="T69" s="523" t="n">
        <v>1897118.54327169</v>
      </c>
      <c r="U69" s="523" t="n">
        <v>147568.469260908</v>
      </c>
      <c r="V69" s="523" t="n">
        <v>13661.06932856</v>
      </c>
      <c r="W69" s="523" t="n">
        <v>178775.753553756</v>
      </c>
      <c r="X69" s="523" t="n">
        <v>2237123.83541491</v>
      </c>
    </row>
    <row r="70" customFormat="false" ht="12" hidden="false" customHeight="true" outlineLevel="0" collapsed="false">
      <c r="A70" s="520" t="s">
        <v>649</v>
      </c>
      <c r="B70" s="521" t="n">
        <v>120992.885327804</v>
      </c>
      <c r="C70" s="521" t="n">
        <v>3595.23483142067</v>
      </c>
      <c r="D70" s="521" t="n">
        <v>76322.634495515</v>
      </c>
      <c r="E70" s="521" t="n">
        <v>364873.56632584</v>
      </c>
      <c r="F70" s="521" t="n">
        <v>26542.4229712693</v>
      </c>
      <c r="G70" s="521" t="n">
        <v>112936.443069035</v>
      </c>
      <c r="H70" s="521" t="n">
        <v>705263.187020884</v>
      </c>
      <c r="I70" s="521" t="n">
        <v>291175.455487051</v>
      </c>
      <c r="J70" s="521" t="n">
        <v>43610.6821890898</v>
      </c>
      <c r="K70" s="521" t="n">
        <v>126662.651308764</v>
      </c>
      <c r="L70" s="521" t="n">
        <v>72954.3779544794</v>
      </c>
      <c r="M70" s="521" t="n">
        <v>211285.557078322</v>
      </c>
      <c r="N70" s="521" t="n">
        <v>141990.093411047</v>
      </c>
      <c r="O70" s="521" t="n">
        <v>109912.093993293</v>
      </c>
      <c r="P70" s="521" t="n">
        <v>99646.3876694788</v>
      </c>
      <c r="Q70" s="521" t="n">
        <v>63837.1948850828</v>
      </c>
      <c r="R70" s="521" t="n">
        <v>15621.7615228334</v>
      </c>
      <c r="S70" s="521" t="n">
        <v>1176696.25549944</v>
      </c>
      <c r="T70" s="521" t="n">
        <v>1881959.44252033</v>
      </c>
      <c r="U70" s="521" t="n">
        <v>164408.01997528</v>
      </c>
      <c r="V70" s="521" t="n">
        <v>15245.58875548</v>
      </c>
      <c r="W70" s="521" t="n">
        <v>188874.212541084</v>
      </c>
      <c r="X70" s="521" t="n">
        <v>2250487.26379217</v>
      </c>
    </row>
    <row r="71" customFormat="false" ht="12" hidden="false" customHeight="true" outlineLevel="0" collapsed="false">
      <c r="A71" s="522" t="s">
        <v>650</v>
      </c>
      <c r="B71" s="523" t="n">
        <v>124753.227070028</v>
      </c>
      <c r="C71" s="523" t="n">
        <v>2558.20915691939</v>
      </c>
      <c r="D71" s="523" t="n">
        <v>83622.7016706621</v>
      </c>
      <c r="E71" s="523" t="n">
        <v>370138.887188718</v>
      </c>
      <c r="F71" s="523" t="n">
        <v>23654.7510610294</v>
      </c>
      <c r="G71" s="523" t="n">
        <v>112388.172360094</v>
      </c>
      <c r="H71" s="523" t="n">
        <v>717115.948507451</v>
      </c>
      <c r="I71" s="523" t="n">
        <v>293135.801824225</v>
      </c>
      <c r="J71" s="523" t="n">
        <v>45347.3924593778</v>
      </c>
      <c r="K71" s="523" t="n">
        <v>130511.898645264</v>
      </c>
      <c r="L71" s="523" t="n">
        <v>78844.3825404038</v>
      </c>
      <c r="M71" s="523" t="n">
        <v>238518.304048133</v>
      </c>
      <c r="N71" s="523" t="n">
        <v>161580.536217556</v>
      </c>
      <c r="O71" s="523" t="n">
        <v>111480.322429792</v>
      </c>
      <c r="P71" s="523" t="n">
        <v>99461.5631720695</v>
      </c>
      <c r="Q71" s="523" t="n">
        <v>67392.6289679477</v>
      </c>
      <c r="R71" s="523" t="n">
        <v>15987.4133603314</v>
      </c>
      <c r="S71" s="523" t="n">
        <v>1242260.2436651</v>
      </c>
      <c r="T71" s="523" t="n">
        <v>1959376.19217255</v>
      </c>
      <c r="U71" s="523" t="n">
        <v>167914.71330252</v>
      </c>
      <c r="V71" s="523" t="n">
        <v>16867.51923576</v>
      </c>
      <c r="W71" s="523" t="n">
        <v>195499.738759402</v>
      </c>
      <c r="X71" s="523" t="n">
        <v>2339658.16347023</v>
      </c>
    </row>
    <row r="72" customFormat="false" ht="12" hidden="false" customHeight="true" outlineLevel="0" collapsed="false">
      <c r="A72" s="520" t="s">
        <v>651</v>
      </c>
      <c r="B72" s="521" t="n">
        <v>96983.8329959601</v>
      </c>
      <c r="C72" s="521" t="n">
        <v>5122.4724572807</v>
      </c>
      <c r="D72" s="521" t="n">
        <v>82781.650775201</v>
      </c>
      <c r="E72" s="521" t="n">
        <v>360515.885400756</v>
      </c>
      <c r="F72" s="521" t="n">
        <v>25916.5340101239</v>
      </c>
      <c r="G72" s="521" t="n">
        <v>119995.750919002</v>
      </c>
      <c r="H72" s="521" t="n">
        <v>691316.126558323</v>
      </c>
      <c r="I72" s="521" t="n">
        <v>294728.559225256</v>
      </c>
      <c r="J72" s="521" t="n">
        <v>53170.7365368766</v>
      </c>
      <c r="K72" s="521" t="n">
        <v>141457.793442276</v>
      </c>
      <c r="L72" s="521" t="n">
        <v>79614.3362993705</v>
      </c>
      <c r="M72" s="521" t="n">
        <v>217212.279617799</v>
      </c>
      <c r="N72" s="521" t="n">
        <v>162273.911692575</v>
      </c>
      <c r="O72" s="521" t="n">
        <v>125737.854721168</v>
      </c>
      <c r="P72" s="521" t="n">
        <v>109398.561350295</v>
      </c>
      <c r="Q72" s="521" t="n">
        <v>70289.5611193514</v>
      </c>
      <c r="R72" s="521" t="n">
        <v>17631.3132131755</v>
      </c>
      <c r="S72" s="521" t="n">
        <v>1271514.90721814</v>
      </c>
      <c r="T72" s="521" t="n">
        <v>1962831.03377647</v>
      </c>
      <c r="U72" s="521" t="n">
        <v>170440.60004224</v>
      </c>
      <c r="V72" s="521" t="n">
        <v>13780.87536724</v>
      </c>
      <c r="W72" s="521" t="n">
        <v>198507.094166685</v>
      </c>
      <c r="X72" s="521" t="n">
        <v>2345559.60335263</v>
      </c>
    </row>
    <row r="73" customFormat="false" ht="12" hidden="false" customHeight="true" outlineLevel="0" collapsed="false">
      <c r="A73" s="522" t="s">
        <v>652</v>
      </c>
      <c r="B73" s="523" t="n">
        <v>228601.436156035</v>
      </c>
      <c r="C73" s="523" t="n">
        <v>2804.29781234602</v>
      </c>
      <c r="D73" s="523" t="n">
        <v>83926.3165202025</v>
      </c>
      <c r="E73" s="523" t="n">
        <v>393629.282987523</v>
      </c>
      <c r="F73" s="523" t="n">
        <v>28679.0439590431</v>
      </c>
      <c r="G73" s="523" t="n">
        <v>123163.029083544</v>
      </c>
      <c r="H73" s="523" t="n">
        <v>860803.406518694</v>
      </c>
      <c r="I73" s="523" t="n">
        <v>315299.91390951</v>
      </c>
      <c r="J73" s="523" t="n">
        <v>49680.6906576425</v>
      </c>
      <c r="K73" s="523" t="n">
        <v>154272.561394637</v>
      </c>
      <c r="L73" s="523" t="n">
        <v>88865.8211144143</v>
      </c>
      <c r="M73" s="523" t="n">
        <v>239046.310648777</v>
      </c>
      <c r="N73" s="523" t="n">
        <v>185743.311167737</v>
      </c>
      <c r="O73" s="523" t="n">
        <v>133960.110670071</v>
      </c>
      <c r="P73" s="523" t="n">
        <v>119746.554975296</v>
      </c>
      <c r="Q73" s="523" t="n">
        <v>77264.9103859485</v>
      </c>
      <c r="R73" s="523" t="n">
        <v>19205.7634063576</v>
      </c>
      <c r="S73" s="523" t="n">
        <v>1383085.94833039</v>
      </c>
      <c r="T73" s="523" t="n">
        <v>2243889.35484909</v>
      </c>
      <c r="U73" s="523" t="n">
        <v>180347.81131508</v>
      </c>
      <c r="V73" s="523" t="n">
        <v>13333.53558892</v>
      </c>
      <c r="W73" s="523" t="n">
        <v>213527.344634943</v>
      </c>
      <c r="X73" s="523" t="n">
        <v>2651098.04638803</v>
      </c>
    </row>
    <row r="74" customFormat="false" ht="12" hidden="false" customHeight="true" outlineLevel="0" collapsed="false">
      <c r="A74" s="520" t="s">
        <v>653</v>
      </c>
      <c r="B74" s="521" t="n">
        <v>131386.243211835</v>
      </c>
      <c r="C74" s="521" t="n">
        <v>4446.81882717037</v>
      </c>
      <c r="D74" s="521" t="n">
        <v>84311.6005092441</v>
      </c>
      <c r="E74" s="521" t="n">
        <v>415004.403148533</v>
      </c>
      <c r="F74" s="521" t="n">
        <v>33490.0958804276</v>
      </c>
      <c r="G74" s="521" t="n">
        <v>134971.212867526</v>
      </c>
      <c r="H74" s="521" t="n">
        <v>803610.374444736</v>
      </c>
      <c r="I74" s="521" t="n">
        <v>339283.377294526</v>
      </c>
      <c r="J74" s="521" t="n">
        <v>56373.1576202366</v>
      </c>
      <c r="K74" s="521" t="n">
        <v>151418.705023763</v>
      </c>
      <c r="L74" s="521" t="n">
        <v>98232.8933203659</v>
      </c>
      <c r="M74" s="521" t="n">
        <v>255517.133369349</v>
      </c>
      <c r="N74" s="521" t="n">
        <v>182206.100659835</v>
      </c>
      <c r="O74" s="521" t="n">
        <v>138896.28324983</v>
      </c>
      <c r="P74" s="521" t="n">
        <v>129509.672051307</v>
      </c>
      <c r="Q74" s="521" t="n">
        <v>83452.536509211</v>
      </c>
      <c r="R74" s="521" t="n">
        <v>20516.2246400643</v>
      </c>
      <c r="S74" s="521" t="n">
        <v>1455406.08373849</v>
      </c>
      <c r="T74" s="521" t="n">
        <v>2259016.45818322</v>
      </c>
      <c r="U74" s="521" t="n">
        <v>196950.45141784</v>
      </c>
      <c r="V74" s="521" t="n">
        <v>18471.62929164</v>
      </c>
      <c r="W74" s="521" t="n">
        <v>230389.010962557</v>
      </c>
      <c r="X74" s="521" t="n">
        <v>2704827.54985526</v>
      </c>
    </row>
    <row r="75" customFormat="false" ht="12" hidden="false" customHeight="true" outlineLevel="0" collapsed="false">
      <c r="A75" s="522" t="s">
        <v>654</v>
      </c>
      <c r="B75" s="523" t="n">
        <v>136598.764491012</v>
      </c>
      <c r="C75" s="523" t="n">
        <v>4125.85845641004</v>
      </c>
      <c r="D75" s="523" t="n">
        <v>92486.9166822863</v>
      </c>
      <c r="E75" s="523" t="n">
        <v>436474.822556161</v>
      </c>
      <c r="F75" s="523" t="n">
        <v>28197.3261803071</v>
      </c>
      <c r="G75" s="523" t="n">
        <v>134126.045782571</v>
      </c>
      <c r="H75" s="523" t="n">
        <v>832009.734148748</v>
      </c>
      <c r="I75" s="523" t="n">
        <v>351095.481759901</v>
      </c>
      <c r="J75" s="523" t="n">
        <v>58336.9502396551</v>
      </c>
      <c r="K75" s="523" t="n">
        <v>157805.020035218</v>
      </c>
      <c r="L75" s="523" t="n">
        <v>106338.394300806</v>
      </c>
      <c r="M75" s="523" t="n">
        <v>283127.30654537</v>
      </c>
      <c r="N75" s="523" t="n">
        <v>208462.706372095</v>
      </c>
      <c r="O75" s="523" t="n">
        <v>142298.94179299</v>
      </c>
      <c r="P75" s="523" t="n">
        <v>137957.503071561</v>
      </c>
      <c r="Q75" s="523" t="n">
        <v>85201.1684711205</v>
      </c>
      <c r="R75" s="523" t="n">
        <v>21189.2811215853</v>
      </c>
      <c r="S75" s="523" t="n">
        <v>1551812.7537103</v>
      </c>
      <c r="T75" s="523" t="n">
        <v>2383822.48785905</v>
      </c>
      <c r="U75" s="523" t="n">
        <v>214246.89863736</v>
      </c>
      <c r="V75" s="523" t="n">
        <v>20985.95152164</v>
      </c>
      <c r="W75" s="523" t="n">
        <v>231114.855248228</v>
      </c>
      <c r="X75" s="523" t="n">
        <v>2850170.19326628</v>
      </c>
    </row>
    <row r="76" customFormat="false" ht="12" hidden="false" customHeight="true" outlineLevel="0" collapsed="false">
      <c r="A76" s="520" t="s">
        <v>655</v>
      </c>
      <c r="B76" s="521" t="n">
        <v>131997.099928098</v>
      </c>
      <c r="C76" s="521" t="n">
        <v>4287.11815907288</v>
      </c>
      <c r="D76" s="521" t="n">
        <v>88379.0642791333</v>
      </c>
      <c r="E76" s="521" t="n">
        <v>432936.370936582</v>
      </c>
      <c r="F76" s="521" t="n">
        <v>36053.1773833511</v>
      </c>
      <c r="G76" s="521" t="n">
        <v>153392.04707107</v>
      </c>
      <c r="H76" s="521" t="n">
        <v>847044.877757306</v>
      </c>
      <c r="I76" s="521" t="n">
        <v>367542.918080273</v>
      </c>
      <c r="J76" s="521" t="n">
        <v>64809.3835744284</v>
      </c>
      <c r="K76" s="521" t="n">
        <v>169317.106718051</v>
      </c>
      <c r="L76" s="521" t="n">
        <v>103001.128361184</v>
      </c>
      <c r="M76" s="521" t="n">
        <v>266608.709549128</v>
      </c>
      <c r="N76" s="521" t="n">
        <v>206830.601682577</v>
      </c>
      <c r="O76" s="521" t="n">
        <v>156195.667940933</v>
      </c>
      <c r="P76" s="521" t="n">
        <v>134850.319864061</v>
      </c>
      <c r="Q76" s="521" t="n">
        <v>87393.3485829408</v>
      </c>
      <c r="R76" s="521" t="n">
        <v>22901.6369717922</v>
      </c>
      <c r="S76" s="521" t="n">
        <v>1579450.82132537</v>
      </c>
      <c r="T76" s="521" t="n">
        <v>2426495.69908268</v>
      </c>
      <c r="U76" s="521" t="n">
        <v>222883.78907488</v>
      </c>
      <c r="V76" s="521" t="n">
        <v>20386.70942576</v>
      </c>
      <c r="W76" s="521" t="n">
        <v>219214.661487795</v>
      </c>
      <c r="X76" s="521" t="n">
        <v>2888980.85907111</v>
      </c>
    </row>
    <row r="77" customFormat="false" ht="12" hidden="false" customHeight="true" outlineLevel="0" collapsed="false">
      <c r="A77" s="522" t="s">
        <v>656</v>
      </c>
      <c r="B77" s="523" t="n">
        <v>302384.216136999</v>
      </c>
      <c r="C77" s="523" t="n">
        <v>11782.1144260896</v>
      </c>
      <c r="D77" s="523" t="n">
        <v>90862.8962880366</v>
      </c>
      <c r="E77" s="523" t="n">
        <v>500644.650818765</v>
      </c>
      <c r="F77" s="523" t="n">
        <v>39044.3816856894</v>
      </c>
      <c r="G77" s="523" t="n">
        <v>156234.013891046</v>
      </c>
      <c r="H77" s="523" t="n">
        <v>1100952.27324663</v>
      </c>
      <c r="I77" s="523" t="n">
        <v>415589.827159927</v>
      </c>
      <c r="J77" s="523" t="n">
        <v>61214.1748479965</v>
      </c>
      <c r="K77" s="523" t="n">
        <v>193342.217638299</v>
      </c>
      <c r="L77" s="523" t="n">
        <v>114188.707840754</v>
      </c>
      <c r="M77" s="523" t="n">
        <v>296325.188412357</v>
      </c>
      <c r="N77" s="523" t="n">
        <v>232818.958478581</v>
      </c>
      <c r="O77" s="523" t="n">
        <v>165055.39166962</v>
      </c>
      <c r="P77" s="523" t="n">
        <v>158584.945441066</v>
      </c>
      <c r="Q77" s="523" t="n">
        <v>96325.6231539506</v>
      </c>
      <c r="R77" s="523" t="n">
        <v>26092.3568930096</v>
      </c>
      <c r="S77" s="523" t="n">
        <v>1759537.39153556</v>
      </c>
      <c r="T77" s="523" t="n">
        <v>2860489.66478219</v>
      </c>
      <c r="U77" s="523" t="n">
        <v>234247.9469868</v>
      </c>
      <c r="V77" s="523" t="n">
        <v>22056.02892228</v>
      </c>
      <c r="W77" s="523" t="n">
        <v>271017.271363417</v>
      </c>
      <c r="X77" s="523" t="n">
        <v>3387810.91205468</v>
      </c>
    </row>
    <row r="78" customFormat="false" ht="12" hidden="false" customHeight="true" outlineLevel="0" collapsed="false">
      <c r="A78" s="520" t="s">
        <v>657</v>
      </c>
      <c r="B78" s="521" t="n">
        <v>143782.950817736</v>
      </c>
      <c r="C78" s="521" t="n">
        <v>8480.13679238545</v>
      </c>
      <c r="D78" s="521" t="n">
        <v>98443.2012387765</v>
      </c>
      <c r="E78" s="521" t="n">
        <v>523693.423339844</v>
      </c>
      <c r="F78" s="521" t="n">
        <v>46245.9148575018</v>
      </c>
      <c r="G78" s="521" t="n">
        <v>171288.842721137</v>
      </c>
      <c r="H78" s="521" t="n">
        <v>991934.46976738</v>
      </c>
      <c r="I78" s="521" t="n">
        <v>426207.306952935</v>
      </c>
      <c r="J78" s="521" t="n">
        <v>70062.0246329164</v>
      </c>
      <c r="K78" s="521" t="n">
        <v>188611.319483825</v>
      </c>
      <c r="L78" s="521" t="n">
        <v>124670.961486086</v>
      </c>
      <c r="M78" s="521" t="n">
        <v>341886.660749745</v>
      </c>
      <c r="N78" s="521" t="n">
        <v>239790.780727108</v>
      </c>
      <c r="O78" s="521" t="n">
        <v>174871.643799355</v>
      </c>
      <c r="P78" s="521" t="n">
        <v>169292.204999886</v>
      </c>
      <c r="Q78" s="521" t="n">
        <v>104661.05337611</v>
      </c>
      <c r="R78" s="521" t="n">
        <v>26387.3969317433</v>
      </c>
      <c r="S78" s="521" t="n">
        <v>1866441.35313971</v>
      </c>
      <c r="T78" s="521" t="n">
        <v>2858375.82290709</v>
      </c>
      <c r="U78" s="521" t="n">
        <v>263989.40891724</v>
      </c>
      <c r="V78" s="521" t="n">
        <v>25012.9866636</v>
      </c>
      <c r="W78" s="521" t="n">
        <v>289168.327890273</v>
      </c>
      <c r="X78" s="521" t="n">
        <v>3436546.5463782</v>
      </c>
    </row>
    <row r="79" customFormat="false" ht="12" hidden="false" customHeight="true" outlineLevel="0" collapsed="false">
      <c r="A79" s="522" t="s">
        <v>658</v>
      </c>
      <c r="B79" s="523" t="n">
        <v>201511.122246798</v>
      </c>
      <c r="C79" s="523" t="n">
        <v>6456.76873678446</v>
      </c>
      <c r="D79" s="523" t="n">
        <v>114741.056143331</v>
      </c>
      <c r="E79" s="523" t="n">
        <v>553191.170051229</v>
      </c>
      <c r="F79" s="523" t="n">
        <v>37451.5351435634</v>
      </c>
      <c r="G79" s="523" t="n">
        <v>172562.118004572</v>
      </c>
      <c r="H79" s="523" t="n">
        <v>1085913.77032628</v>
      </c>
      <c r="I79" s="523" t="n">
        <v>439846.473763605</v>
      </c>
      <c r="J79" s="523" t="n">
        <v>75159.7637393708</v>
      </c>
      <c r="K79" s="523" t="n">
        <v>196857.073856005</v>
      </c>
      <c r="L79" s="523" t="n">
        <v>138756.899820679</v>
      </c>
      <c r="M79" s="523" t="n">
        <v>375606.76787488</v>
      </c>
      <c r="N79" s="523" t="n">
        <v>283205.710128197</v>
      </c>
      <c r="O79" s="523" t="n">
        <v>186896.853653088</v>
      </c>
      <c r="P79" s="523" t="n">
        <v>183489.104062588</v>
      </c>
      <c r="Q79" s="523" t="n">
        <v>107805.043395161</v>
      </c>
      <c r="R79" s="523" t="n">
        <v>28457.1036368964</v>
      </c>
      <c r="S79" s="523" t="n">
        <v>2016080.79393047</v>
      </c>
      <c r="T79" s="523" t="n">
        <v>3101994.56425675</v>
      </c>
      <c r="U79" s="523" t="n">
        <v>274903.85962688</v>
      </c>
      <c r="V79" s="523" t="n">
        <v>26746.35841768</v>
      </c>
      <c r="W79" s="523" t="n">
        <v>276250.853103516</v>
      </c>
      <c r="X79" s="523" t="n">
        <v>3679895.63540483</v>
      </c>
    </row>
    <row r="80" customFormat="false" ht="12" hidden="false" customHeight="true" outlineLevel="0" collapsed="false">
      <c r="A80" s="520" t="s">
        <v>659</v>
      </c>
      <c r="B80" s="521" t="n">
        <v>183314.548083568</v>
      </c>
      <c r="C80" s="521" t="n">
        <v>5924.48916086457</v>
      </c>
      <c r="D80" s="521" t="n">
        <v>157421.233843084</v>
      </c>
      <c r="E80" s="521" t="n">
        <v>590474.387849737</v>
      </c>
      <c r="F80" s="521" t="n">
        <v>44898.4495741067</v>
      </c>
      <c r="G80" s="521" t="n">
        <v>192865.18864926</v>
      </c>
      <c r="H80" s="521" t="n">
        <v>1174898.29716062</v>
      </c>
      <c r="I80" s="521" t="n">
        <v>493281.30981234</v>
      </c>
      <c r="J80" s="521" t="n">
        <v>88377.8538580466</v>
      </c>
      <c r="K80" s="521" t="n">
        <v>224182.528195295</v>
      </c>
      <c r="L80" s="521" t="n">
        <v>135629.369588449</v>
      </c>
      <c r="M80" s="521" t="n">
        <v>345883.742747846</v>
      </c>
      <c r="N80" s="521" t="n">
        <v>282775.908290208</v>
      </c>
      <c r="O80" s="521" t="n">
        <v>201201.863926556</v>
      </c>
      <c r="P80" s="521" t="n">
        <v>176622.753665784</v>
      </c>
      <c r="Q80" s="521" t="n">
        <v>114583.318861214</v>
      </c>
      <c r="R80" s="521" t="n">
        <v>31011.4042467733</v>
      </c>
      <c r="S80" s="521" t="n">
        <v>2093550.05319251</v>
      </c>
      <c r="T80" s="521" t="n">
        <v>3268448.35035313</v>
      </c>
      <c r="U80" s="521" t="n">
        <v>309691.18495808</v>
      </c>
      <c r="V80" s="521" t="n">
        <v>27670.40986776</v>
      </c>
      <c r="W80" s="521" t="n">
        <v>311838.915992107</v>
      </c>
      <c r="X80" s="521" t="n">
        <v>3917648.86117108</v>
      </c>
    </row>
    <row r="81" customFormat="false" ht="14.45" hidden="false" customHeight="true" outlineLevel="0" collapsed="false">
      <c r="A81" s="522" t="s">
        <v>660</v>
      </c>
      <c r="B81" s="523" t="n">
        <v>513424.683265739</v>
      </c>
      <c r="C81" s="523" t="n">
        <v>15312.7341952861</v>
      </c>
      <c r="D81" s="523" t="n">
        <v>170815.733124431</v>
      </c>
      <c r="E81" s="523" t="n">
        <v>680014.278643088</v>
      </c>
      <c r="F81" s="523" t="n">
        <v>51804.1222379686</v>
      </c>
      <c r="G81" s="523" t="n">
        <v>209549.266943378</v>
      </c>
      <c r="H81" s="523" t="n">
        <v>1640920.81840989</v>
      </c>
      <c r="I81" s="523" t="n">
        <v>549393.150396219</v>
      </c>
      <c r="J81" s="523" t="n">
        <v>84158.2333256042</v>
      </c>
      <c r="K81" s="523" t="n">
        <v>262390.567184323</v>
      </c>
      <c r="L81" s="523" t="n">
        <v>153098.748094795</v>
      </c>
      <c r="M81" s="523" t="n">
        <v>384467.232400764</v>
      </c>
      <c r="N81" s="523" t="n">
        <v>324991.692611855</v>
      </c>
      <c r="O81" s="523" t="n">
        <v>222177.283046951</v>
      </c>
      <c r="P81" s="523" t="n">
        <v>210772.608047423</v>
      </c>
      <c r="Q81" s="523" t="n">
        <v>125556.755292155</v>
      </c>
      <c r="R81" s="523" t="n">
        <v>31594.2040066208</v>
      </c>
      <c r="S81" s="523" t="n">
        <v>2348600.47440671</v>
      </c>
      <c r="T81" s="523" t="n">
        <v>3989521.2928166</v>
      </c>
      <c r="U81" s="523" t="n">
        <v>313730.04692224</v>
      </c>
      <c r="V81" s="523" t="n">
        <v>29392.48605644</v>
      </c>
      <c r="W81" s="523" t="n">
        <v>369985.699125029</v>
      </c>
      <c r="X81" s="523" t="n">
        <v>4702629.52492031</v>
      </c>
    </row>
    <row r="82" customFormat="false" ht="14.45" hidden="false" customHeight="true" outlineLevel="0" collapsed="false">
      <c r="A82" s="520" t="s">
        <v>661</v>
      </c>
      <c r="B82" s="521" t="n">
        <v>246382.529795214</v>
      </c>
      <c r="C82" s="521" t="n">
        <v>12499.2126056715</v>
      </c>
      <c r="D82" s="521" t="n">
        <v>173958.694793042</v>
      </c>
      <c r="E82" s="521" t="n">
        <v>700541.577386722</v>
      </c>
      <c r="F82" s="521" t="n">
        <v>63789.5068535593</v>
      </c>
      <c r="G82" s="521" t="n">
        <v>225924.376786185</v>
      </c>
      <c r="H82" s="521" t="n">
        <v>1423095.89822039</v>
      </c>
      <c r="I82" s="521" t="n">
        <v>573298.234675956</v>
      </c>
      <c r="J82" s="521" t="n">
        <v>94445.5866589712</v>
      </c>
      <c r="K82" s="521" t="n">
        <v>256226.239806357</v>
      </c>
      <c r="L82" s="521" t="n">
        <v>166657.901856512</v>
      </c>
      <c r="M82" s="521" t="n">
        <v>443598.88999317</v>
      </c>
      <c r="N82" s="521" t="n">
        <v>334689.255356717</v>
      </c>
      <c r="O82" s="521" t="n">
        <v>235098.745412308</v>
      </c>
      <c r="P82" s="521" t="n">
        <v>232582.355426629</v>
      </c>
      <c r="Q82" s="521" t="n">
        <v>137424.99643614</v>
      </c>
      <c r="R82" s="521" t="n">
        <v>35385.3631620276</v>
      </c>
      <c r="S82" s="521" t="n">
        <v>2509407.56878479</v>
      </c>
      <c r="T82" s="521" t="n">
        <v>3932503.46700518</v>
      </c>
      <c r="U82" s="521" t="n">
        <v>343668.1593892</v>
      </c>
      <c r="V82" s="521" t="n">
        <v>32086.7997894</v>
      </c>
      <c r="W82" s="521" t="n">
        <v>377244.692494492</v>
      </c>
      <c r="X82" s="521" t="n">
        <v>4685503.11867828</v>
      </c>
    </row>
    <row r="83" customFormat="false" ht="14.45" hidden="false" customHeight="true" outlineLevel="0" collapsed="false">
      <c r="A83" s="522" t="s">
        <v>662</v>
      </c>
      <c r="B83" s="523" t="n">
        <v>242748.606263767</v>
      </c>
      <c r="C83" s="523" t="n">
        <v>9915.17806198692</v>
      </c>
      <c r="D83" s="523" t="n">
        <v>178584.228374522</v>
      </c>
      <c r="E83" s="523" t="n">
        <v>734802.945035246</v>
      </c>
      <c r="F83" s="523" t="n">
        <v>50475.392859873</v>
      </c>
      <c r="G83" s="523" t="n">
        <v>220812.119682241</v>
      </c>
      <c r="H83" s="523" t="n">
        <v>1437338.47027764</v>
      </c>
      <c r="I83" s="523" t="n">
        <v>597128.173708242</v>
      </c>
      <c r="J83" s="523" t="n">
        <v>103423.545050546</v>
      </c>
      <c r="K83" s="523" t="n">
        <v>268581.342969562</v>
      </c>
      <c r="L83" s="523" t="n">
        <v>183561.164920161</v>
      </c>
      <c r="M83" s="523" t="n">
        <v>490574.749860467</v>
      </c>
      <c r="N83" s="523" t="n">
        <v>403728.09600697</v>
      </c>
      <c r="O83" s="523" t="n">
        <v>257080.136894651</v>
      </c>
      <c r="P83" s="523" t="n">
        <v>260121.296825954</v>
      </c>
      <c r="Q83" s="523" t="n">
        <v>143462.480697323</v>
      </c>
      <c r="R83" s="523" t="n">
        <v>37553.8741118421</v>
      </c>
      <c r="S83" s="523" t="n">
        <v>2745214.86104572</v>
      </c>
      <c r="T83" s="523" t="n">
        <v>4182553.33132336</v>
      </c>
      <c r="U83" s="523" t="n">
        <v>357721.83814124</v>
      </c>
      <c r="V83" s="523" t="n">
        <v>31084.0979152</v>
      </c>
      <c r="W83" s="523" t="n">
        <v>439204.929490937</v>
      </c>
      <c r="X83" s="523" t="n">
        <v>5010564.19687073</v>
      </c>
    </row>
    <row r="84" customFormat="false" ht="14.45" hidden="false" customHeight="true" outlineLevel="0" collapsed="false">
      <c r="A84" s="520" t="s">
        <v>663</v>
      </c>
      <c r="B84" s="521" t="n">
        <v>182342.830360576</v>
      </c>
      <c r="C84" s="521" t="n">
        <v>7830.52989534946</v>
      </c>
      <c r="D84" s="521" t="n">
        <v>183453.924055009</v>
      </c>
      <c r="E84" s="521" t="n">
        <v>731848.200043731</v>
      </c>
      <c r="F84" s="521" t="n">
        <v>58027.0377855534</v>
      </c>
      <c r="G84" s="521" t="n">
        <v>243546.684335615</v>
      </c>
      <c r="H84" s="521" t="n">
        <v>1407049.20647583</v>
      </c>
      <c r="I84" s="521" t="n">
        <v>611862.388668189</v>
      </c>
      <c r="J84" s="521" t="n">
        <v>122282.7480864</v>
      </c>
      <c r="K84" s="521" t="n">
        <v>290021.864009365</v>
      </c>
      <c r="L84" s="521" t="n">
        <v>179184.89303224</v>
      </c>
      <c r="M84" s="521" t="n">
        <v>469085.924498869</v>
      </c>
      <c r="N84" s="521" t="n">
        <v>393173.438930302</v>
      </c>
      <c r="O84" s="521" t="n">
        <v>264028.713745884</v>
      </c>
      <c r="P84" s="521" t="n">
        <v>240894.127198684</v>
      </c>
      <c r="Q84" s="521" t="n">
        <v>154998.644840936</v>
      </c>
      <c r="R84" s="521" t="n">
        <v>42096.1971349914</v>
      </c>
      <c r="S84" s="521" t="n">
        <v>2767628.94014586</v>
      </c>
      <c r="T84" s="521" t="n">
        <v>4174678.14662169</v>
      </c>
      <c r="U84" s="521" t="n">
        <v>393857.66117796</v>
      </c>
      <c r="V84" s="521" t="n">
        <v>31586.92580636</v>
      </c>
      <c r="W84" s="521" t="n">
        <v>392723.346874615</v>
      </c>
      <c r="X84" s="521" t="n">
        <v>4992846.08048063</v>
      </c>
    </row>
    <row r="85" customFormat="false" ht="14.45" hidden="false" customHeight="true" outlineLevel="0" collapsed="false">
      <c r="A85" s="522" t="s">
        <v>664</v>
      </c>
      <c r="B85" s="523" t="n">
        <v>380158.41963999</v>
      </c>
      <c r="C85" s="523" t="n">
        <v>16252.0865959763</v>
      </c>
      <c r="D85" s="523" t="n">
        <v>193272.912954408</v>
      </c>
      <c r="E85" s="523" t="n">
        <v>848841.42899637</v>
      </c>
      <c r="F85" s="523" t="n">
        <v>64272.7372123549</v>
      </c>
      <c r="G85" s="523" t="n">
        <v>261898.311058957</v>
      </c>
      <c r="H85" s="523" t="n">
        <v>1764695.89645806</v>
      </c>
      <c r="I85" s="523" t="n">
        <v>709024.235871651</v>
      </c>
      <c r="J85" s="523" t="n">
        <v>112353.807553488</v>
      </c>
      <c r="K85" s="523" t="n">
        <v>337169.396382765</v>
      </c>
      <c r="L85" s="523" t="n">
        <v>193414.809780663</v>
      </c>
      <c r="M85" s="523" t="n">
        <v>558206.519828816</v>
      </c>
      <c r="N85" s="523" t="n">
        <v>457682.716337427</v>
      </c>
      <c r="O85" s="523" t="n">
        <v>297494.274591744</v>
      </c>
      <c r="P85" s="523" t="n">
        <v>286349.395511658</v>
      </c>
      <c r="Q85" s="523" t="n">
        <v>171546.22378594</v>
      </c>
      <c r="R85" s="523" t="n">
        <v>44173.0655000083</v>
      </c>
      <c r="S85" s="523" t="n">
        <v>3167414.44514416</v>
      </c>
      <c r="T85" s="523" t="n">
        <v>4932110.34160222</v>
      </c>
      <c r="U85" s="523" t="n">
        <v>400360.90938552</v>
      </c>
      <c r="V85" s="523" t="n">
        <v>31967.04150016</v>
      </c>
      <c r="W85" s="523" t="n">
        <v>502228.764589904</v>
      </c>
      <c r="X85" s="523" t="n">
        <v>5866667.0570778</v>
      </c>
    </row>
    <row r="86" customFormat="false" ht="14.45" hidden="false" customHeight="true" outlineLevel="0" collapsed="false">
      <c r="A86" s="520" t="s">
        <v>665</v>
      </c>
      <c r="B86" s="521" t="n">
        <v>261154.557860081</v>
      </c>
      <c r="C86" s="521" t="n">
        <v>18748.4045733173</v>
      </c>
      <c r="D86" s="521" t="n">
        <v>187207.778876961</v>
      </c>
      <c r="E86" s="521" t="n">
        <v>883669.272900075</v>
      </c>
      <c r="F86" s="521" t="n">
        <v>78521.5816220086</v>
      </c>
      <c r="G86" s="521" t="n">
        <v>304551.057935789</v>
      </c>
      <c r="H86" s="521" t="n">
        <v>1733852.65376823</v>
      </c>
      <c r="I86" s="521" t="n">
        <v>747977.177039652</v>
      </c>
      <c r="J86" s="521" t="n">
        <v>128982.502320539</v>
      </c>
      <c r="K86" s="521" t="n">
        <v>331572.583348193</v>
      </c>
      <c r="L86" s="521" t="n">
        <v>209718.117356996</v>
      </c>
      <c r="M86" s="521" t="n">
        <v>592418.154345953</v>
      </c>
      <c r="N86" s="521" t="n">
        <v>470275.411361081</v>
      </c>
      <c r="O86" s="521" t="n">
        <v>326469.267993767</v>
      </c>
      <c r="P86" s="521" t="n">
        <v>317574.335488605</v>
      </c>
      <c r="Q86" s="521" t="n">
        <v>187301.858815669</v>
      </c>
      <c r="R86" s="521" t="n">
        <v>45303.3698128287</v>
      </c>
      <c r="S86" s="521" t="n">
        <v>3357592.77788328</v>
      </c>
      <c r="T86" s="521" t="n">
        <v>5091445.43165152</v>
      </c>
      <c r="U86" s="521" t="n">
        <v>456261.23112824</v>
      </c>
      <c r="V86" s="521" t="n">
        <v>37941.77321424</v>
      </c>
      <c r="W86" s="521" t="n">
        <v>500966.128822513</v>
      </c>
      <c r="X86" s="521" t="n">
        <v>6086614.56481651</v>
      </c>
    </row>
    <row r="87" customFormat="false" ht="14.45" hidden="false" customHeight="true" outlineLevel="0" collapsed="false">
      <c r="A87" s="522" t="s">
        <v>666</v>
      </c>
      <c r="B87" s="523" t="n">
        <v>307633.563512016</v>
      </c>
      <c r="C87" s="523" t="n">
        <v>12712.7199673851</v>
      </c>
      <c r="D87" s="523" t="n">
        <v>201077.819285298</v>
      </c>
      <c r="E87" s="523" t="n">
        <v>923390.529800355</v>
      </c>
      <c r="F87" s="523" t="n">
        <v>68366.5594888598</v>
      </c>
      <c r="G87" s="523" t="n">
        <v>279031.556046425</v>
      </c>
      <c r="H87" s="523" t="n">
        <v>1792212.74810034</v>
      </c>
      <c r="I87" s="523" t="n">
        <v>757341.812508161</v>
      </c>
      <c r="J87" s="523" t="n">
        <v>138116.103722941</v>
      </c>
      <c r="K87" s="523" t="n">
        <v>343464.032132416</v>
      </c>
      <c r="L87" s="523" t="n">
        <v>229184.331726417</v>
      </c>
      <c r="M87" s="523" t="n">
        <v>658425.030573073</v>
      </c>
      <c r="N87" s="523" t="n">
        <v>556821.407740382</v>
      </c>
      <c r="O87" s="523" t="n">
        <v>369889.460604606</v>
      </c>
      <c r="P87" s="523" t="n">
        <v>349037.360684366</v>
      </c>
      <c r="Q87" s="523" t="n">
        <v>196236.926024567</v>
      </c>
      <c r="R87" s="523" t="n">
        <v>47659.2029491042</v>
      </c>
      <c r="S87" s="523" t="n">
        <v>3646175.66866603</v>
      </c>
      <c r="T87" s="523" t="n">
        <v>5438388.41676637</v>
      </c>
      <c r="U87" s="523" t="n">
        <v>481825.16224456</v>
      </c>
      <c r="V87" s="523" t="n">
        <v>40553.52462036</v>
      </c>
      <c r="W87" s="523" t="n">
        <v>509162.990707475</v>
      </c>
      <c r="X87" s="523" t="n">
        <v>6469930.09433877</v>
      </c>
    </row>
    <row r="88" customFormat="false" ht="14.45" hidden="false" customHeight="true" outlineLevel="0" collapsed="false">
      <c r="A88" s="520" t="s">
        <v>667</v>
      </c>
      <c r="B88" s="521" t="n">
        <v>290638.734917392</v>
      </c>
      <c r="C88" s="521" t="n">
        <v>11979.4094614385</v>
      </c>
      <c r="D88" s="521" t="n">
        <v>259008.393310027</v>
      </c>
      <c r="E88" s="521" t="n">
        <v>982640.399333294</v>
      </c>
      <c r="F88" s="521" t="n">
        <v>81155.0637372759</v>
      </c>
      <c r="G88" s="521" t="n">
        <v>296492.862841969</v>
      </c>
      <c r="H88" s="521" t="n">
        <v>1921914.8636014</v>
      </c>
      <c r="I88" s="521" t="n">
        <v>830417.263267856</v>
      </c>
      <c r="J88" s="521" t="n">
        <v>162241.48232481</v>
      </c>
      <c r="K88" s="521" t="n">
        <v>392595.660722835</v>
      </c>
      <c r="L88" s="521" t="n">
        <v>267173.513801363</v>
      </c>
      <c r="M88" s="521" t="n">
        <v>657624.206455908</v>
      </c>
      <c r="N88" s="521" t="n">
        <v>546346.096152001</v>
      </c>
      <c r="O88" s="521" t="n">
        <v>377630.687306672</v>
      </c>
      <c r="P88" s="521" t="n">
        <v>354974.824004738</v>
      </c>
      <c r="Q88" s="521" t="n">
        <v>210316.960443634</v>
      </c>
      <c r="R88" s="521" t="n">
        <v>53883.1323327891</v>
      </c>
      <c r="S88" s="521" t="n">
        <v>3853203.82681261</v>
      </c>
      <c r="T88" s="521" t="n">
        <v>5775118.690414</v>
      </c>
      <c r="U88" s="521" t="n">
        <v>532675.23356252</v>
      </c>
      <c r="V88" s="521" t="n">
        <v>50149.72474312</v>
      </c>
      <c r="W88" s="521" t="n">
        <v>540088.137417718</v>
      </c>
      <c r="X88" s="521" t="n">
        <v>6898031.78613736</v>
      </c>
    </row>
    <row r="89" customFormat="false" ht="14.45" hidden="false" customHeight="true" outlineLevel="0" collapsed="false">
      <c r="A89" s="522" t="s">
        <v>668</v>
      </c>
      <c r="B89" s="523" t="n">
        <v>845814.93004446</v>
      </c>
      <c r="C89" s="523" t="n">
        <v>24501.6962453342</v>
      </c>
      <c r="D89" s="523" t="n">
        <v>286176.779079413</v>
      </c>
      <c r="E89" s="523" t="n">
        <v>1090073.58098813</v>
      </c>
      <c r="F89" s="523" t="n">
        <v>113160.425434186</v>
      </c>
      <c r="G89" s="523" t="n">
        <v>301119.231623111</v>
      </c>
      <c r="H89" s="523" t="n">
        <v>2660846.64341463</v>
      </c>
      <c r="I89" s="523" t="n">
        <v>956388.290371615</v>
      </c>
      <c r="J89" s="523" t="n">
        <v>144160.251941735</v>
      </c>
      <c r="K89" s="523" t="n">
        <v>465812.478873693</v>
      </c>
      <c r="L89" s="523" t="n">
        <v>296507.965623801</v>
      </c>
      <c r="M89" s="523" t="n">
        <v>745904.297884888</v>
      </c>
      <c r="N89" s="523" t="n">
        <v>615830.652414766</v>
      </c>
      <c r="O89" s="523" t="n">
        <v>428303.678106591</v>
      </c>
      <c r="P89" s="523" t="n">
        <v>419939.474135648</v>
      </c>
      <c r="Q89" s="523" t="n">
        <v>232997.247951218</v>
      </c>
      <c r="R89" s="523" t="n">
        <v>59942.8498835113</v>
      </c>
      <c r="S89" s="523" t="n">
        <v>4365787.18718747</v>
      </c>
      <c r="T89" s="523" t="n">
        <v>7026633.8306021</v>
      </c>
      <c r="U89" s="523" t="n">
        <v>566990.30608316</v>
      </c>
      <c r="V89" s="523" t="n">
        <v>56037.17452444</v>
      </c>
      <c r="W89" s="523" t="n">
        <v>598601.118649064</v>
      </c>
      <c r="X89" s="523" t="n">
        <v>8248262.42985877</v>
      </c>
    </row>
    <row r="90" customFormat="false" ht="14.45" hidden="false" customHeight="true" outlineLevel="0" collapsed="false">
      <c r="A90" s="520" t="s">
        <v>669</v>
      </c>
      <c r="B90" s="521" t="n">
        <v>402321.011959083</v>
      </c>
      <c r="C90" s="521" t="n">
        <v>30614.1999380456</v>
      </c>
      <c r="D90" s="521" t="n">
        <v>265357.725819656</v>
      </c>
      <c r="E90" s="521" t="n">
        <v>1144741.58082007</v>
      </c>
      <c r="F90" s="521" t="n">
        <v>117824.660292016</v>
      </c>
      <c r="G90" s="521" t="n">
        <v>340567.746440531</v>
      </c>
      <c r="H90" s="521" t="n">
        <v>2301426.9252694</v>
      </c>
      <c r="I90" s="521" t="n">
        <v>1008183.55950939</v>
      </c>
      <c r="J90" s="521" t="n">
        <v>172613.173894657</v>
      </c>
      <c r="K90" s="521" t="n">
        <v>455424.161613767</v>
      </c>
      <c r="L90" s="521" t="n">
        <v>330539.809831485</v>
      </c>
      <c r="M90" s="521" t="n">
        <v>794734.724595133</v>
      </c>
      <c r="N90" s="521" t="n">
        <v>638389.781243264</v>
      </c>
      <c r="O90" s="521" t="n">
        <v>452179.864924279</v>
      </c>
      <c r="P90" s="521" t="n">
        <v>434518.974909298</v>
      </c>
      <c r="Q90" s="521" t="n">
        <v>250559.196418034</v>
      </c>
      <c r="R90" s="521" t="n">
        <v>63954.7671647703</v>
      </c>
      <c r="S90" s="521" t="n">
        <v>4601098.01410408</v>
      </c>
      <c r="T90" s="521" t="n">
        <v>6902524.93937348</v>
      </c>
      <c r="U90" s="521" t="n">
        <v>609419.48380984</v>
      </c>
      <c r="V90" s="521" t="n">
        <v>60843.46369816</v>
      </c>
      <c r="W90" s="521" t="n">
        <v>674925.167863296</v>
      </c>
      <c r="X90" s="521" t="n">
        <v>8247713.05474478</v>
      </c>
    </row>
    <row r="91" customFormat="false" ht="12.75" hidden="false" customHeight="true" outlineLevel="0" collapsed="false">
      <c r="A91" s="524" t="s">
        <v>670</v>
      </c>
      <c r="B91" s="525" t="n">
        <v>397785.44985806</v>
      </c>
      <c r="C91" s="525" t="n">
        <v>20827.5750017465</v>
      </c>
      <c r="D91" s="525" t="n">
        <v>277575.34613901</v>
      </c>
      <c r="E91" s="525" t="n">
        <v>1237907.13221624</v>
      </c>
      <c r="F91" s="525" t="n">
        <v>115472.611418592</v>
      </c>
      <c r="G91" s="525" t="n">
        <v>331937.649043082</v>
      </c>
      <c r="H91" s="525" t="n">
        <v>2381505.76367673</v>
      </c>
      <c r="I91" s="525" t="n">
        <v>1050011.77384503</v>
      </c>
      <c r="J91" s="525" t="n">
        <v>185997.310910106</v>
      </c>
      <c r="K91" s="525" t="n">
        <v>494857.579963232</v>
      </c>
      <c r="L91" s="525" t="n">
        <v>361031.799729964</v>
      </c>
      <c r="M91" s="525" t="n">
        <v>894214.33028595</v>
      </c>
      <c r="N91" s="525" t="n">
        <v>771619.890232291</v>
      </c>
      <c r="O91" s="525" t="n">
        <v>482734.830633938</v>
      </c>
      <c r="P91" s="525" t="n">
        <v>485017.730990367</v>
      </c>
      <c r="Q91" s="525" t="n">
        <v>260651.084694467</v>
      </c>
      <c r="R91" s="525" t="n">
        <v>60841.7384848265</v>
      </c>
      <c r="S91" s="525" t="n">
        <v>5046978.06977017</v>
      </c>
      <c r="T91" s="525" t="n">
        <v>7428483.8334469</v>
      </c>
      <c r="U91" s="525" t="n">
        <v>624862.72192716</v>
      </c>
      <c r="V91" s="525" t="n">
        <v>58428.23312272</v>
      </c>
      <c r="W91" s="525" t="n">
        <v>695199.593804725</v>
      </c>
      <c r="X91" s="525" t="n">
        <v>8806974.38230151</v>
      </c>
    </row>
    <row r="92" customFormat="false" ht="12.75" hidden="false" customHeight="true" outlineLevel="0" collapsed="false">
      <c r="A92" s="526" t="s">
        <v>671</v>
      </c>
      <c r="B92" s="527" t="n">
        <v>394715.954482594</v>
      </c>
      <c r="C92" s="527" t="n">
        <v>16979.9874844904</v>
      </c>
      <c r="D92" s="527" t="n">
        <v>304121.511588178</v>
      </c>
      <c r="E92" s="527" t="n">
        <v>1189826.29777033</v>
      </c>
      <c r="F92" s="527" t="n">
        <v>122499.090278021</v>
      </c>
      <c r="G92" s="527" t="n">
        <v>376272.165561263</v>
      </c>
      <c r="H92" s="527" t="n">
        <v>2404415.00716488</v>
      </c>
      <c r="I92" s="527" t="n">
        <v>1011952.29674725</v>
      </c>
      <c r="J92" s="527" t="n">
        <v>212838.871926527</v>
      </c>
      <c r="K92" s="527" t="n">
        <v>558576.826520204</v>
      </c>
      <c r="L92" s="527" t="n">
        <v>372019.825790817</v>
      </c>
      <c r="M92" s="527" t="n">
        <v>874659.125577386</v>
      </c>
      <c r="N92" s="527" t="n">
        <v>723100.536686623</v>
      </c>
      <c r="O92" s="527" t="n">
        <v>508264.825851057</v>
      </c>
      <c r="P92" s="527" t="n">
        <v>487136.950207094</v>
      </c>
      <c r="Q92" s="527" t="n">
        <v>288109.861084106</v>
      </c>
      <c r="R92" s="527" t="n">
        <v>71667.8217809981</v>
      </c>
      <c r="S92" s="527" t="n">
        <v>5108326.94217206</v>
      </c>
      <c r="T92" s="527" t="n">
        <v>7512741.94933694</v>
      </c>
      <c r="U92" s="527" t="n">
        <v>660294.0373592</v>
      </c>
      <c r="V92" s="527" t="n">
        <v>59732.94865596</v>
      </c>
      <c r="W92" s="527" t="n">
        <v>728713.530019707</v>
      </c>
      <c r="X92" s="527" t="n">
        <v>8961482.4653718</v>
      </c>
    </row>
    <row r="93" customFormat="false" ht="12.75" hidden="false" customHeight="true" outlineLevel="0" collapsed="false">
      <c r="A93" s="524" t="s">
        <v>672</v>
      </c>
      <c r="B93" s="525" t="n">
        <v>830055.49900682</v>
      </c>
      <c r="C93" s="525" t="n">
        <v>32582.2661546741</v>
      </c>
      <c r="D93" s="525" t="n">
        <v>297832.558139177</v>
      </c>
      <c r="E93" s="525" t="n">
        <v>1331384.76654884</v>
      </c>
      <c r="F93" s="525" t="n">
        <v>151058.335136379</v>
      </c>
      <c r="G93" s="525" t="n">
        <v>416964.063659033</v>
      </c>
      <c r="H93" s="525" t="n">
        <v>3059877.48864492</v>
      </c>
      <c r="I93" s="525" t="n">
        <v>1139333.37861466</v>
      </c>
      <c r="J93" s="525" t="n">
        <v>190313.643613929</v>
      </c>
      <c r="K93" s="525" t="n">
        <v>636695.819862111</v>
      </c>
      <c r="L93" s="525" t="n">
        <v>400422.190073257</v>
      </c>
      <c r="M93" s="525" t="n">
        <v>986653.891355425</v>
      </c>
      <c r="N93" s="525" t="n">
        <v>799751.184259158</v>
      </c>
      <c r="O93" s="525" t="n">
        <v>544235.202648695</v>
      </c>
      <c r="P93" s="525" t="n">
        <v>560758.032976543</v>
      </c>
      <c r="Q93" s="525" t="n">
        <v>306026.026499263</v>
      </c>
      <c r="R93" s="525" t="n">
        <v>78223.2598076096</v>
      </c>
      <c r="S93" s="525" t="n">
        <v>5642412.62971065</v>
      </c>
      <c r="T93" s="525" t="n">
        <v>8702290.11835557</v>
      </c>
      <c r="U93" s="525" t="n">
        <v>727774.68985136</v>
      </c>
      <c r="V93" s="525" t="n">
        <v>63550.77492096</v>
      </c>
      <c r="W93" s="525" t="n">
        <v>833439.013347098</v>
      </c>
      <c r="X93" s="525" t="n">
        <v>10327054.596475</v>
      </c>
    </row>
    <row r="94" customFormat="false" ht="12.75" hidden="false" customHeight="true" outlineLevel="0" collapsed="false">
      <c r="A94" s="526" t="s">
        <v>673</v>
      </c>
      <c r="B94" s="527" t="n">
        <v>479985.525611838</v>
      </c>
      <c r="C94" s="527" t="n">
        <v>36323.9644892698</v>
      </c>
      <c r="D94" s="527" t="n">
        <v>315780.104531552</v>
      </c>
      <c r="E94" s="527" t="n">
        <v>1414779.52751192</v>
      </c>
      <c r="F94" s="527" t="n">
        <v>173435.095417786</v>
      </c>
      <c r="G94" s="527" t="n">
        <v>455403.810125002</v>
      </c>
      <c r="H94" s="527" t="n">
        <v>2875708.02768737</v>
      </c>
      <c r="I94" s="527" t="n">
        <v>1208398.87367984</v>
      </c>
      <c r="J94" s="527" t="n">
        <v>222504.0714711</v>
      </c>
      <c r="K94" s="527" t="n">
        <v>615101.865443829</v>
      </c>
      <c r="L94" s="527" t="n">
        <v>425856.470855044</v>
      </c>
      <c r="M94" s="527" t="n">
        <v>1072736.51854321</v>
      </c>
      <c r="N94" s="527" t="n">
        <v>797873.32271316</v>
      </c>
      <c r="O94" s="527" t="n">
        <v>572296.2007304</v>
      </c>
      <c r="P94" s="527" t="n">
        <v>568865.652313254</v>
      </c>
      <c r="Q94" s="527" t="n">
        <v>326959.817006237</v>
      </c>
      <c r="R94" s="527" t="n">
        <v>80738.2883110616</v>
      </c>
      <c r="S94" s="527" t="n">
        <v>5891331.08106714</v>
      </c>
      <c r="T94" s="527" t="n">
        <v>8767039.1087545</v>
      </c>
      <c r="U94" s="527" t="n">
        <v>810580.3994956</v>
      </c>
      <c r="V94" s="527" t="n">
        <v>79898.13160012</v>
      </c>
      <c r="W94" s="527" t="n">
        <v>874926.988412812</v>
      </c>
      <c r="X94" s="527" t="n">
        <v>10532444.628263</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V132"/>
  <sheetViews>
    <sheetView showFormulas="false" showGridLines="true" showRowColHeaders="true" showZeros="true" rightToLeft="false" tabSelected="false" showOutlineSymbols="true" defaultGridColor="true" view="normal" topLeftCell="L16" colorId="64" zoomScale="75" zoomScaleNormal="75" zoomScalePageLayoutView="100" workbookViewId="0">
      <selection pane="topLeft" activeCell="V8" activeCellId="0" sqref="V8"/>
    </sheetView>
  </sheetViews>
  <sheetFormatPr defaultColWidth="11.43359375" defaultRowHeight="15" zeroHeight="false" outlineLevelRow="0" outlineLevelCol="0"/>
  <cols>
    <col collapsed="false" customWidth="false" hidden="false" outlineLevel="0" max="22" min="1" style="1" width="11.42"/>
  </cols>
  <sheetData>
    <row r="1" customFormat="false" ht="14.45" hidden="false" customHeight="true" outlineLevel="0" collapsed="false">
      <c r="A1" s="504"/>
      <c r="B1" s="528" t="s">
        <v>674</v>
      </c>
      <c r="C1" s="503"/>
      <c r="D1" s="503"/>
      <c r="E1" s="503"/>
      <c r="F1" s="503"/>
      <c r="G1" s="503"/>
      <c r="H1" s="503"/>
      <c r="I1" s="503"/>
      <c r="J1" s="529" t="s">
        <v>675</v>
      </c>
      <c r="K1" s="503"/>
      <c r="L1" s="503"/>
      <c r="M1" s="503"/>
      <c r="N1" s="503"/>
      <c r="O1" s="503"/>
      <c r="P1" s="503"/>
      <c r="Q1" s="503"/>
      <c r="R1" s="503"/>
      <c r="S1" s="503"/>
      <c r="T1" s="503"/>
      <c r="U1" s="503"/>
      <c r="V1" s="503"/>
    </row>
    <row r="2" customFormat="false" ht="14.45" hidden="false" customHeight="true" outlineLevel="0" collapsed="false">
      <c r="A2" s="505"/>
      <c r="B2" s="505" t="s">
        <v>676</v>
      </c>
    </row>
    <row r="3" customFormat="false" ht="14.45" hidden="false" customHeight="true" outlineLevel="0" collapsed="false">
      <c r="A3" s="506"/>
      <c r="B3" s="506" t="s">
        <v>677</v>
      </c>
    </row>
    <row r="4" customFormat="false" ht="14.45" hidden="false" customHeight="true" outlineLevel="0" collapsed="false">
      <c r="A4" s="506"/>
      <c r="B4" s="507" t="s">
        <v>593</v>
      </c>
      <c r="C4" s="508" t="s">
        <v>594</v>
      </c>
      <c r="D4" s="508" t="s">
        <v>595</v>
      </c>
    </row>
    <row r="5" customFormat="false" ht="14.45" hidden="false" customHeight="true" outlineLevel="0" collapsed="false">
      <c r="A5" s="530"/>
    </row>
    <row r="6" customFormat="false" ht="75.75" hidden="false" customHeight="true" outlineLevel="0" collapsed="false">
      <c r="A6" s="510"/>
      <c r="B6" s="511" t="s">
        <v>596</v>
      </c>
      <c r="C6" s="511" t="s">
        <v>597</v>
      </c>
      <c r="D6" s="511" t="s">
        <v>598</v>
      </c>
      <c r="E6" s="511" t="s">
        <v>599</v>
      </c>
      <c r="F6" s="511" t="s">
        <v>600</v>
      </c>
      <c r="G6" s="511" t="s">
        <v>601</v>
      </c>
      <c r="H6" s="512" t="s">
        <v>602</v>
      </c>
      <c r="I6" s="512" t="s">
        <v>603</v>
      </c>
      <c r="J6" s="512" t="s">
        <v>604</v>
      </c>
      <c r="K6" s="512" t="s">
        <v>605</v>
      </c>
      <c r="L6" s="512" t="s">
        <v>606</v>
      </c>
      <c r="M6" s="512" t="s">
        <v>607</v>
      </c>
      <c r="N6" s="512" t="s">
        <v>678</v>
      </c>
      <c r="O6" s="512" t="s">
        <v>679</v>
      </c>
      <c r="P6" s="512" t="s">
        <v>680</v>
      </c>
      <c r="Q6" s="512" t="s">
        <v>613</v>
      </c>
      <c r="R6" s="512" t="s">
        <v>681</v>
      </c>
      <c r="S6" s="512" t="s">
        <v>682</v>
      </c>
      <c r="T6" s="512" t="s">
        <v>615</v>
      </c>
      <c r="U6" s="512" t="s">
        <v>683</v>
      </c>
      <c r="V6" s="512" t="s">
        <v>618</v>
      </c>
    </row>
    <row r="7" customFormat="false" ht="14.45" hidden="false" customHeight="true" outlineLevel="0" collapsed="false"/>
    <row r="8" customFormat="false" ht="14.45" hidden="false" customHeight="true" outlineLevel="0" collapsed="false">
      <c r="A8" s="531" t="n">
        <v>1993</v>
      </c>
      <c r="B8" s="532" t="n">
        <v>11736.9400206289</v>
      </c>
      <c r="C8" s="532" t="n">
        <v>411.910069262175</v>
      </c>
      <c r="D8" s="532" t="n">
        <v>3527.21315393783</v>
      </c>
      <c r="E8" s="532" t="n">
        <v>43138.297937698</v>
      </c>
      <c r="F8" s="532" t="n">
        <v>4599.0347285271</v>
      </c>
      <c r="G8" s="532" t="n">
        <v>13392.933031</v>
      </c>
      <c r="H8" s="532" t="n">
        <v>76806.3289410539</v>
      </c>
      <c r="I8" s="532" t="n">
        <v>33862.4971933371</v>
      </c>
      <c r="J8" s="532" t="n">
        <v>5431.79064269307</v>
      </c>
      <c r="K8" s="532" t="n">
        <v>16133.8503654426</v>
      </c>
      <c r="L8" s="532" t="n">
        <v>9299.03722490135</v>
      </c>
      <c r="M8" s="532" t="n">
        <v>34131.7194059882</v>
      </c>
      <c r="N8" s="532" t="n">
        <v>14562.0772811625</v>
      </c>
      <c r="O8" s="532" t="n">
        <v>18180.0098245268</v>
      </c>
      <c r="P8" s="532" t="n">
        <v>12801.6174782389</v>
      </c>
      <c r="Q8" s="532" t="n">
        <v>144402.599416291</v>
      </c>
      <c r="R8" s="532" t="n">
        <v>3411.02707057766</v>
      </c>
      <c r="S8" s="532" t="n">
        <v>217797.901286767</v>
      </c>
      <c r="T8" s="532" t="n">
        <v>16266.639909</v>
      </c>
      <c r="U8" s="532" t="n">
        <v>2440.43942699999</v>
      </c>
      <c r="V8" s="532" t="n">
        <v>236504.980622767</v>
      </c>
    </row>
    <row r="9" customFormat="false" ht="14.45" hidden="false" customHeight="true" outlineLevel="0" collapsed="false">
      <c r="A9" s="522" t="n">
        <v>1994</v>
      </c>
      <c r="B9" s="533" t="n">
        <v>12609.13832176</v>
      </c>
      <c r="C9" s="533" t="n">
        <v>475.68212927511</v>
      </c>
      <c r="D9" s="533" t="n">
        <v>3820.06295445252</v>
      </c>
      <c r="E9" s="533" t="n">
        <v>45873.469662044</v>
      </c>
      <c r="F9" s="533" t="n">
        <v>4871.99706371925</v>
      </c>
      <c r="G9" s="533" t="n">
        <v>14311.4061726578</v>
      </c>
      <c r="H9" s="533" t="n">
        <v>81961.7563039087</v>
      </c>
      <c r="I9" s="533" t="n">
        <v>36567.8529354132</v>
      </c>
      <c r="J9" s="533" t="n">
        <v>6230.05156682411</v>
      </c>
      <c r="K9" s="533" t="n">
        <v>18251.3335055568</v>
      </c>
      <c r="L9" s="533" t="n">
        <v>9005.19494978381</v>
      </c>
      <c r="M9" s="533" t="n">
        <v>39848.5440002147</v>
      </c>
      <c r="N9" s="533" t="n">
        <v>15568.536737466</v>
      </c>
      <c r="O9" s="533" t="n">
        <v>19629.7015238049</v>
      </c>
      <c r="P9" s="533" t="n">
        <v>13458.1221008649</v>
      </c>
      <c r="Q9" s="533" t="n">
        <v>158559.337319928</v>
      </c>
      <c r="R9" s="533" t="n">
        <v>3215.09255373301</v>
      </c>
      <c r="S9" s="533" t="n">
        <v>237306.001070104</v>
      </c>
      <c r="T9" s="533" t="n">
        <v>17365.677218</v>
      </c>
      <c r="U9" s="533" t="n">
        <v>2768.281069</v>
      </c>
      <c r="V9" s="533" t="n">
        <v>257439.959357104</v>
      </c>
    </row>
    <row r="10" customFormat="false" ht="14.45" hidden="false" customHeight="true" outlineLevel="0" collapsed="false">
      <c r="A10" s="531" t="n">
        <v>1995</v>
      </c>
      <c r="B10" s="532" t="n">
        <v>13253.4148348559</v>
      </c>
      <c r="C10" s="532" t="n">
        <v>555.062993131218</v>
      </c>
      <c r="D10" s="532" t="n">
        <v>4838.35071863448</v>
      </c>
      <c r="E10" s="532" t="n">
        <v>44502.0963266573</v>
      </c>
      <c r="F10" s="532" t="n">
        <v>5111.01885436369</v>
      </c>
      <c r="G10" s="532" t="n">
        <v>13414.0074306744</v>
      </c>
      <c r="H10" s="532" t="n">
        <v>81673.951158317</v>
      </c>
      <c r="I10" s="532" t="n">
        <v>34955.2235139263</v>
      </c>
      <c r="J10" s="532" t="n">
        <v>6243.28160512932</v>
      </c>
      <c r="K10" s="532" t="n">
        <v>19059.9316393231</v>
      </c>
      <c r="L10" s="532" t="n">
        <v>9869.35236748233</v>
      </c>
      <c r="M10" s="532" t="n">
        <v>41470.0044837925</v>
      </c>
      <c r="N10" s="532" t="n">
        <v>15606.9801186273</v>
      </c>
      <c r="O10" s="532" t="n">
        <v>20268.1203007484</v>
      </c>
      <c r="P10" s="532" t="n">
        <v>13187.4262304474</v>
      </c>
      <c r="Q10" s="532" t="n">
        <v>160660.320259477</v>
      </c>
      <c r="R10" s="532" t="n">
        <v>3722.10167645884</v>
      </c>
      <c r="S10" s="532" t="n">
        <v>238612.169741335</v>
      </c>
      <c r="T10" s="532" t="n">
        <v>17442.215516</v>
      </c>
      <c r="U10" s="532" t="n">
        <v>1977.499776</v>
      </c>
      <c r="V10" s="532" t="n">
        <v>258031.885033335</v>
      </c>
    </row>
    <row r="11" customFormat="false" ht="14.45" hidden="false" customHeight="true" outlineLevel="0" collapsed="false">
      <c r="A11" s="522" t="n">
        <v>1996</v>
      </c>
      <c r="B11" s="533" t="n">
        <v>14664.0182097054</v>
      </c>
      <c r="C11" s="533" t="n">
        <v>605.939845996179</v>
      </c>
      <c r="D11" s="533" t="n">
        <v>5888.90799738975</v>
      </c>
      <c r="E11" s="533" t="n">
        <v>47723.4271495549</v>
      </c>
      <c r="F11" s="533" t="n">
        <v>5232.43381470915</v>
      </c>
      <c r="G11" s="533" t="n">
        <v>13526.818317476</v>
      </c>
      <c r="H11" s="533" t="n">
        <v>87641.5453348313</v>
      </c>
      <c r="I11" s="533" t="n">
        <v>37753.6738010626</v>
      </c>
      <c r="J11" s="533" t="n">
        <v>6787.29060532091</v>
      </c>
      <c r="K11" s="533" t="n">
        <v>20501.3503724584</v>
      </c>
      <c r="L11" s="533" t="n">
        <v>9831.80998084315</v>
      </c>
      <c r="M11" s="533" t="n">
        <v>42543.0423124624</v>
      </c>
      <c r="N11" s="533" t="n">
        <v>15497.3177748382</v>
      </c>
      <c r="O11" s="533" t="n">
        <v>20451.8727127936</v>
      </c>
      <c r="P11" s="533" t="n">
        <v>13600.2233972762</v>
      </c>
      <c r="Q11" s="533" t="n">
        <v>166966.580957056</v>
      </c>
      <c r="R11" s="533" t="n">
        <v>3508.52576958099</v>
      </c>
      <c r="S11" s="533" t="n">
        <v>251099.600522306</v>
      </c>
      <c r="T11" s="533" t="n">
        <v>18825.098141</v>
      </c>
      <c r="U11" s="533" t="n">
        <v>2225.059148</v>
      </c>
      <c r="V11" s="533" t="n">
        <v>272149.757811306</v>
      </c>
    </row>
    <row r="12" customFormat="false" ht="14.45" hidden="false" customHeight="true" outlineLevel="0" collapsed="false">
      <c r="A12" s="531" t="n">
        <v>1997</v>
      </c>
      <c r="B12" s="532" t="n">
        <v>14624.8540173426</v>
      </c>
      <c r="C12" s="532" t="n">
        <v>668.161307128916</v>
      </c>
      <c r="D12" s="532" t="n">
        <v>5632.53406086774</v>
      </c>
      <c r="E12" s="532" t="n">
        <v>53382.0624946488</v>
      </c>
      <c r="F12" s="532" t="n">
        <v>5501.69958692221</v>
      </c>
      <c r="G12" s="532" t="n">
        <v>15080.2933083963</v>
      </c>
      <c r="H12" s="532" t="n">
        <v>94889.6047753066</v>
      </c>
      <c r="I12" s="532" t="n">
        <v>41476.8461813618</v>
      </c>
      <c r="J12" s="532" t="n">
        <v>7643.62835568707</v>
      </c>
      <c r="K12" s="532" t="n">
        <v>22951.9002116742</v>
      </c>
      <c r="L12" s="532" t="n">
        <v>10116.2932509685</v>
      </c>
      <c r="M12" s="532" t="n">
        <v>44566.7547842698</v>
      </c>
      <c r="N12" s="532" t="n">
        <v>15859.7490418444</v>
      </c>
      <c r="O12" s="532" t="n">
        <v>21366.4976693881</v>
      </c>
      <c r="P12" s="532" t="n">
        <v>14220.9325356944</v>
      </c>
      <c r="Q12" s="532" t="n">
        <v>178202.602030888</v>
      </c>
      <c r="R12" s="532" t="n">
        <v>3534.22414165222</v>
      </c>
      <c r="S12" s="532" t="n">
        <v>269557.982664543</v>
      </c>
      <c r="T12" s="532" t="n">
        <v>20473.874017</v>
      </c>
      <c r="U12" s="532" t="n">
        <v>2827.020648</v>
      </c>
      <c r="V12" s="532" t="n">
        <v>292858.877329543</v>
      </c>
    </row>
    <row r="13" customFormat="false" ht="14.45" hidden="false" customHeight="true" outlineLevel="0" collapsed="false">
      <c r="A13" s="522" t="n">
        <v>1998</v>
      </c>
      <c r="B13" s="533" t="n">
        <v>15062.5978338655</v>
      </c>
      <c r="C13" s="533" t="n">
        <v>640.324394651129</v>
      </c>
      <c r="D13" s="533" t="n">
        <v>4311.47890078408</v>
      </c>
      <c r="E13" s="533" t="n">
        <v>53326.2647231705</v>
      </c>
      <c r="F13" s="533" t="n">
        <v>5821.10250835452</v>
      </c>
      <c r="G13" s="533" t="n">
        <v>16396.6162976728</v>
      </c>
      <c r="H13" s="533" t="n">
        <v>95558.3846584985</v>
      </c>
      <c r="I13" s="533" t="n">
        <v>41983.7059456745</v>
      </c>
      <c r="J13" s="533" t="n">
        <v>8250.92967878444</v>
      </c>
      <c r="K13" s="533" t="n">
        <v>24390.3511041376</v>
      </c>
      <c r="L13" s="533" t="n">
        <v>11123.2250121777</v>
      </c>
      <c r="M13" s="533" t="n">
        <v>45204.7337117829</v>
      </c>
      <c r="N13" s="533" t="n">
        <v>16706.4062008794</v>
      </c>
      <c r="O13" s="533" t="n">
        <v>22102.1027135422</v>
      </c>
      <c r="P13" s="533" t="n">
        <v>14210.3588747537</v>
      </c>
      <c r="Q13" s="533" t="n">
        <v>183971.813241732</v>
      </c>
      <c r="R13" s="533" t="n">
        <v>4180.58402379259</v>
      </c>
      <c r="S13" s="533" t="n">
        <v>275349.613876438</v>
      </c>
      <c r="T13" s="533" t="n">
        <v>20857.35790058</v>
      </c>
      <c r="U13" s="533" t="n">
        <v>2741.38677719</v>
      </c>
      <c r="V13" s="533" t="n">
        <v>298948.358554208</v>
      </c>
    </row>
    <row r="14" customFormat="false" ht="14.45" hidden="false" customHeight="true" outlineLevel="0" collapsed="false">
      <c r="A14" s="531" t="n">
        <v>1999</v>
      </c>
      <c r="B14" s="532" t="n">
        <v>12080.3921653001</v>
      </c>
      <c r="C14" s="532" t="n">
        <v>558.570124595685</v>
      </c>
      <c r="D14" s="532" t="n">
        <v>4674.27705620729</v>
      </c>
      <c r="E14" s="532" t="n">
        <v>48089.8246860789</v>
      </c>
      <c r="F14" s="532" t="n">
        <v>6132.99855445024</v>
      </c>
      <c r="G14" s="532" t="n">
        <v>15367.8667467238</v>
      </c>
      <c r="H14" s="532" t="n">
        <v>86903.9293333561</v>
      </c>
      <c r="I14" s="532" t="n">
        <v>37661.8497698565</v>
      </c>
      <c r="J14" s="532" t="n">
        <v>7965.62010721539</v>
      </c>
      <c r="K14" s="532" t="n">
        <v>23484.9663234266</v>
      </c>
      <c r="L14" s="532" t="n">
        <v>11517.9631093051</v>
      </c>
      <c r="M14" s="532" t="n">
        <v>44511.054263954</v>
      </c>
      <c r="N14" s="532" t="n">
        <v>17502.956645164</v>
      </c>
      <c r="O14" s="532" t="n">
        <v>23184.3479135674</v>
      </c>
      <c r="P14" s="532" t="n">
        <v>14173.56006393</v>
      </c>
      <c r="Q14" s="532" t="n">
        <v>180002.318196419</v>
      </c>
      <c r="R14" s="532" t="n">
        <v>4432.00479365018</v>
      </c>
      <c r="S14" s="532" t="n">
        <v>262474.242736125</v>
      </c>
      <c r="T14" s="532" t="n">
        <v>18771.03662808</v>
      </c>
      <c r="U14" s="532" t="n">
        <v>2277.74461647</v>
      </c>
      <c r="V14" s="532" t="n">
        <v>283523.023980675</v>
      </c>
    </row>
    <row r="15" customFormat="false" ht="14.45" hidden="false" customHeight="true" outlineLevel="0" collapsed="false">
      <c r="A15" s="522" t="n">
        <v>2000</v>
      </c>
      <c r="B15" s="533" t="n">
        <v>12725.3460232683</v>
      </c>
      <c r="C15" s="533" t="n">
        <v>575.136338948272</v>
      </c>
      <c r="D15" s="533" t="n">
        <v>7097.55253889897</v>
      </c>
      <c r="E15" s="533" t="n">
        <v>46877.3394452509</v>
      </c>
      <c r="F15" s="533" t="n">
        <v>6583.89445200555</v>
      </c>
      <c r="G15" s="533" t="n">
        <v>13308.1441147006</v>
      </c>
      <c r="H15" s="533" t="n">
        <v>87167.4129130727</v>
      </c>
      <c r="I15" s="533" t="n">
        <v>36110.3014375271</v>
      </c>
      <c r="J15" s="533" t="n">
        <v>7795.53777732697</v>
      </c>
      <c r="K15" s="533" t="n">
        <v>24136.6429381133</v>
      </c>
      <c r="L15" s="533" t="n">
        <v>11517.4436937751</v>
      </c>
      <c r="M15" s="533" t="n">
        <v>44501.1394907238</v>
      </c>
      <c r="N15" s="533" t="n">
        <v>17802.6584532099</v>
      </c>
      <c r="O15" s="533" t="n">
        <v>24066.9724072891</v>
      </c>
      <c r="P15" s="533" t="n">
        <v>14451.4726683716</v>
      </c>
      <c r="Q15" s="533" t="n">
        <v>180382.168866337</v>
      </c>
      <c r="R15" s="533" t="n">
        <v>4330.63714150767</v>
      </c>
      <c r="S15" s="533" t="n">
        <v>263218.944637902</v>
      </c>
      <c r="T15" s="533" t="n">
        <v>19008.54359644</v>
      </c>
      <c r="U15" s="533" t="n">
        <v>1976.25108028</v>
      </c>
      <c r="V15" s="533" t="n">
        <v>284203.739314622</v>
      </c>
    </row>
    <row r="16" customFormat="false" ht="14.45" hidden="false" customHeight="true" outlineLevel="0" collapsed="false">
      <c r="A16" s="531" t="n">
        <v>2001</v>
      </c>
      <c r="B16" s="532" t="n">
        <v>11564.8950438413</v>
      </c>
      <c r="C16" s="532" t="n">
        <v>710.756769593854</v>
      </c>
      <c r="D16" s="532" t="n">
        <v>6657.38193237157</v>
      </c>
      <c r="E16" s="532" t="n">
        <v>43241.9748974914</v>
      </c>
      <c r="F16" s="532" t="n">
        <v>6331.94461757947</v>
      </c>
      <c r="G16" s="532" t="n">
        <v>11596.9852578578</v>
      </c>
      <c r="H16" s="532" t="n">
        <v>80103.9385187354</v>
      </c>
      <c r="I16" s="532" t="n">
        <v>32830.5495032844</v>
      </c>
      <c r="J16" s="532" t="n">
        <v>7308.53082834717</v>
      </c>
      <c r="K16" s="532" t="n">
        <v>22872.5487766625</v>
      </c>
      <c r="L16" s="532" t="n">
        <v>13761.5201173869</v>
      </c>
      <c r="M16" s="532" t="n">
        <v>42697.4571389099</v>
      </c>
      <c r="N16" s="532" t="n">
        <v>17117.2439327645</v>
      </c>
      <c r="O16" s="532" t="n">
        <v>24051.6906902683</v>
      </c>
      <c r="P16" s="532" t="n">
        <v>14231.6822810973</v>
      </c>
      <c r="Q16" s="532" t="n">
        <v>174871.223268721</v>
      </c>
      <c r="R16" s="532" t="n">
        <v>4086.66115196472</v>
      </c>
      <c r="S16" s="532" t="n">
        <v>250888.500635492</v>
      </c>
      <c r="T16" s="532" t="n">
        <v>16233.30673906</v>
      </c>
      <c r="U16" s="532" t="n">
        <v>1574.90145974</v>
      </c>
      <c r="V16" s="532" t="n">
        <v>268696.708834292</v>
      </c>
    </row>
    <row r="17" customFormat="false" ht="14.45" hidden="false" customHeight="true" outlineLevel="0" collapsed="false">
      <c r="A17" s="522" t="n">
        <v>2002</v>
      </c>
      <c r="B17" s="533" t="n">
        <v>30481.757363199</v>
      </c>
      <c r="C17" s="533" t="n">
        <v>1422.17890369037</v>
      </c>
      <c r="D17" s="533" t="n">
        <v>18674.2656668199</v>
      </c>
      <c r="E17" s="533" t="n">
        <v>63603.0716894579</v>
      </c>
      <c r="F17" s="533" t="n">
        <v>5352.43448921701</v>
      </c>
      <c r="G17" s="533" t="n">
        <v>7887.6027156153</v>
      </c>
      <c r="H17" s="533" t="n">
        <v>127421.310828</v>
      </c>
      <c r="I17" s="533" t="n">
        <v>33690.6174695014</v>
      </c>
      <c r="J17" s="533" t="n">
        <v>6680.72259652185</v>
      </c>
      <c r="K17" s="533" t="n">
        <v>23116.1686190081</v>
      </c>
      <c r="L17" s="533" t="n">
        <v>16456.899073123</v>
      </c>
      <c r="M17" s="533" t="n">
        <v>39885.0974269246</v>
      </c>
      <c r="N17" s="533" t="n">
        <v>16866.9498102438</v>
      </c>
      <c r="O17" s="533" t="n">
        <v>22716.5543009335</v>
      </c>
      <c r="P17" s="533" t="n">
        <v>11807.2044581469</v>
      </c>
      <c r="Q17" s="533" t="n">
        <v>171220.213754403</v>
      </c>
      <c r="R17" s="533" t="n">
        <v>3837.05202462528</v>
      </c>
      <c r="S17" s="533" t="n">
        <v>294804.472557777</v>
      </c>
      <c r="T17" s="533" t="n">
        <v>16468.10604968</v>
      </c>
      <c r="U17" s="533" t="n">
        <v>1307.56525291</v>
      </c>
      <c r="V17" s="533" t="n">
        <v>312580.143860367</v>
      </c>
    </row>
    <row r="18" customFormat="false" ht="14.45" hidden="false" customHeight="true" outlineLevel="0" collapsed="false">
      <c r="A18" s="531" t="n">
        <v>2003</v>
      </c>
      <c r="B18" s="532" t="n">
        <v>37266.8592024978</v>
      </c>
      <c r="C18" s="532" t="n">
        <v>1557.70149937219</v>
      </c>
      <c r="D18" s="532" t="n">
        <v>20528.1582991416</v>
      </c>
      <c r="E18" s="532" t="n">
        <v>84529.8316777498</v>
      </c>
      <c r="F18" s="532" t="n">
        <v>6126.99490145564</v>
      </c>
      <c r="G18" s="532" t="n">
        <v>11531.0439571282</v>
      </c>
      <c r="H18" s="532" t="n">
        <v>161540.589537345</v>
      </c>
      <c r="I18" s="532" t="n">
        <v>41183.3380130899</v>
      </c>
      <c r="J18" s="532" t="n">
        <v>8231.97023540618</v>
      </c>
      <c r="K18" s="532" t="n">
        <v>29975.2922500952</v>
      </c>
      <c r="L18" s="532" t="n">
        <v>13683.2825987825</v>
      </c>
      <c r="M18" s="532" t="n">
        <v>42194.6275936908</v>
      </c>
      <c r="N18" s="532" t="n">
        <v>18846.221227385</v>
      </c>
      <c r="O18" s="532" t="n">
        <v>24262.7695563173</v>
      </c>
      <c r="P18" s="532" t="n">
        <v>13455.4852366526</v>
      </c>
      <c r="Q18" s="532" t="n">
        <v>191832.98671142</v>
      </c>
      <c r="R18" s="532" t="n">
        <v>1774.48821405555</v>
      </c>
      <c r="S18" s="532" t="n">
        <v>351599.088034709</v>
      </c>
      <c r="T18" s="532" t="n">
        <v>22021.60360149</v>
      </c>
      <c r="U18" s="532" t="n">
        <v>2288.66976045</v>
      </c>
      <c r="V18" s="532" t="n">
        <v>375909.361396649</v>
      </c>
    </row>
    <row r="19" customFormat="false" ht="14.45" hidden="false" customHeight="true" outlineLevel="0" collapsed="false">
      <c r="A19" s="522" t="n">
        <v>2004</v>
      </c>
      <c r="B19" s="533" t="n">
        <v>41886.0234849805</v>
      </c>
      <c r="C19" s="533" t="n">
        <v>1262.44466492973</v>
      </c>
      <c r="D19" s="533" t="n">
        <v>23541.5331358833</v>
      </c>
      <c r="E19" s="533" t="n">
        <v>99792.7298191749</v>
      </c>
      <c r="F19" s="533" t="n">
        <v>6968.67795091757</v>
      </c>
      <c r="G19" s="533" t="n">
        <v>17264.1666445892</v>
      </c>
      <c r="H19" s="533" t="n">
        <v>190715.575700475</v>
      </c>
      <c r="I19" s="533" t="n">
        <v>48452.8079430156</v>
      </c>
      <c r="J19" s="533" t="n">
        <v>9935.884216217</v>
      </c>
      <c r="K19" s="533" t="n">
        <v>37523.8663476736</v>
      </c>
      <c r="L19" s="533" t="n">
        <v>17043.7051908383</v>
      </c>
      <c r="M19" s="533" t="n">
        <v>45986.7382684904</v>
      </c>
      <c r="N19" s="533" t="n">
        <v>21337.8453351913</v>
      </c>
      <c r="O19" s="533" t="n">
        <v>27100.3344200122</v>
      </c>
      <c r="P19" s="533" t="n">
        <v>16277.7521658187</v>
      </c>
      <c r="Q19" s="533" t="n">
        <v>223658.933887257</v>
      </c>
      <c r="R19" s="533" t="n">
        <v>2068.06816525324</v>
      </c>
      <c r="S19" s="533" t="n">
        <v>412306.441422479</v>
      </c>
      <c r="T19" s="533" t="n">
        <v>32086.530771732</v>
      </c>
      <c r="U19" s="533" t="n">
        <v>3250.45344763</v>
      </c>
      <c r="V19" s="533" t="n">
        <v>447643.425641841</v>
      </c>
    </row>
    <row r="20" customFormat="false" ht="14.45" hidden="false" customHeight="true" outlineLevel="0" collapsed="false">
      <c r="A20" s="531" t="n">
        <v>2005</v>
      </c>
      <c r="B20" s="532" t="n">
        <v>44759.6054155008</v>
      </c>
      <c r="C20" s="532" t="n">
        <v>1570.98821386427</v>
      </c>
      <c r="D20" s="532" t="n">
        <v>28819.9695871972</v>
      </c>
      <c r="E20" s="532" t="n">
        <v>114091.122034516</v>
      </c>
      <c r="F20" s="532" t="n">
        <v>8519.98013314436</v>
      </c>
      <c r="G20" s="532" t="n">
        <v>24059.3387625705</v>
      </c>
      <c r="H20" s="532" t="n">
        <v>221821.004146793</v>
      </c>
      <c r="I20" s="532" t="n">
        <v>57998.7679066453</v>
      </c>
      <c r="J20" s="532" t="n">
        <v>12558.8640591412</v>
      </c>
      <c r="K20" s="532" t="n">
        <v>44427.9530582156</v>
      </c>
      <c r="L20" s="532" t="n">
        <v>21401.9593710548</v>
      </c>
      <c r="M20" s="532" t="n">
        <v>53598.7925058243</v>
      </c>
      <c r="N20" s="532" t="n">
        <v>26620.8993877103</v>
      </c>
      <c r="O20" s="532" t="n">
        <v>34349.7493565052</v>
      </c>
      <c r="P20" s="532" t="n">
        <v>20046.7053593182</v>
      </c>
      <c r="Q20" s="532" t="n">
        <v>271003.691004415</v>
      </c>
      <c r="R20" s="532" t="n">
        <v>3038.56707837363</v>
      </c>
      <c r="S20" s="532" t="n">
        <v>489786.128072835</v>
      </c>
      <c r="T20" s="532" t="n">
        <v>38276.03089667</v>
      </c>
      <c r="U20" s="532" t="n">
        <v>3876.5633269</v>
      </c>
      <c r="V20" s="532" t="n">
        <v>531938.722296405</v>
      </c>
    </row>
    <row r="21" customFormat="false" ht="14.45" hidden="false" customHeight="true" outlineLevel="0" collapsed="false">
      <c r="A21" s="522" t="n">
        <v>2006</v>
      </c>
      <c r="B21" s="533" t="n">
        <v>48759.3223322174</v>
      </c>
      <c r="C21" s="533" t="n">
        <v>2000.61993124539</v>
      </c>
      <c r="D21" s="533" t="n">
        <v>36234.7678632043</v>
      </c>
      <c r="E21" s="533" t="n">
        <v>134708.789240669</v>
      </c>
      <c r="F21" s="533" t="n">
        <v>9712.42839430104</v>
      </c>
      <c r="G21" s="533" t="n">
        <v>34896.5165679479</v>
      </c>
      <c r="H21" s="533" t="n">
        <v>266312.444329585</v>
      </c>
      <c r="I21" s="533" t="n">
        <v>69127.3611892838</v>
      </c>
      <c r="J21" s="533" t="n">
        <v>16343.9692962787</v>
      </c>
      <c r="K21" s="533" t="n">
        <v>53564.8210115275</v>
      </c>
      <c r="L21" s="533" t="n">
        <v>28048.268197029</v>
      </c>
      <c r="M21" s="533" t="n">
        <v>65961.6386912895</v>
      </c>
      <c r="N21" s="533" t="n">
        <v>33628.6993156569</v>
      </c>
      <c r="O21" s="533" t="n">
        <v>46943.3233038545</v>
      </c>
      <c r="P21" s="533" t="n">
        <v>24861.6169788181</v>
      </c>
      <c r="Q21" s="533" t="n">
        <v>338479.697983738</v>
      </c>
      <c r="R21" s="533" t="n">
        <v>4536.17684675633</v>
      </c>
      <c r="S21" s="533" t="n">
        <v>600255.965466567</v>
      </c>
      <c r="T21" s="533" t="n">
        <v>49044.02304847</v>
      </c>
      <c r="U21" s="533" t="n">
        <v>5138.99673361</v>
      </c>
      <c r="V21" s="533" t="n">
        <v>654438.985248647</v>
      </c>
    </row>
    <row r="22" customFormat="false" ht="14.45" hidden="false" customHeight="true" outlineLevel="0" collapsed="false">
      <c r="A22" s="531" t="n">
        <v>2007</v>
      </c>
      <c r="B22" s="532" t="n">
        <v>68252.7785515407</v>
      </c>
      <c r="C22" s="532" t="n">
        <v>1848.7356047085</v>
      </c>
      <c r="D22" s="532" t="n">
        <v>35557.2953369975</v>
      </c>
      <c r="E22" s="532" t="n">
        <v>158820.960263646</v>
      </c>
      <c r="F22" s="532" t="n">
        <v>10991.1683171082</v>
      </c>
      <c r="G22" s="532" t="n">
        <v>46359.1941989149</v>
      </c>
      <c r="H22" s="532" t="n">
        <v>321830.132272916</v>
      </c>
      <c r="I22" s="532" t="n">
        <v>86317.842772604</v>
      </c>
      <c r="J22" s="532" t="n">
        <v>19968.7747089085</v>
      </c>
      <c r="K22" s="532" t="n">
        <v>64106.0167025791</v>
      </c>
      <c r="L22" s="532" t="n">
        <v>36366.1627172353</v>
      </c>
      <c r="M22" s="532" t="n">
        <v>81907.3878378824</v>
      </c>
      <c r="N22" s="532" t="n">
        <v>43697.8115098173</v>
      </c>
      <c r="O22" s="532" t="n">
        <v>61343.6276608217</v>
      </c>
      <c r="P22" s="532" t="n">
        <v>30629.8756129655</v>
      </c>
      <c r="Q22" s="532" t="n">
        <v>424337.499522814</v>
      </c>
      <c r="R22" s="532" t="n">
        <v>5851.45001879106</v>
      </c>
      <c r="S22" s="532" t="n">
        <v>740316.181776939</v>
      </c>
      <c r="T22" s="532" t="n">
        <v>65124.35473367</v>
      </c>
      <c r="U22" s="532" t="n">
        <v>7015.29175452267</v>
      </c>
      <c r="V22" s="532" t="n">
        <v>812455.828265131</v>
      </c>
    </row>
    <row r="23" customFormat="false" ht="14.45" hidden="false" customHeight="true" outlineLevel="0" collapsed="false">
      <c r="A23" s="522" t="n">
        <v>2008</v>
      </c>
      <c r="B23" s="533" t="n">
        <v>90780.0741270401</v>
      </c>
      <c r="C23" s="533" t="n">
        <v>2398.63074857338</v>
      </c>
      <c r="D23" s="533" t="n">
        <v>35687.8014431374</v>
      </c>
      <c r="E23" s="533" t="n">
        <v>201174.60317048</v>
      </c>
      <c r="F23" s="533" t="n">
        <v>12320.7460973612</v>
      </c>
      <c r="G23" s="533" t="n">
        <v>56553.9613760437</v>
      </c>
      <c r="H23" s="533" t="n">
        <v>398915.816962636</v>
      </c>
      <c r="I23" s="533" t="n">
        <v>112480.805890259</v>
      </c>
      <c r="J23" s="533" t="n">
        <v>25083.4689861811</v>
      </c>
      <c r="K23" s="533" t="n">
        <v>80278.8041192657</v>
      </c>
      <c r="L23" s="533" t="n">
        <v>48648.1330052317</v>
      </c>
      <c r="M23" s="533" t="n">
        <v>104244.302870625</v>
      </c>
      <c r="N23" s="533" t="n">
        <v>58186.4417385179</v>
      </c>
      <c r="O23" s="533" t="n">
        <v>81026.7723573203</v>
      </c>
      <c r="P23" s="533" t="n">
        <v>38343.4513284638</v>
      </c>
      <c r="Q23" s="533" t="n">
        <v>548292.180295865</v>
      </c>
      <c r="R23" s="533" t="n">
        <v>7702.36874834881</v>
      </c>
      <c r="S23" s="533" t="n">
        <v>939505.628510152</v>
      </c>
      <c r="T23" s="533" t="n">
        <v>84264.7224078669</v>
      </c>
      <c r="U23" s="533" t="n">
        <v>8987.90753415</v>
      </c>
      <c r="V23" s="533" t="n">
        <v>1032758.25845217</v>
      </c>
    </row>
    <row r="24" customFormat="false" ht="14.45" hidden="false" customHeight="true" outlineLevel="0" collapsed="false">
      <c r="A24" s="531" t="n">
        <v>2009</v>
      </c>
      <c r="B24" s="532" t="n">
        <v>77208.100449853</v>
      </c>
      <c r="C24" s="532" t="n">
        <v>2154.74867863036</v>
      </c>
      <c r="D24" s="532" t="n">
        <v>38511.8842659609</v>
      </c>
      <c r="E24" s="532" t="n">
        <v>224188.466363051</v>
      </c>
      <c r="F24" s="532" t="n">
        <v>13459.3485863685</v>
      </c>
      <c r="G24" s="532" t="n">
        <v>60158.0945528152</v>
      </c>
      <c r="H24" s="532" t="n">
        <v>415680.642896679</v>
      </c>
      <c r="I24" s="532" t="n">
        <v>128767.155889982</v>
      </c>
      <c r="J24" s="532" t="n">
        <v>27349.2380707805</v>
      </c>
      <c r="K24" s="532" t="n">
        <v>86695.2932873427</v>
      </c>
      <c r="L24" s="532" t="n">
        <v>59844.6501821563</v>
      </c>
      <c r="M24" s="532" t="n">
        <v>121024.494177614</v>
      </c>
      <c r="N24" s="532" t="n">
        <v>73169.5482144147</v>
      </c>
      <c r="O24" s="532" t="n">
        <v>97229.0225039704</v>
      </c>
      <c r="P24" s="532" t="n">
        <v>47883.799596951</v>
      </c>
      <c r="Q24" s="532" t="n">
        <v>641963.201923212</v>
      </c>
      <c r="R24" s="532" t="n">
        <v>10728.4166589917</v>
      </c>
      <c r="S24" s="532" t="n">
        <v>1046915.4281609</v>
      </c>
      <c r="T24" s="532" t="n">
        <v>90843.1199759808</v>
      </c>
      <c r="U24" s="532" t="n">
        <v>7699.78822951</v>
      </c>
      <c r="V24" s="532" t="n">
        <v>1145458.33636639</v>
      </c>
    </row>
    <row r="25" customFormat="false" ht="14.45" hidden="false" customHeight="true" outlineLevel="0" collapsed="false">
      <c r="A25" s="522" t="n">
        <v>2010</v>
      </c>
      <c r="B25" s="533" t="n">
        <v>129882.23087388</v>
      </c>
      <c r="C25" s="533" t="n">
        <v>2483.61655583175</v>
      </c>
      <c r="D25" s="533" t="n">
        <v>47727.0829563691</v>
      </c>
      <c r="E25" s="533" t="n">
        <v>271664.783464898</v>
      </c>
      <c r="F25" s="533" t="n">
        <v>15716.2677004291</v>
      </c>
      <c r="G25" s="533" t="n">
        <v>74212.0392285732</v>
      </c>
      <c r="H25" s="533" t="n">
        <v>541686.020779981</v>
      </c>
      <c r="I25" s="533" t="n">
        <v>161325.164096786</v>
      </c>
      <c r="J25" s="533" t="n">
        <v>33542.5246645752</v>
      </c>
      <c r="K25" s="533" t="n">
        <v>107326.350590656</v>
      </c>
      <c r="L25" s="533" t="n">
        <v>76645.8891127507</v>
      </c>
      <c r="M25" s="533" t="n">
        <v>140273.059854211</v>
      </c>
      <c r="N25" s="533" t="n">
        <v>91605.8847690828</v>
      </c>
      <c r="O25" s="533" t="n">
        <v>115803.429913002</v>
      </c>
      <c r="P25" s="533" t="n">
        <v>54990.8519257192</v>
      </c>
      <c r="Q25" s="533" t="n">
        <v>781513.154926782</v>
      </c>
      <c r="R25" s="533" t="n">
        <v>12124.2298847997</v>
      </c>
      <c r="S25" s="533" t="n">
        <v>1311074.94582196</v>
      </c>
      <c r="T25" s="533" t="n">
        <v>120152.120049821</v>
      </c>
      <c r="U25" s="533" t="n">
        <v>11428.31272538</v>
      </c>
      <c r="V25" s="533" t="n">
        <v>1442655.37859716</v>
      </c>
    </row>
    <row r="26" customFormat="false" ht="14.45" hidden="false" customHeight="true" outlineLevel="0" collapsed="false">
      <c r="A26" s="531" t="n">
        <v>2011</v>
      </c>
      <c r="B26" s="532" t="n">
        <v>176070.513571846</v>
      </c>
      <c r="C26" s="532" t="n">
        <v>2674.78489249564</v>
      </c>
      <c r="D26" s="532" t="n">
        <v>57584.794980529</v>
      </c>
      <c r="E26" s="532" t="n">
        <v>347309.283532116</v>
      </c>
      <c r="F26" s="532" t="n">
        <v>17902.1481996975</v>
      </c>
      <c r="G26" s="532" t="n">
        <v>96770.4843414731</v>
      </c>
      <c r="H26" s="532" t="n">
        <v>698312.009518158</v>
      </c>
      <c r="I26" s="532" t="n">
        <v>213361.958946026</v>
      </c>
      <c r="J26" s="532" t="n">
        <v>40240.5075971658</v>
      </c>
      <c r="K26" s="532" t="n">
        <v>134288.29719202</v>
      </c>
      <c r="L26" s="532" t="n">
        <v>95513.7638200788</v>
      </c>
      <c r="M26" s="532" t="n">
        <v>167997.297250804</v>
      </c>
      <c r="N26" s="532" t="n">
        <v>119634.708221635</v>
      </c>
      <c r="O26" s="532" t="n">
        <v>150508.603739094</v>
      </c>
      <c r="P26" s="532" t="n">
        <v>64762.1182266944</v>
      </c>
      <c r="Q26" s="532" t="n">
        <v>983795.699545134</v>
      </c>
      <c r="R26" s="532" t="n">
        <v>14523.2850935034</v>
      </c>
      <c r="S26" s="532" t="n">
        <v>1670095.97941817</v>
      </c>
      <c r="T26" s="532" t="n">
        <v>157333.301970892</v>
      </c>
      <c r="U26" s="532" t="n">
        <v>14592.85334816</v>
      </c>
      <c r="V26" s="532" t="n">
        <v>1842022.13473722</v>
      </c>
    </row>
    <row r="27" customFormat="false" ht="14.45" hidden="false" customHeight="true" outlineLevel="0" collapsed="false">
      <c r="A27" s="522" t="n">
        <v>2012</v>
      </c>
      <c r="B27" s="533" t="n">
        <v>174404.517809795</v>
      </c>
      <c r="C27" s="533" t="n">
        <v>2975.71232846414</v>
      </c>
      <c r="D27" s="533" t="n">
        <v>74593.0462148843</v>
      </c>
      <c r="E27" s="533" t="n">
        <v>383965.215478656</v>
      </c>
      <c r="F27" s="533" t="n">
        <v>20079.5296590194</v>
      </c>
      <c r="G27" s="533" t="n">
        <v>116776.277307058</v>
      </c>
      <c r="H27" s="533" t="n">
        <v>772794.298797877</v>
      </c>
      <c r="I27" s="533" t="n">
        <v>263817.597148416</v>
      </c>
      <c r="J27" s="533" t="n">
        <v>46204.8286171521</v>
      </c>
      <c r="K27" s="533" t="n">
        <v>155930.066979609</v>
      </c>
      <c r="L27" s="533" t="n">
        <v>126495.393383576</v>
      </c>
      <c r="M27" s="533" t="n">
        <v>189537.564829955</v>
      </c>
      <c r="N27" s="533" t="n">
        <v>153281.123520675</v>
      </c>
      <c r="O27" s="533" t="n">
        <v>187507.906417407</v>
      </c>
      <c r="P27" s="533" t="n">
        <v>76722.7989113428</v>
      </c>
      <c r="Q27" s="533" t="n">
        <v>1199497.27980813</v>
      </c>
      <c r="R27" s="533" t="n">
        <v>20270.3940166126</v>
      </c>
      <c r="S27" s="533" t="n">
        <v>1952021.1845894</v>
      </c>
      <c r="T27" s="533" t="n">
        <v>195723.339147558</v>
      </c>
      <c r="U27" s="533" t="n">
        <v>16501.35217658</v>
      </c>
      <c r="V27" s="533" t="n">
        <v>2164245.87591353</v>
      </c>
    </row>
    <row r="28" customFormat="false" ht="14.45" hidden="false" customHeight="true" outlineLevel="0" collapsed="false">
      <c r="B28" s="523"/>
      <c r="C28" s="523"/>
      <c r="D28" s="523"/>
      <c r="E28" s="523"/>
      <c r="F28" s="523"/>
      <c r="G28" s="523"/>
      <c r="H28" s="523"/>
      <c r="I28" s="523"/>
      <c r="J28" s="523"/>
      <c r="K28" s="523"/>
      <c r="L28" s="523"/>
      <c r="M28" s="523"/>
      <c r="N28" s="523"/>
      <c r="O28" s="523"/>
      <c r="P28" s="523"/>
      <c r="Q28" s="523"/>
      <c r="R28" s="523"/>
      <c r="S28" s="523"/>
      <c r="T28" s="523"/>
      <c r="U28" s="523"/>
      <c r="V28" s="523"/>
    </row>
    <row r="29" customFormat="false" ht="14.45" hidden="false" customHeight="true" outlineLevel="0" collapsed="false">
      <c r="B29" s="523"/>
      <c r="C29" s="523"/>
      <c r="D29" s="523"/>
      <c r="E29" s="523"/>
      <c r="F29" s="523"/>
      <c r="G29" s="523"/>
      <c r="H29" s="523"/>
      <c r="I29" s="523"/>
      <c r="J29" s="523"/>
      <c r="K29" s="523"/>
      <c r="L29" s="523"/>
      <c r="M29" s="523"/>
      <c r="N29" s="523"/>
      <c r="O29" s="523"/>
      <c r="P29" s="523"/>
      <c r="Q29" s="523"/>
      <c r="R29" s="523"/>
      <c r="S29" s="523"/>
      <c r="T29" s="523"/>
      <c r="U29" s="523"/>
      <c r="V29" s="523"/>
    </row>
    <row r="30" customFormat="false" ht="14.45" hidden="false" customHeight="true" outlineLevel="0" collapsed="false">
      <c r="B30" s="523"/>
      <c r="C30" s="523"/>
      <c r="D30" s="523"/>
      <c r="E30" s="523"/>
      <c r="F30" s="523"/>
      <c r="G30" s="523"/>
      <c r="H30" s="523"/>
      <c r="I30" s="523"/>
      <c r="J30" s="523"/>
      <c r="K30" s="523"/>
      <c r="L30" s="523"/>
      <c r="M30" s="523"/>
      <c r="N30" s="523"/>
      <c r="O30" s="523"/>
      <c r="P30" s="523"/>
      <c r="Q30" s="523"/>
      <c r="R30" s="523"/>
      <c r="S30" s="523"/>
      <c r="T30" s="523"/>
      <c r="U30" s="523"/>
      <c r="V30" s="523"/>
    </row>
    <row r="31" customFormat="false" ht="14.45" hidden="false" customHeight="true" outlineLevel="0" collapsed="false">
      <c r="B31" s="523"/>
      <c r="C31" s="523"/>
      <c r="D31" s="523"/>
      <c r="E31" s="523"/>
      <c r="F31" s="523"/>
      <c r="G31" s="523"/>
      <c r="H31" s="523"/>
      <c r="I31" s="523"/>
      <c r="J31" s="523"/>
      <c r="K31" s="523"/>
      <c r="L31" s="523"/>
      <c r="M31" s="523"/>
      <c r="N31" s="523"/>
      <c r="O31" s="523"/>
      <c r="P31" s="523"/>
      <c r="Q31" s="523"/>
      <c r="R31" s="523"/>
      <c r="S31" s="523"/>
      <c r="T31" s="523"/>
      <c r="U31" s="523"/>
      <c r="V31" s="523"/>
    </row>
    <row r="32" customFormat="false" ht="14.45" hidden="false" customHeight="true" outlineLevel="0" collapsed="false">
      <c r="B32" s="523"/>
      <c r="C32" s="523"/>
      <c r="D32" s="523"/>
      <c r="E32" s="523"/>
      <c r="F32" s="523"/>
      <c r="G32" s="523"/>
      <c r="H32" s="523"/>
      <c r="I32" s="523"/>
      <c r="J32" s="523"/>
      <c r="K32" s="523"/>
      <c r="L32" s="523"/>
      <c r="M32" s="523"/>
      <c r="N32" s="523"/>
      <c r="O32" s="523"/>
      <c r="P32" s="523"/>
      <c r="Q32" s="523"/>
      <c r="R32" s="523"/>
      <c r="S32" s="523"/>
      <c r="T32" s="523"/>
      <c r="U32" s="523"/>
      <c r="V32" s="523"/>
    </row>
    <row r="33" customFormat="false" ht="14.45" hidden="false" customHeight="true" outlineLevel="0" collapsed="false">
      <c r="B33" s="523"/>
      <c r="C33" s="523"/>
      <c r="D33" s="523"/>
      <c r="E33" s="523"/>
      <c r="F33" s="523"/>
      <c r="G33" s="523"/>
      <c r="H33" s="523"/>
      <c r="I33" s="523"/>
      <c r="J33" s="523"/>
      <c r="K33" s="523"/>
      <c r="L33" s="523"/>
      <c r="M33" s="523"/>
      <c r="N33" s="523"/>
      <c r="O33" s="523"/>
      <c r="P33" s="523"/>
      <c r="Q33" s="523"/>
      <c r="R33" s="523"/>
      <c r="S33" s="523"/>
      <c r="T33" s="523"/>
      <c r="U33" s="523"/>
      <c r="V33" s="523"/>
    </row>
    <row r="34" customFormat="false" ht="14.45" hidden="false" customHeight="true" outlineLevel="0" collapsed="false">
      <c r="B34" s="523"/>
      <c r="C34" s="523"/>
      <c r="D34" s="523"/>
      <c r="E34" s="523"/>
      <c r="F34" s="523"/>
      <c r="G34" s="523"/>
      <c r="H34" s="523"/>
      <c r="I34" s="523"/>
      <c r="J34" s="523"/>
      <c r="K34" s="523"/>
      <c r="L34" s="523"/>
      <c r="M34" s="523"/>
      <c r="N34" s="523"/>
      <c r="O34" s="523"/>
      <c r="P34" s="523"/>
      <c r="Q34" s="523"/>
      <c r="R34" s="523"/>
      <c r="S34" s="523"/>
      <c r="T34" s="523"/>
      <c r="U34" s="523"/>
      <c r="V34" s="523"/>
    </row>
    <row r="35" customFormat="false" ht="14.45" hidden="false" customHeight="true" outlineLevel="0" collapsed="false">
      <c r="B35" s="523"/>
      <c r="C35" s="523"/>
      <c r="D35" s="523"/>
      <c r="E35" s="523"/>
      <c r="F35" s="523"/>
      <c r="G35" s="523"/>
      <c r="H35" s="523"/>
      <c r="I35" s="523"/>
      <c r="J35" s="523"/>
      <c r="K35" s="523"/>
      <c r="L35" s="523"/>
      <c r="M35" s="523"/>
      <c r="N35" s="523"/>
      <c r="O35" s="523"/>
      <c r="P35" s="523"/>
      <c r="Q35" s="523"/>
      <c r="R35" s="523"/>
      <c r="S35" s="523"/>
      <c r="T35" s="523"/>
      <c r="U35" s="523"/>
      <c r="V35" s="523"/>
    </row>
    <row r="36" customFormat="false" ht="14.45" hidden="false" customHeight="true" outlineLevel="0" collapsed="false">
      <c r="B36" s="523"/>
      <c r="C36" s="523"/>
      <c r="D36" s="523"/>
      <c r="E36" s="523"/>
      <c r="F36" s="523"/>
      <c r="G36" s="523"/>
      <c r="H36" s="523"/>
      <c r="I36" s="523"/>
      <c r="J36" s="523"/>
      <c r="K36" s="523"/>
      <c r="L36" s="523"/>
      <c r="M36" s="523"/>
      <c r="N36" s="523"/>
      <c r="O36" s="523"/>
      <c r="P36" s="523"/>
      <c r="Q36" s="523"/>
      <c r="R36" s="523"/>
      <c r="S36" s="523"/>
      <c r="T36" s="523"/>
      <c r="U36" s="523"/>
      <c r="V36" s="523"/>
    </row>
    <row r="37" customFormat="false" ht="14.45" hidden="false" customHeight="true" outlineLevel="0" collapsed="false">
      <c r="B37" s="523"/>
      <c r="C37" s="523"/>
      <c r="D37" s="523"/>
      <c r="E37" s="523"/>
      <c r="F37" s="523"/>
      <c r="G37" s="523"/>
      <c r="H37" s="523"/>
      <c r="I37" s="523"/>
      <c r="J37" s="523"/>
      <c r="K37" s="523"/>
      <c r="L37" s="523"/>
      <c r="M37" s="523"/>
      <c r="N37" s="523"/>
      <c r="O37" s="523"/>
      <c r="P37" s="523"/>
      <c r="Q37" s="523"/>
      <c r="R37" s="523"/>
      <c r="S37" s="523"/>
      <c r="T37" s="523"/>
      <c r="U37" s="523"/>
      <c r="V37" s="523"/>
    </row>
    <row r="38" customFormat="false" ht="14.45" hidden="false" customHeight="true" outlineLevel="0" collapsed="false">
      <c r="B38" s="523"/>
      <c r="C38" s="523"/>
      <c r="D38" s="523"/>
      <c r="E38" s="523"/>
      <c r="F38" s="523"/>
      <c r="G38" s="523"/>
      <c r="H38" s="523"/>
      <c r="I38" s="523"/>
      <c r="J38" s="523"/>
      <c r="K38" s="523"/>
      <c r="L38" s="523"/>
      <c r="M38" s="523"/>
      <c r="N38" s="523"/>
      <c r="O38" s="523"/>
      <c r="P38" s="523"/>
      <c r="Q38" s="523"/>
      <c r="R38" s="523"/>
      <c r="S38" s="523"/>
      <c r="T38" s="523"/>
      <c r="U38" s="523"/>
      <c r="V38" s="523"/>
    </row>
    <row r="39" customFormat="false" ht="14.45" hidden="false" customHeight="true" outlineLevel="0" collapsed="false">
      <c r="B39" s="523"/>
      <c r="C39" s="523"/>
      <c r="D39" s="523"/>
      <c r="E39" s="523"/>
      <c r="F39" s="523"/>
      <c r="G39" s="523"/>
      <c r="H39" s="523"/>
      <c r="I39" s="523"/>
      <c r="J39" s="523"/>
      <c r="K39" s="523"/>
      <c r="L39" s="523"/>
      <c r="M39" s="523"/>
      <c r="N39" s="523"/>
      <c r="O39" s="523"/>
      <c r="P39" s="523"/>
      <c r="Q39" s="523"/>
      <c r="R39" s="523"/>
      <c r="S39" s="523"/>
      <c r="T39" s="523"/>
      <c r="U39" s="523"/>
      <c r="V39" s="523"/>
    </row>
    <row r="40" customFormat="false" ht="14.45" hidden="false" customHeight="true" outlineLevel="0" collapsed="false">
      <c r="B40" s="523"/>
      <c r="C40" s="523"/>
      <c r="D40" s="523"/>
      <c r="E40" s="523"/>
      <c r="F40" s="523"/>
      <c r="G40" s="523"/>
      <c r="H40" s="523"/>
      <c r="I40" s="523"/>
      <c r="J40" s="523"/>
      <c r="K40" s="523"/>
      <c r="L40" s="523"/>
      <c r="M40" s="523"/>
      <c r="N40" s="523"/>
      <c r="O40" s="523"/>
      <c r="P40" s="523"/>
      <c r="Q40" s="523"/>
      <c r="R40" s="523"/>
      <c r="S40" s="523"/>
      <c r="T40" s="523"/>
      <c r="U40" s="523"/>
      <c r="V40" s="523"/>
    </row>
    <row r="41" customFormat="false" ht="14.45" hidden="false" customHeight="true" outlineLevel="0" collapsed="false">
      <c r="A41" s="534" t="s">
        <v>684</v>
      </c>
      <c r="B41" s="532" t="n">
        <v>10593.3364423192</v>
      </c>
      <c r="C41" s="532" t="n">
        <v>347.581824989081</v>
      </c>
      <c r="D41" s="532" t="n">
        <v>3517.98904645593</v>
      </c>
      <c r="E41" s="532" t="n">
        <v>37557.9227846807</v>
      </c>
      <c r="F41" s="532" t="n">
        <v>4682.00762508434</v>
      </c>
      <c r="G41" s="532" t="n">
        <v>12705.0985601483</v>
      </c>
      <c r="H41" s="532" t="n">
        <v>69403.9362836776</v>
      </c>
      <c r="I41" s="532" t="n">
        <v>30076.4726086732</v>
      </c>
      <c r="J41" s="532" t="n">
        <v>5407.86969608665</v>
      </c>
      <c r="K41" s="532" t="n">
        <v>14633.6789596002</v>
      </c>
      <c r="L41" s="532" t="n">
        <v>8842.43353192685</v>
      </c>
      <c r="M41" s="532" t="n">
        <v>29826.3705126771</v>
      </c>
      <c r="N41" s="532" t="n">
        <v>14134.9674320128</v>
      </c>
      <c r="O41" s="532" t="n">
        <v>14755.0480640527</v>
      </c>
      <c r="P41" s="532" t="n">
        <v>11608.4555185599</v>
      </c>
      <c r="Q41" s="532" t="n">
        <v>129285.296323589</v>
      </c>
      <c r="R41" s="532" t="n">
        <v>3221.82989456542</v>
      </c>
      <c r="S41" s="532" t="n">
        <v>195467.402712702</v>
      </c>
      <c r="T41" s="532" t="n">
        <v>15056.959296</v>
      </c>
      <c r="U41" s="532" t="n">
        <v>2102.532096</v>
      </c>
      <c r="V41" s="532" t="n">
        <v>212626.894104702</v>
      </c>
    </row>
    <row r="42" customFormat="false" ht="14.45" hidden="false" customHeight="true" outlineLevel="0" collapsed="false">
      <c r="A42" s="535" t="s">
        <v>685</v>
      </c>
      <c r="B42" s="533" t="n">
        <v>13966.159540995</v>
      </c>
      <c r="C42" s="533" t="n">
        <v>521.570632812903</v>
      </c>
      <c r="D42" s="533" t="n">
        <v>3683.97475976772</v>
      </c>
      <c r="E42" s="533" t="n">
        <v>44349.1390076841</v>
      </c>
      <c r="F42" s="533" t="n">
        <v>4788.11634296932</v>
      </c>
      <c r="G42" s="533" t="n">
        <v>13361.3771112986</v>
      </c>
      <c r="H42" s="533" t="n">
        <v>80670.3373955276</v>
      </c>
      <c r="I42" s="533" t="n">
        <v>35434.4906695017</v>
      </c>
      <c r="J42" s="533" t="n">
        <v>4994.17119498407</v>
      </c>
      <c r="K42" s="533" t="n">
        <v>15985.4564000654</v>
      </c>
      <c r="L42" s="533" t="n">
        <v>8855.0502331952</v>
      </c>
      <c r="M42" s="533" t="n">
        <v>34040.0328715467</v>
      </c>
      <c r="N42" s="533" t="n">
        <v>14407.8610714547</v>
      </c>
      <c r="O42" s="533" t="n">
        <v>18892.8948442082</v>
      </c>
      <c r="P42" s="533" t="n">
        <v>12791.9392884638</v>
      </c>
      <c r="Q42" s="533" t="n">
        <v>145401.89657342</v>
      </c>
      <c r="R42" s="533" t="n">
        <v>3266.00597810046</v>
      </c>
      <c r="S42" s="533" t="n">
        <v>222806.227990847</v>
      </c>
      <c r="T42" s="533" t="n">
        <v>16048.347944</v>
      </c>
      <c r="U42" s="533" t="n">
        <v>2400.703304</v>
      </c>
      <c r="V42" s="533" t="n">
        <v>241255.279238847</v>
      </c>
    </row>
    <row r="43" customFormat="false" ht="14.45" hidden="false" customHeight="true" outlineLevel="0" collapsed="false">
      <c r="A43" s="534" t="s">
        <v>686</v>
      </c>
      <c r="B43" s="532" t="n">
        <v>10909.1002181901</v>
      </c>
      <c r="C43" s="532" t="n">
        <v>413.502506197986</v>
      </c>
      <c r="D43" s="532" t="n">
        <v>3587.01161078371</v>
      </c>
      <c r="E43" s="532" t="n">
        <v>45211.4569999022</v>
      </c>
      <c r="F43" s="532" t="n">
        <v>4811.03522445705</v>
      </c>
      <c r="G43" s="532" t="n">
        <v>13449.393991283</v>
      </c>
      <c r="H43" s="532" t="n">
        <v>78381.500550814</v>
      </c>
      <c r="I43" s="532" t="n">
        <v>34735.8185937394</v>
      </c>
      <c r="J43" s="532" t="n">
        <v>5520.28153521813</v>
      </c>
      <c r="K43" s="532" t="n">
        <v>16635.8275197693</v>
      </c>
      <c r="L43" s="532" t="n">
        <v>9387.99264524151</v>
      </c>
      <c r="M43" s="532" t="n">
        <v>35562.7102570058</v>
      </c>
      <c r="N43" s="532" t="n">
        <v>14501.8190939142</v>
      </c>
      <c r="O43" s="532" t="n">
        <v>19149.5923087086</v>
      </c>
      <c r="P43" s="532" t="n">
        <v>13227.3462830109</v>
      </c>
      <c r="Q43" s="532" t="n">
        <v>148721.388236608</v>
      </c>
      <c r="R43" s="532" t="n">
        <v>3313.06608993456</v>
      </c>
      <c r="S43" s="532" t="n">
        <v>223789.822697487</v>
      </c>
      <c r="T43" s="532" t="n">
        <v>17124.367264</v>
      </c>
      <c r="U43" s="532" t="n">
        <v>2580.03968799998</v>
      </c>
      <c r="V43" s="532" t="n">
        <v>243494.229649487</v>
      </c>
    </row>
    <row r="44" customFormat="false" ht="14.45" hidden="false" customHeight="true" outlineLevel="0" collapsed="false">
      <c r="A44" s="535" t="s">
        <v>687</v>
      </c>
      <c r="B44" s="533" t="n">
        <v>11479.1638810111</v>
      </c>
      <c r="C44" s="533" t="n">
        <v>364.98531304873</v>
      </c>
      <c r="D44" s="533" t="n">
        <v>3319.87719874398</v>
      </c>
      <c r="E44" s="533" t="n">
        <v>45434.6729585249</v>
      </c>
      <c r="F44" s="533" t="n">
        <v>4114.97972159767</v>
      </c>
      <c r="G44" s="533" t="n">
        <v>14055.8624612702</v>
      </c>
      <c r="H44" s="533" t="n">
        <v>78769.5415341966</v>
      </c>
      <c r="I44" s="533" t="n">
        <v>35203.2069014342</v>
      </c>
      <c r="J44" s="533" t="n">
        <v>5804.84014448343</v>
      </c>
      <c r="K44" s="533" t="n">
        <v>17280.4385823355</v>
      </c>
      <c r="L44" s="533" t="n">
        <v>10110.6724892418</v>
      </c>
      <c r="M44" s="533" t="n">
        <v>37097.7639827231</v>
      </c>
      <c r="N44" s="533" t="n">
        <v>15203.6615272683</v>
      </c>
      <c r="O44" s="533" t="n">
        <v>19922.5040811378</v>
      </c>
      <c r="P44" s="533" t="n">
        <v>13578.7288229209</v>
      </c>
      <c r="Q44" s="533" t="n">
        <v>154201.816531545</v>
      </c>
      <c r="R44" s="533" t="n">
        <v>3843.20631971019</v>
      </c>
      <c r="S44" s="533" t="n">
        <v>229128.151746031</v>
      </c>
      <c r="T44" s="533" t="n">
        <v>16836.885132</v>
      </c>
      <c r="U44" s="533" t="n">
        <v>2678.48262</v>
      </c>
      <c r="V44" s="533" t="n">
        <v>248643.519498031</v>
      </c>
    </row>
    <row r="45" customFormat="false" ht="14.45" hidden="false" customHeight="true" outlineLevel="0" collapsed="false">
      <c r="A45" s="534" t="s">
        <v>688</v>
      </c>
      <c r="B45" s="532" t="n">
        <v>10925.1986984974</v>
      </c>
      <c r="C45" s="532" t="n">
        <v>370.640836095181</v>
      </c>
      <c r="D45" s="532" t="n">
        <v>3091.96696111663</v>
      </c>
      <c r="E45" s="532" t="n">
        <v>41438.1945373803</v>
      </c>
      <c r="F45" s="532" t="n">
        <v>4440.88019086882</v>
      </c>
      <c r="G45" s="532" t="n">
        <v>13462.9264581817</v>
      </c>
      <c r="H45" s="532" t="n">
        <v>73729.8076821401</v>
      </c>
      <c r="I45" s="532" t="n">
        <v>33419.8028050053</v>
      </c>
      <c r="J45" s="532" t="n">
        <v>6462.44071801808</v>
      </c>
      <c r="K45" s="532" t="n">
        <v>16873.0399702012</v>
      </c>
      <c r="L45" s="532" t="n">
        <v>7821.20478630565</v>
      </c>
      <c r="M45" s="532" t="n">
        <v>36496.9101848491</v>
      </c>
      <c r="N45" s="532" t="n">
        <v>15233.6802339055</v>
      </c>
      <c r="O45" s="532" t="n">
        <v>15942.8526811173</v>
      </c>
      <c r="P45" s="532" t="n">
        <v>12390.7591423021</v>
      </c>
      <c r="Q45" s="532" t="n">
        <v>144640.690521704</v>
      </c>
      <c r="R45" s="532" t="n">
        <v>2488.98107075287</v>
      </c>
      <c r="S45" s="532" t="n">
        <v>215881.517133091</v>
      </c>
      <c r="T45" s="532" t="n">
        <v>16747.055728</v>
      </c>
      <c r="U45" s="532" t="n">
        <v>2454.541936</v>
      </c>
      <c r="V45" s="532" t="n">
        <v>235083.114797091</v>
      </c>
    </row>
    <row r="46" customFormat="false" ht="14.45" hidden="false" customHeight="true" outlineLevel="0" collapsed="false">
      <c r="A46" s="535" t="s">
        <v>689</v>
      </c>
      <c r="B46" s="533" t="n">
        <v>15547.1271470858</v>
      </c>
      <c r="C46" s="533" t="n">
        <v>525.129322258939</v>
      </c>
      <c r="D46" s="533" t="n">
        <v>3723.01886454004</v>
      </c>
      <c r="E46" s="533" t="n">
        <v>46218.5958163665</v>
      </c>
      <c r="F46" s="533" t="n">
        <v>4878.02995676569</v>
      </c>
      <c r="G46" s="533" t="n">
        <v>14486.9843140521</v>
      </c>
      <c r="H46" s="533" t="n">
        <v>85378.8854210691</v>
      </c>
      <c r="I46" s="533" t="n">
        <v>38017.6371226485</v>
      </c>
      <c r="J46" s="533" t="n">
        <v>5757.28998480839</v>
      </c>
      <c r="K46" s="533" t="n">
        <v>18236.7314729088</v>
      </c>
      <c r="L46" s="533" t="n">
        <v>9157.3053953698</v>
      </c>
      <c r="M46" s="533" t="n">
        <v>39992.9774340778</v>
      </c>
      <c r="N46" s="533" t="n">
        <v>15300.1031404124</v>
      </c>
      <c r="O46" s="533" t="n">
        <v>20469.8789849892</v>
      </c>
      <c r="P46" s="533" t="n">
        <v>13769.3302730962</v>
      </c>
      <c r="Q46" s="533" t="n">
        <v>160701.253808311</v>
      </c>
      <c r="R46" s="533" t="n">
        <v>3315.5650069065</v>
      </c>
      <c r="S46" s="533" t="n">
        <v>242764.574222474</v>
      </c>
      <c r="T46" s="533" t="n">
        <v>17948.290364</v>
      </c>
      <c r="U46" s="533" t="n">
        <v>2971.548764</v>
      </c>
      <c r="V46" s="533" t="n">
        <v>263684.413350474</v>
      </c>
    </row>
    <row r="47" customFormat="false" ht="14.45" hidden="false" customHeight="true" outlineLevel="0" collapsed="false">
      <c r="A47" s="534" t="s">
        <v>690</v>
      </c>
      <c r="B47" s="532" t="n">
        <v>11335.007404339</v>
      </c>
      <c r="C47" s="532" t="n">
        <v>550.159529457737</v>
      </c>
      <c r="D47" s="532" t="n">
        <v>4131.31414705517</v>
      </c>
      <c r="E47" s="532" t="n">
        <v>47620.9255282657</v>
      </c>
      <c r="F47" s="532" t="n">
        <v>5244.06006867762</v>
      </c>
      <c r="G47" s="532" t="n">
        <v>14217.5214239815</v>
      </c>
      <c r="H47" s="532" t="n">
        <v>83098.9881017767</v>
      </c>
      <c r="I47" s="532" t="n">
        <v>37131.9046447875</v>
      </c>
      <c r="J47" s="532" t="n">
        <v>6093.12358702466</v>
      </c>
      <c r="K47" s="532" t="n">
        <v>18516.571302676</v>
      </c>
      <c r="L47" s="532" t="n">
        <v>9452.04497212208</v>
      </c>
      <c r="M47" s="532" t="n">
        <v>40453.9660441776</v>
      </c>
      <c r="N47" s="532" t="n">
        <v>15477.108432526</v>
      </c>
      <c r="O47" s="532" t="n">
        <v>20505.4067869068</v>
      </c>
      <c r="P47" s="532" t="n">
        <v>13877.3806377659</v>
      </c>
      <c r="Q47" s="532" t="n">
        <v>161507.506407987</v>
      </c>
      <c r="R47" s="532" t="n">
        <v>3758.50585913291</v>
      </c>
      <c r="S47" s="532" t="n">
        <v>240847.98865063</v>
      </c>
      <c r="T47" s="532" t="n">
        <v>17219.17654</v>
      </c>
      <c r="U47" s="532" t="n">
        <v>2802.465928</v>
      </c>
      <c r="V47" s="532" t="n">
        <v>260869.63111863</v>
      </c>
    </row>
    <row r="48" customFormat="false" ht="14.45" hidden="false" customHeight="true" outlineLevel="0" collapsed="false">
      <c r="A48" s="535" t="s">
        <v>691</v>
      </c>
      <c r="B48" s="533" t="n">
        <v>12629.220037118</v>
      </c>
      <c r="C48" s="533" t="n">
        <v>456.798829288582</v>
      </c>
      <c r="D48" s="533" t="n">
        <v>4333.95184509826</v>
      </c>
      <c r="E48" s="533" t="n">
        <v>48216.1627661633</v>
      </c>
      <c r="F48" s="533" t="n">
        <v>4925.01803856486</v>
      </c>
      <c r="G48" s="533" t="n">
        <v>15078.1924944159</v>
      </c>
      <c r="H48" s="533" t="n">
        <v>85639.3440106488</v>
      </c>
      <c r="I48" s="533" t="n">
        <v>37702.0671692115</v>
      </c>
      <c r="J48" s="533" t="n">
        <v>6607.35197744531</v>
      </c>
      <c r="K48" s="533" t="n">
        <v>19378.9912764411</v>
      </c>
      <c r="L48" s="533" t="n">
        <v>9590.22464533771</v>
      </c>
      <c r="M48" s="533" t="n">
        <v>42450.3223377544</v>
      </c>
      <c r="N48" s="533" t="n">
        <v>16263.2551430201</v>
      </c>
      <c r="O48" s="533" t="n">
        <v>21600.6676422064</v>
      </c>
      <c r="P48" s="533" t="n">
        <v>13795.0183502952</v>
      </c>
      <c r="Q48" s="533" t="n">
        <v>167387.898541712</v>
      </c>
      <c r="R48" s="533" t="n">
        <v>3297.31827813978</v>
      </c>
      <c r="S48" s="533" t="n">
        <v>249729.924274221</v>
      </c>
      <c r="T48" s="533" t="n">
        <v>17548.18624</v>
      </c>
      <c r="U48" s="533" t="n">
        <v>2844.567648</v>
      </c>
      <c r="V48" s="533" t="n">
        <v>270122.678162221</v>
      </c>
    </row>
    <row r="49" customFormat="false" ht="14.45" hidden="false" customHeight="true" outlineLevel="0" collapsed="false">
      <c r="A49" s="534" t="s">
        <v>692</v>
      </c>
      <c r="B49" s="532" t="n">
        <v>12468.7355076636</v>
      </c>
      <c r="C49" s="532" t="n">
        <v>489.737531533721</v>
      </c>
      <c r="D49" s="532" t="n">
        <v>4268.45444053809</v>
      </c>
      <c r="E49" s="532" t="n">
        <v>43287.296662033</v>
      </c>
      <c r="F49" s="532" t="n">
        <v>4994.75867360655</v>
      </c>
      <c r="G49" s="532" t="n">
        <v>14064.9103651049</v>
      </c>
      <c r="H49" s="532" t="n">
        <v>79573.8931804799</v>
      </c>
      <c r="I49" s="532" t="n">
        <v>34700.865929634</v>
      </c>
      <c r="J49" s="532" t="n">
        <v>7135.61275739846</v>
      </c>
      <c r="K49" s="532" t="n">
        <v>18939.9879942094</v>
      </c>
      <c r="L49" s="532" t="n">
        <v>10353.9424591289</v>
      </c>
      <c r="M49" s="532" t="n">
        <v>39818.1273546601</v>
      </c>
      <c r="N49" s="532" t="n">
        <v>15550.3240880171</v>
      </c>
      <c r="O49" s="532" t="n">
        <v>16472.7412467618</v>
      </c>
      <c r="P49" s="532" t="n">
        <v>12617.452000992</v>
      </c>
      <c r="Q49" s="532" t="n">
        <v>155589.053830802</v>
      </c>
      <c r="R49" s="532" t="n">
        <v>4013.64018050443</v>
      </c>
      <c r="S49" s="532" t="n">
        <v>231149.306830777</v>
      </c>
      <c r="T49" s="532" t="n">
        <v>17205.293816</v>
      </c>
      <c r="U49" s="532" t="n">
        <v>2051.345592</v>
      </c>
      <c r="V49" s="532" t="n">
        <v>250405.946238777</v>
      </c>
    </row>
    <row r="50" customFormat="false" ht="14.45" hidden="false" customHeight="true" outlineLevel="0" collapsed="false">
      <c r="A50" s="535" t="s">
        <v>693</v>
      </c>
      <c r="B50" s="533" t="n">
        <v>15424.2691866465</v>
      </c>
      <c r="C50" s="533" t="n">
        <v>754.229200662142</v>
      </c>
      <c r="D50" s="533" t="n">
        <v>4962.91639254217</v>
      </c>
      <c r="E50" s="533" t="n">
        <v>44541.2289929983</v>
      </c>
      <c r="F50" s="533" t="n">
        <v>5208.24016584946</v>
      </c>
      <c r="G50" s="533" t="n">
        <v>13455.5696740765</v>
      </c>
      <c r="H50" s="533" t="n">
        <v>84346.4536127751</v>
      </c>
      <c r="I50" s="533" t="n">
        <v>35463.2055891459</v>
      </c>
      <c r="J50" s="533" t="n">
        <v>5670.0696723812</v>
      </c>
      <c r="K50" s="533" t="n">
        <v>19280.6971086931</v>
      </c>
      <c r="L50" s="533" t="n">
        <v>9828.05801247106</v>
      </c>
      <c r="M50" s="533" t="n">
        <v>41008.9823410295</v>
      </c>
      <c r="N50" s="533" t="n">
        <v>15151.4984624323</v>
      </c>
      <c r="O50" s="533" t="n">
        <v>21540.9439087214</v>
      </c>
      <c r="P50" s="533" t="n">
        <v>13398.1973159633</v>
      </c>
      <c r="Q50" s="533" t="n">
        <v>161341.652410838</v>
      </c>
      <c r="R50" s="533" t="n">
        <v>3720.43990797186</v>
      </c>
      <c r="S50" s="533" t="n">
        <v>241967.666115641</v>
      </c>
      <c r="T50" s="533" t="n">
        <v>17625.275084</v>
      </c>
      <c r="U50" s="533" t="n">
        <v>2009.976808</v>
      </c>
      <c r="V50" s="533" t="n">
        <v>261602.918007641</v>
      </c>
    </row>
    <row r="51" customFormat="false" ht="14.45" hidden="false" customHeight="true" outlineLevel="0" collapsed="false">
      <c r="A51" s="534" t="s">
        <v>694</v>
      </c>
      <c r="B51" s="532" t="n">
        <v>10807.5139264259</v>
      </c>
      <c r="C51" s="532" t="n">
        <v>500.388073606901</v>
      </c>
      <c r="D51" s="532" t="n">
        <v>5279.82380723819</v>
      </c>
      <c r="E51" s="532" t="n">
        <v>45108.8112519069</v>
      </c>
      <c r="F51" s="532" t="n">
        <v>5365.96272253962</v>
      </c>
      <c r="G51" s="532" t="n">
        <v>13189.2446036149</v>
      </c>
      <c r="H51" s="532" t="n">
        <v>80251.7443853325</v>
      </c>
      <c r="I51" s="532" t="n">
        <v>34405.97711843</v>
      </c>
      <c r="J51" s="532" t="n">
        <v>5852.79003531066</v>
      </c>
      <c r="K51" s="532" t="n">
        <v>18770.994059179</v>
      </c>
      <c r="L51" s="532" t="n">
        <v>9055.57470861021</v>
      </c>
      <c r="M51" s="532" t="n">
        <v>42460.2014766924</v>
      </c>
      <c r="N51" s="532" t="n">
        <v>15464.7259436983</v>
      </c>
      <c r="O51" s="532" t="n">
        <v>21365.8579344382</v>
      </c>
      <c r="P51" s="532" t="n">
        <v>13563.646384216</v>
      </c>
      <c r="Q51" s="532" t="n">
        <v>160939.767660575</v>
      </c>
      <c r="R51" s="532" t="n">
        <v>3246.47397120999</v>
      </c>
      <c r="S51" s="532" t="n">
        <v>237945.038074697</v>
      </c>
      <c r="T51" s="532" t="n">
        <v>17081.330436</v>
      </c>
      <c r="U51" s="532" t="n">
        <v>1841.971224</v>
      </c>
      <c r="V51" s="532" t="n">
        <v>256868.339734697</v>
      </c>
    </row>
    <row r="52" customFormat="false" ht="14.45" hidden="false" customHeight="true" outlineLevel="0" collapsed="false">
      <c r="A52" s="535" t="s">
        <v>695</v>
      </c>
      <c r="B52" s="533" t="n">
        <v>14313.1407186876</v>
      </c>
      <c r="C52" s="533" t="n">
        <v>475.897166722108</v>
      </c>
      <c r="D52" s="533" t="n">
        <v>4842.20823421947</v>
      </c>
      <c r="E52" s="533" t="n">
        <v>45071.0483996909</v>
      </c>
      <c r="F52" s="533" t="n">
        <v>4875.11385545914</v>
      </c>
      <c r="G52" s="533" t="n">
        <v>12946.3050799013</v>
      </c>
      <c r="H52" s="533" t="n">
        <v>82523.7134546805</v>
      </c>
      <c r="I52" s="533" t="n">
        <v>35250.8454184952</v>
      </c>
      <c r="J52" s="533" t="n">
        <v>6314.65395542697</v>
      </c>
      <c r="K52" s="533" t="n">
        <v>19248.047395211</v>
      </c>
      <c r="L52" s="533" t="n">
        <v>10239.8342897192</v>
      </c>
      <c r="M52" s="533" t="n">
        <v>42592.7067627879</v>
      </c>
      <c r="N52" s="533" t="n">
        <v>16261.3719803615</v>
      </c>
      <c r="O52" s="533" t="n">
        <v>21692.9381130724</v>
      </c>
      <c r="P52" s="533" t="n">
        <v>13170.4092206182</v>
      </c>
      <c r="Q52" s="533" t="n">
        <v>164770.807135692</v>
      </c>
      <c r="R52" s="533" t="n">
        <v>3907.85264614906</v>
      </c>
      <c r="S52" s="533" t="n">
        <v>243386.667944224</v>
      </c>
      <c r="T52" s="533" t="n">
        <v>17856.962728</v>
      </c>
      <c r="U52" s="533" t="n">
        <v>2006.70548</v>
      </c>
      <c r="V52" s="533" t="n">
        <v>263250.336152224</v>
      </c>
    </row>
    <row r="53" customFormat="false" ht="14.45" hidden="false" customHeight="true" outlineLevel="0" collapsed="false">
      <c r="A53" s="534" t="s">
        <v>696</v>
      </c>
      <c r="B53" s="532" t="n">
        <v>12978.1021399776</v>
      </c>
      <c r="C53" s="532" t="n">
        <v>465.661164498806</v>
      </c>
      <c r="D53" s="532" t="n">
        <v>5196.16225377834</v>
      </c>
      <c r="E53" s="532" t="n">
        <v>42875.4491219119</v>
      </c>
      <c r="F53" s="532" t="n">
        <v>4936.77128834261</v>
      </c>
      <c r="G53" s="532" t="n">
        <v>12769.5838732695</v>
      </c>
      <c r="H53" s="532" t="n">
        <v>79221.7298417788</v>
      </c>
      <c r="I53" s="532" t="n">
        <v>34040.8350459126</v>
      </c>
      <c r="J53" s="532" t="n">
        <v>7253.49649668034</v>
      </c>
      <c r="K53" s="532" t="n">
        <v>18871.5856655056</v>
      </c>
      <c r="L53" s="532" t="n">
        <v>9653.22711943099</v>
      </c>
      <c r="M53" s="532" t="n">
        <v>40384.3083436656</v>
      </c>
      <c r="N53" s="532" t="n">
        <v>15202.0494590114</v>
      </c>
      <c r="O53" s="532" t="n">
        <v>16792.0418288744</v>
      </c>
      <c r="P53" s="532" t="n">
        <v>12539.9705615494</v>
      </c>
      <c r="Q53" s="532" t="n">
        <v>154737.51452063</v>
      </c>
      <c r="R53" s="532" t="n">
        <v>3482.82355792091</v>
      </c>
      <c r="S53" s="532" t="n">
        <v>230476.420804488</v>
      </c>
      <c r="T53" s="532" t="n">
        <v>18853.279732</v>
      </c>
      <c r="U53" s="532" t="n">
        <v>1870.28814</v>
      </c>
      <c r="V53" s="532" t="n">
        <v>251199.988676488</v>
      </c>
    </row>
    <row r="54" customFormat="false" ht="14.45" hidden="false" customHeight="true" outlineLevel="0" collapsed="false">
      <c r="A54" s="535" t="s">
        <v>697</v>
      </c>
      <c r="B54" s="533" t="n">
        <v>20909.0307541441</v>
      </c>
      <c r="C54" s="533" t="n">
        <v>888.961018943194</v>
      </c>
      <c r="D54" s="533" t="n">
        <v>5909.34564982099</v>
      </c>
      <c r="E54" s="533" t="n">
        <v>48346.3044627792</v>
      </c>
      <c r="F54" s="533" t="n">
        <v>5332.00762496974</v>
      </c>
      <c r="G54" s="533" t="n">
        <v>13001.9759149465</v>
      </c>
      <c r="H54" s="533" t="n">
        <v>94387.6254256038</v>
      </c>
      <c r="I54" s="533" t="n">
        <v>38862.690692861</v>
      </c>
      <c r="J54" s="533" t="n">
        <v>6183.90460373462</v>
      </c>
      <c r="K54" s="533" t="n">
        <v>20354.2748900176</v>
      </c>
      <c r="L54" s="533" t="n">
        <v>9737.34442947929</v>
      </c>
      <c r="M54" s="533" t="n">
        <v>43053.3886911514</v>
      </c>
      <c r="N54" s="533" t="n">
        <v>15216.4542157329</v>
      </c>
      <c r="O54" s="533" t="n">
        <v>21787.957399885</v>
      </c>
      <c r="P54" s="533" t="n">
        <v>13718.9980374066</v>
      </c>
      <c r="Q54" s="533" t="n">
        <v>168915.012960268</v>
      </c>
      <c r="R54" s="533" t="n">
        <v>3519.71580812589</v>
      </c>
      <c r="S54" s="533" t="n">
        <v>259782.922577746</v>
      </c>
      <c r="T54" s="533" t="n">
        <v>18323.876476</v>
      </c>
      <c r="U54" s="533" t="n">
        <v>2060.337392</v>
      </c>
      <c r="V54" s="533" t="n">
        <v>280167.136445746</v>
      </c>
    </row>
    <row r="55" customFormat="false" ht="14.45" hidden="false" customHeight="true" outlineLevel="0" collapsed="false">
      <c r="A55" s="534" t="s">
        <v>698</v>
      </c>
      <c r="B55" s="532" t="n">
        <v>11964.9915696038</v>
      </c>
      <c r="C55" s="532" t="n">
        <v>550.437227539681</v>
      </c>
      <c r="D55" s="532" t="n">
        <v>6057.9263826629</v>
      </c>
      <c r="E55" s="532" t="n">
        <v>49181.4114777852</v>
      </c>
      <c r="F55" s="532" t="n">
        <v>5643.52222997977</v>
      </c>
      <c r="G55" s="532" t="n">
        <v>13779.5327032638</v>
      </c>
      <c r="H55" s="532" t="n">
        <v>87177.8215908351</v>
      </c>
      <c r="I55" s="532" t="n">
        <v>38626.0898189408</v>
      </c>
      <c r="J55" s="532" t="n">
        <v>6603.95582070244</v>
      </c>
      <c r="K55" s="532" t="n">
        <v>20838.319784497</v>
      </c>
      <c r="L55" s="532" t="n">
        <v>9822.77137444985</v>
      </c>
      <c r="M55" s="532" t="n">
        <v>42636.7359468242</v>
      </c>
      <c r="N55" s="532" t="n">
        <v>15192.0742724181</v>
      </c>
      <c r="O55" s="532" t="n">
        <v>21556.5942930558</v>
      </c>
      <c r="P55" s="532" t="n">
        <v>14093.8991836862</v>
      </c>
      <c r="Q55" s="532" t="n">
        <v>169370.440494574</v>
      </c>
      <c r="R55" s="532" t="n">
        <v>3461.03881439852</v>
      </c>
      <c r="S55" s="532" t="n">
        <v>253087.223271011</v>
      </c>
      <c r="T55" s="532" t="n">
        <v>19035.006</v>
      </c>
      <c r="U55" s="532" t="n">
        <v>2380.117496</v>
      </c>
      <c r="V55" s="532" t="n">
        <v>274502.346767011</v>
      </c>
    </row>
    <row r="56" customFormat="false" ht="14.45" hidden="false" customHeight="true" outlineLevel="0" collapsed="false">
      <c r="A56" s="535" t="s">
        <v>699</v>
      </c>
      <c r="B56" s="533" t="n">
        <v>12803.9483750962</v>
      </c>
      <c r="C56" s="533" t="n">
        <v>518.699973003036</v>
      </c>
      <c r="D56" s="533" t="n">
        <v>6392.19770329676</v>
      </c>
      <c r="E56" s="533" t="n">
        <v>50490.5435357431</v>
      </c>
      <c r="F56" s="533" t="n">
        <v>5017.43411554448</v>
      </c>
      <c r="G56" s="533" t="n">
        <v>14556.1807784241</v>
      </c>
      <c r="H56" s="533" t="n">
        <v>89779.0044811077</v>
      </c>
      <c r="I56" s="533" t="n">
        <v>39485.0796465361</v>
      </c>
      <c r="J56" s="533" t="n">
        <v>7107.80550016624</v>
      </c>
      <c r="K56" s="533" t="n">
        <v>21941.2211498135</v>
      </c>
      <c r="L56" s="533" t="n">
        <v>10113.8970000125</v>
      </c>
      <c r="M56" s="533" t="n">
        <v>44097.7362682084</v>
      </c>
      <c r="N56" s="533" t="n">
        <v>16378.6931521903</v>
      </c>
      <c r="O56" s="533" t="n">
        <v>21670.8973293593</v>
      </c>
      <c r="P56" s="533" t="n">
        <v>14048.0258064626</v>
      </c>
      <c r="Q56" s="533" t="n">
        <v>174843.355852749</v>
      </c>
      <c r="R56" s="533" t="n">
        <v>3570.52489787863</v>
      </c>
      <c r="S56" s="533" t="n">
        <v>261051.835435978</v>
      </c>
      <c r="T56" s="533" t="n">
        <v>19088.230356</v>
      </c>
      <c r="U56" s="533" t="n">
        <v>2589.49356399999</v>
      </c>
      <c r="V56" s="533" t="n">
        <v>282729.559355978</v>
      </c>
    </row>
    <row r="57" customFormat="false" ht="14.45" hidden="false" customHeight="true" outlineLevel="0" collapsed="false">
      <c r="A57" s="534" t="s">
        <v>700</v>
      </c>
      <c r="B57" s="532" t="n">
        <v>12782.4121866857</v>
      </c>
      <c r="C57" s="532" t="n">
        <v>511.704989650354</v>
      </c>
      <c r="D57" s="532" t="n">
        <v>6187.40967206367</v>
      </c>
      <c r="E57" s="532" t="n">
        <v>48000.2354573532</v>
      </c>
      <c r="F57" s="532" t="n">
        <v>5208.93478208921</v>
      </c>
      <c r="G57" s="532" t="n">
        <v>13641.289825275</v>
      </c>
      <c r="H57" s="532" t="n">
        <v>86331.9869131171</v>
      </c>
      <c r="I57" s="532" t="n">
        <v>37701.4682883639</v>
      </c>
      <c r="J57" s="532" t="n">
        <v>8064.27273075109</v>
      </c>
      <c r="K57" s="532" t="n">
        <v>21068.9518778107</v>
      </c>
      <c r="L57" s="532" t="n">
        <v>10468.1268498359</v>
      </c>
      <c r="M57" s="532" t="n">
        <v>42995.4862192816</v>
      </c>
      <c r="N57" s="532" t="n">
        <v>15474.4189469006</v>
      </c>
      <c r="O57" s="532" t="n">
        <v>17494.9397853873</v>
      </c>
      <c r="P57" s="532" t="n">
        <v>12828.6584921015</v>
      </c>
      <c r="Q57" s="532" t="n">
        <v>166096.323190433</v>
      </c>
      <c r="R57" s="532" t="n">
        <v>3545.8410663717</v>
      </c>
      <c r="S57" s="532" t="n">
        <v>248882.469037178</v>
      </c>
      <c r="T57" s="532" t="n">
        <v>19918.501716</v>
      </c>
      <c r="U57" s="532" t="n">
        <v>2459.485556</v>
      </c>
      <c r="V57" s="532" t="n">
        <v>271260.456309178</v>
      </c>
    </row>
    <row r="58" customFormat="false" ht="14.45" hidden="false" customHeight="true" outlineLevel="0" collapsed="false">
      <c r="A58" s="535" t="s">
        <v>701</v>
      </c>
      <c r="B58" s="533" t="n">
        <v>19063.5194189482</v>
      </c>
      <c r="C58" s="533" t="n">
        <v>1176.82413249154</v>
      </c>
      <c r="D58" s="533" t="n">
        <v>5625.68430574714</v>
      </c>
      <c r="E58" s="533" t="n">
        <v>54201.2167150321</v>
      </c>
      <c r="F58" s="533" t="n">
        <v>5612.66412229766</v>
      </c>
      <c r="G58" s="533" t="n">
        <v>14843.6841760171</v>
      </c>
      <c r="H58" s="533" t="n">
        <v>100523.592870534</v>
      </c>
      <c r="I58" s="533" t="n">
        <v>42613.3547172775</v>
      </c>
      <c r="J58" s="533" t="n">
        <v>6966.8453038882</v>
      </c>
      <c r="K58" s="533" t="n">
        <v>22648.6508371315</v>
      </c>
      <c r="L58" s="533" t="n">
        <v>10310.2016115781</v>
      </c>
      <c r="M58" s="533" t="n">
        <v>44940.2052250497</v>
      </c>
      <c r="N58" s="533" t="n">
        <v>15522.8093807269</v>
      </c>
      <c r="O58" s="533" t="n">
        <v>22236.4282875001</v>
      </c>
      <c r="P58" s="533" t="n">
        <v>14748.3651678431</v>
      </c>
      <c r="Q58" s="533" t="n">
        <v>179986.860530995</v>
      </c>
      <c r="R58" s="533" t="n">
        <v>3564.18787030475</v>
      </c>
      <c r="S58" s="533" t="n">
        <v>276946.265531224</v>
      </c>
      <c r="T58" s="533" t="n">
        <v>20154.63324</v>
      </c>
      <c r="U58" s="533" t="n">
        <v>2771.64</v>
      </c>
      <c r="V58" s="533" t="n">
        <v>299872.538771224</v>
      </c>
    </row>
    <row r="59" customFormat="false" ht="14.45" hidden="false" customHeight="true" outlineLevel="0" collapsed="false">
      <c r="A59" s="534" t="s">
        <v>702</v>
      </c>
      <c r="B59" s="532" t="n">
        <v>13075.1487708487</v>
      </c>
      <c r="C59" s="532" t="n">
        <v>558.638259056328</v>
      </c>
      <c r="D59" s="532" t="n">
        <v>5401.78434320678</v>
      </c>
      <c r="E59" s="532" t="n">
        <v>55525.2463279039</v>
      </c>
      <c r="F59" s="532" t="n">
        <v>5741.90216095222</v>
      </c>
      <c r="G59" s="532" t="n">
        <v>15490.7432779576</v>
      </c>
      <c r="H59" s="532" t="n">
        <v>95793.4631399255</v>
      </c>
      <c r="I59" s="532" t="n">
        <v>42419.4387737261</v>
      </c>
      <c r="J59" s="532" t="n">
        <v>7480.74489053934</v>
      </c>
      <c r="K59" s="532" t="n">
        <v>23742.6790398884</v>
      </c>
      <c r="L59" s="532" t="n">
        <v>10049.7239442148</v>
      </c>
      <c r="M59" s="532" t="n">
        <v>44798.7807050261</v>
      </c>
      <c r="N59" s="532" t="n">
        <v>15833.1205484131</v>
      </c>
      <c r="O59" s="532" t="n">
        <v>22756.1815959881</v>
      </c>
      <c r="P59" s="532" t="n">
        <v>14633.5293175753</v>
      </c>
      <c r="Q59" s="532" t="n">
        <v>181714.198815371</v>
      </c>
      <c r="R59" s="532" t="n">
        <v>3570.53738665437</v>
      </c>
      <c r="S59" s="532" t="n">
        <v>273937.124568642</v>
      </c>
      <c r="T59" s="532" t="n">
        <v>21303.92914</v>
      </c>
      <c r="U59" s="532" t="n">
        <v>3023.9378</v>
      </c>
      <c r="V59" s="532" t="n">
        <v>298264.991508642</v>
      </c>
    </row>
    <row r="60" customFormat="false" ht="14.45" hidden="false" customHeight="true" outlineLevel="0" collapsed="false">
      <c r="A60" s="535" t="s">
        <v>703</v>
      </c>
      <c r="B60" s="533" t="n">
        <v>13578.3356928878</v>
      </c>
      <c r="C60" s="533" t="n">
        <v>425.47784731744</v>
      </c>
      <c r="D60" s="533" t="n">
        <v>5315.25792245337</v>
      </c>
      <c r="E60" s="533" t="n">
        <v>55801.551478306</v>
      </c>
      <c r="F60" s="533" t="n">
        <v>5443.29728234977</v>
      </c>
      <c r="G60" s="533" t="n">
        <v>16345.4559543355</v>
      </c>
      <c r="H60" s="533" t="n">
        <v>96909.3761776499</v>
      </c>
      <c r="I60" s="533" t="n">
        <v>43173.1229460799</v>
      </c>
      <c r="J60" s="533" t="n">
        <v>8062.65049756965</v>
      </c>
      <c r="K60" s="533" t="n">
        <v>24347.3190918663</v>
      </c>
      <c r="L60" s="533" t="n">
        <v>9637.1205982452</v>
      </c>
      <c r="M60" s="533" t="n">
        <v>45532.5469877218</v>
      </c>
      <c r="N60" s="533" t="n">
        <v>16608.6472913371</v>
      </c>
      <c r="O60" s="533" t="n">
        <v>22978.4410086767</v>
      </c>
      <c r="P60" s="533" t="n">
        <v>14673.1771652578</v>
      </c>
      <c r="Q60" s="533" t="n">
        <v>185013.025586754</v>
      </c>
      <c r="R60" s="533" t="n">
        <v>3456.33024327807</v>
      </c>
      <c r="S60" s="533" t="n">
        <v>278466.071521126</v>
      </c>
      <c r="T60" s="533" t="n">
        <v>20518.431972</v>
      </c>
      <c r="U60" s="533" t="n">
        <v>3053.019236</v>
      </c>
      <c r="V60" s="533" t="n">
        <v>302037.522729126</v>
      </c>
    </row>
    <row r="61" customFormat="false" ht="14.45" hidden="false" customHeight="true" outlineLevel="0" collapsed="false">
      <c r="A61" s="534" t="s">
        <v>704</v>
      </c>
      <c r="B61" s="532" t="n">
        <v>13022.1864547358</v>
      </c>
      <c r="C61" s="532" t="n">
        <v>525.786391371633</v>
      </c>
      <c r="D61" s="532" t="n">
        <v>5034.6512049747</v>
      </c>
      <c r="E61" s="532" t="n">
        <v>50139.4230665737</v>
      </c>
      <c r="F61" s="532" t="n">
        <v>5586.35400867396</v>
      </c>
      <c r="G61" s="532" t="n">
        <v>15519.4811451277</v>
      </c>
      <c r="H61" s="532" t="n">
        <v>89827.8822714575</v>
      </c>
      <c r="I61" s="532" t="n">
        <v>39339.0436160527</v>
      </c>
      <c r="J61" s="532" t="n">
        <v>8763.97597928908</v>
      </c>
      <c r="K61" s="532" t="n">
        <v>23176.0101903429</v>
      </c>
      <c r="L61" s="532" t="n">
        <v>10143.9706450673</v>
      </c>
      <c r="M61" s="532" t="n">
        <v>44155.1672973472</v>
      </c>
      <c r="N61" s="532" t="n">
        <v>16327.5054297238</v>
      </c>
      <c r="O61" s="532" t="n">
        <v>17684.2227176477</v>
      </c>
      <c r="P61" s="532" t="n">
        <v>13160.6398710926</v>
      </c>
      <c r="Q61" s="532" t="n">
        <v>172750.535746563</v>
      </c>
      <c r="R61" s="532" t="n">
        <v>3499.03270289289</v>
      </c>
      <c r="S61" s="532" t="n">
        <v>259079.385315128</v>
      </c>
      <c r="T61" s="532" t="n">
        <v>21064.06066828</v>
      </c>
      <c r="U61" s="532" t="n">
        <v>2620.78631516</v>
      </c>
      <c r="V61" s="532" t="n">
        <v>282764.232298568</v>
      </c>
    </row>
    <row r="62" customFormat="false" ht="14.45" hidden="false" customHeight="true" outlineLevel="0" collapsed="false">
      <c r="A62" s="535" t="s">
        <v>705</v>
      </c>
      <c r="B62" s="533" t="n">
        <v>21520.0285859787</v>
      </c>
      <c r="C62" s="533" t="n">
        <v>910.541083696614</v>
      </c>
      <c r="D62" s="533" t="n">
        <v>4368.91996641446</v>
      </c>
      <c r="E62" s="533" t="n">
        <v>55475.8995437589</v>
      </c>
      <c r="F62" s="533" t="n">
        <v>5927.4614473411</v>
      </c>
      <c r="G62" s="533" t="n">
        <v>16242.8375226532</v>
      </c>
      <c r="H62" s="533" t="n">
        <v>104445.688149843</v>
      </c>
      <c r="I62" s="533" t="n">
        <v>44845.7159851109</v>
      </c>
      <c r="J62" s="533" t="n">
        <v>7761.98764733217</v>
      </c>
      <c r="K62" s="533" t="n">
        <v>25065.9811850778</v>
      </c>
      <c r="L62" s="533" t="n">
        <v>11125.3264145539</v>
      </c>
      <c r="M62" s="533" t="n">
        <v>45560.3991723578</v>
      </c>
      <c r="N62" s="533" t="n">
        <v>16549.9738238434</v>
      </c>
      <c r="O62" s="533" t="n">
        <v>22894.9490666851</v>
      </c>
      <c r="P62" s="533" t="n">
        <v>14304.5298031431</v>
      </c>
      <c r="Q62" s="533" t="n">
        <v>188108.863098104</v>
      </c>
      <c r="R62" s="533" t="n">
        <v>3959.91609498849</v>
      </c>
      <c r="S62" s="533" t="n">
        <v>288594.635152959</v>
      </c>
      <c r="T62" s="533" t="n">
        <v>20864.93838452</v>
      </c>
      <c r="U62" s="533" t="n">
        <v>2669.53749556</v>
      </c>
      <c r="V62" s="533" t="n">
        <v>312129.111033039</v>
      </c>
    </row>
    <row r="63" customFormat="false" ht="14.45" hidden="false" customHeight="true" outlineLevel="0" collapsed="false">
      <c r="A63" s="534" t="s">
        <v>706</v>
      </c>
      <c r="B63" s="532" t="n">
        <v>14387.720900694</v>
      </c>
      <c r="C63" s="532" t="n">
        <v>639.195800304331</v>
      </c>
      <c r="D63" s="532" t="n">
        <v>4190.98918971351</v>
      </c>
      <c r="E63" s="532" t="n">
        <v>55015.8331651835</v>
      </c>
      <c r="F63" s="532" t="n">
        <v>6001.07461974819</v>
      </c>
      <c r="G63" s="532" t="n">
        <v>16875.3342742413</v>
      </c>
      <c r="H63" s="532" t="n">
        <v>97110.1479498848</v>
      </c>
      <c r="I63" s="532" t="n">
        <v>43034.8826064372</v>
      </c>
      <c r="J63" s="532" t="n">
        <v>8043.48711486891</v>
      </c>
      <c r="K63" s="532" t="n">
        <v>24787.108246447</v>
      </c>
      <c r="L63" s="532" t="n">
        <v>11818.8143385731</v>
      </c>
      <c r="M63" s="532" t="n">
        <v>45590.1748651178</v>
      </c>
      <c r="N63" s="532" t="n">
        <v>16720.1954776025</v>
      </c>
      <c r="O63" s="532" t="n">
        <v>23696.8855807147</v>
      </c>
      <c r="P63" s="532" t="n">
        <v>14993.8602299766</v>
      </c>
      <c r="Q63" s="532" t="n">
        <v>188685.408459738</v>
      </c>
      <c r="R63" s="532" t="n">
        <v>4775.25344741165</v>
      </c>
      <c r="S63" s="532" t="n">
        <v>281020.302962211</v>
      </c>
      <c r="T63" s="532" t="n">
        <v>21605.40980684</v>
      </c>
      <c r="U63" s="532" t="n">
        <v>2849.0555476</v>
      </c>
      <c r="V63" s="532" t="n">
        <v>305474.768316651</v>
      </c>
    </row>
    <row r="64" customFormat="false" ht="14.45" hidden="false" customHeight="true" outlineLevel="0" collapsed="false">
      <c r="A64" s="535" t="s">
        <v>707</v>
      </c>
      <c r="B64" s="533" t="n">
        <v>11320.4553940534</v>
      </c>
      <c r="C64" s="533" t="n">
        <v>485.774303231938</v>
      </c>
      <c r="D64" s="533" t="n">
        <v>3651.35524203363</v>
      </c>
      <c r="E64" s="533" t="n">
        <v>52673.9031171659</v>
      </c>
      <c r="F64" s="533" t="n">
        <v>5769.51995765483</v>
      </c>
      <c r="G64" s="533" t="n">
        <v>16948.8122486691</v>
      </c>
      <c r="H64" s="533" t="n">
        <v>90849.8202628087</v>
      </c>
      <c r="I64" s="533" t="n">
        <v>40715.1815750971</v>
      </c>
      <c r="J64" s="533" t="n">
        <v>8434.26797364761</v>
      </c>
      <c r="K64" s="533" t="n">
        <v>24532.3047946825</v>
      </c>
      <c r="L64" s="533" t="n">
        <v>11404.7886505166</v>
      </c>
      <c r="M64" s="533" t="n">
        <v>45513.1935123089</v>
      </c>
      <c r="N64" s="533" t="n">
        <v>17227.950072348</v>
      </c>
      <c r="O64" s="533" t="n">
        <v>24132.3534891212</v>
      </c>
      <c r="P64" s="533" t="n">
        <v>14382.4055948027</v>
      </c>
      <c r="Q64" s="533" t="n">
        <v>186342.445662525</v>
      </c>
      <c r="R64" s="533" t="n">
        <v>4488.13384987732</v>
      </c>
      <c r="S64" s="533" t="n">
        <v>272704.132075456</v>
      </c>
      <c r="T64" s="533" t="n">
        <v>19895.02274268</v>
      </c>
      <c r="U64" s="533" t="n">
        <v>2826.16775044</v>
      </c>
      <c r="V64" s="533" t="n">
        <v>295425.322568576</v>
      </c>
    </row>
    <row r="65" customFormat="false" ht="14.45" hidden="false" customHeight="true" outlineLevel="0" collapsed="false">
      <c r="A65" s="534" t="s">
        <v>708</v>
      </c>
      <c r="B65" s="532" t="n">
        <v>11594.6603131419</v>
      </c>
      <c r="C65" s="532" t="n">
        <v>517.649027484273</v>
      </c>
      <c r="D65" s="532" t="n">
        <v>3703.31000808117</v>
      </c>
      <c r="E65" s="532" t="n">
        <v>46083.466905034</v>
      </c>
      <c r="F65" s="532" t="n">
        <v>5847.89891361635</v>
      </c>
      <c r="G65" s="532" t="n">
        <v>15129.4965346558</v>
      </c>
      <c r="H65" s="532" t="n">
        <v>82876.4817020135</v>
      </c>
      <c r="I65" s="532" t="n">
        <v>35914.6974650582</v>
      </c>
      <c r="J65" s="532" t="n">
        <v>8944.25662948272</v>
      </c>
      <c r="K65" s="532" t="n">
        <v>22600.3544507707</v>
      </c>
      <c r="L65" s="532" t="n">
        <v>10662.0886527222</v>
      </c>
      <c r="M65" s="532" t="n">
        <v>43186.4226216196</v>
      </c>
      <c r="N65" s="532" t="n">
        <v>17172.8130716471</v>
      </c>
      <c r="O65" s="532" t="n">
        <v>18792.7625468414</v>
      </c>
      <c r="P65" s="532" t="n">
        <v>12969.6829732885</v>
      </c>
      <c r="Q65" s="532" t="n">
        <v>170243.07841143</v>
      </c>
      <c r="R65" s="532" t="n">
        <v>3937.97413414804</v>
      </c>
      <c r="S65" s="532" t="n">
        <v>249181.585979296</v>
      </c>
      <c r="T65" s="532" t="n">
        <v>19331.799132</v>
      </c>
      <c r="U65" s="532" t="n">
        <v>2233.00450764</v>
      </c>
      <c r="V65" s="532" t="n">
        <v>270746.389618936</v>
      </c>
    </row>
    <row r="66" customFormat="false" ht="14.45" hidden="false" customHeight="true" outlineLevel="0" collapsed="false">
      <c r="A66" s="535" t="s">
        <v>709</v>
      </c>
      <c r="B66" s="533" t="n">
        <v>16798.5362830269</v>
      </c>
      <c r="C66" s="533" t="n">
        <v>835.452868802287</v>
      </c>
      <c r="D66" s="533" t="n">
        <v>4455.95514569549</v>
      </c>
      <c r="E66" s="533" t="n">
        <v>47847.4077654132</v>
      </c>
      <c r="F66" s="533" t="n">
        <v>6343.48669088756</v>
      </c>
      <c r="G66" s="533" t="n">
        <v>15937.0961596124</v>
      </c>
      <c r="H66" s="533" t="n">
        <v>92217.9349134378</v>
      </c>
      <c r="I66" s="533" t="n">
        <v>38624.5905337416</v>
      </c>
      <c r="J66" s="533" t="n">
        <v>7287.05952866404</v>
      </c>
      <c r="K66" s="533" t="n">
        <v>23464.7948088876</v>
      </c>
      <c r="L66" s="533" t="n">
        <v>11542.1107935715</v>
      </c>
      <c r="M66" s="533" t="n">
        <v>44565.235025511</v>
      </c>
      <c r="N66" s="533" t="n">
        <v>16873.8922496514</v>
      </c>
      <c r="O66" s="533" t="n">
        <v>23953.2402305853</v>
      </c>
      <c r="P66" s="533" t="n">
        <v>14275.4769298572</v>
      </c>
      <c r="Q66" s="533" t="n">
        <v>180586.40010047</v>
      </c>
      <c r="R66" s="533" t="n">
        <v>4338.40527495962</v>
      </c>
      <c r="S66" s="533" t="n">
        <v>268465.929738948</v>
      </c>
      <c r="T66" s="533" t="n">
        <v>18248.65122428</v>
      </c>
      <c r="U66" s="533" t="n">
        <v>2115.27497292</v>
      </c>
      <c r="V66" s="533" t="n">
        <v>288829.855936148</v>
      </c>
    </row>
    <row r="67" customFormat="false" ht="14.45" hidden="false" customHeight="true" outlineLevel="0" collapsed="false">
      <c r="A67" s="534" t="s">
        <v>710</v>
      </c>
      <c r="B67" s="532" t="n">
        <v>10801.2375233505</v>
      </c>
      <c r="C67" s="532" t="n">
        <v>461.730666263681</v>
      </c>
      <c r="D67" s="532" t="n">
        <v>5174.49390973788</v>
      </c>
      <c r="E67" s="532" t="n">
        <v>47891.8298165123</v>
      </c>
      <c r="F67" s="532" t="n">
        <v>6353.1717852782</v>
      </c>
      <c r="G67" s="532" t="n">
        <v>15144.0050785611</v>
      </c>
      <c r="H67" s="532" t="n">
        <v>85826.4687797036</v>
      </c>
      <c r="I67" s="532" t="n">
        <v>37546.7032932426</v>
      </c>
      <c r="J67" s="532" t="n">
        <v>7495.14430128352</v>
      </c>
      <c r="K67" s="532" t="n">
        <v>23632.4354649432</v>
      </c>
      <c r="L67" s="532" t="n">
        <v>12397.3576874277</v>
      </c>
      <c r="M67" s="532" t="n">
        <v>44915.1705148543</v>
      </c>
      <c r="N67" s="532" t="n">
        <v>17364.9277742683</v>
      </c>
      <c r="O67" s="532" t="n">
        <v>24884.5899795172</v>
      </c>
      <c r="P67" s="532" t="n">
        <v>14971.977276515</v>
      </c>
      <c r="Q67" s="532" t="n">
        <v>183208.306292052</v>
      </c>
      <c r="R67" s="532" t="n">
        <v>5114.35310456716</v>
      </c>
      <c r="S67" s="532" t="n">
        <v>263920.421967188</v>
      </c>
      <c r="T67" s="532" t="n">
        <v>18826.53967456</v>
      </c>
      <c r="U67" s="532" t="n">
        <v>2340.05974892</v>
      </c>
      <c r="V67" s="532" t="n">
        <v>285087.021390668</v>
      </c>
    </row>
    <row r="68" customFormat="false" ht="14.45" hidden="false" customHeight="true" outlineLevel="0" collapsed="false">
      <c r="A68" s="535" t="s">
        <v>711</v>
      </c>
      <c r="B68" s="533" t="n">
        <v>9127.13454168125</v>
      </c>
      <c r="C68" s="533" t="n">
        <v>419.447935832498</v>
      </c>
      <c r="D68" s="533" t="n">
        <v>5363.34916131462</v>
      </c>
      <c r="E68" s="533" t="n">
        <v>50536.5942573563</v>
      </c>
      <c r="F68" s="533" t="n">
        <v>5987.43682801884</v>
      </c>
      <c r="G68" s="533" t="n">
        <v>15260.8692140658</v>
      </c>
      <c r="H68" s="533" t="n">
        <v>86694.8319382693</v>
      </c>
      <c r="I68" s="533" t="n">
        <v>38561.4077873834</v>
      </c>
      <c r="J68" s="533" t="n">
        <v>8136.01996943129</v>
      </c>
      <c r="K68" s="533" t="n">
        <v>24242.2805691051</v>
      </c>
      <c r="L68" s="533" t="n">
        <v>11470.295303499</v>
      </c>
      <c r="M68" s="533" t="n">
        <v>45377.3888938312</v>
      </c>
      <c r="N68" s="533" t="n">
        <v>18600.1934850893</v>
      </c>
      <c r="O68" s="533" t="n">
        <v>25106.7988973258</v>
      </c>
      <c r="P68" s="533" t="n">
        <v>14477.1030760592</v>
      </c>
      <c r="Q68" s="533" t="n">
        <v>185971.487981724</v>
      </c>
      <c r="R68" s="533" t="n">
        <v>4337.2866609259</v>
      </c>
      <c r="S68" s="533" t="n">
        <v>268329.033259068</v>
      </c>
      <c r="T68" s="533" t="n">
        <v>18677.15648148</v>
      </c>
      <c r="U68" s="533" t="n">
        <v>2422.6392364</v>
      </c>
      <c r="V68" s="533" t="n">
        <v>289428.828976948</v>
      </c>
    </row>
    <row r="69" customFormat="false" ht="14.45" hidden="false" customHeight="true" outlineLevel="0" collapsed="false">
      <c r="A69" s="534" t="s">
        <v>712</v>
      </c>
      <c r="B69" s="532" t="n">
        <v>9600.67319435496</v>
      </c>
      <c r="C69" s="532" t="n">
        <v>619.817399089537</v>
      </c>
      <c r="D69" s="532" t="n">
        <v>6686.7593132588</v>
      </c>
      <c r="E69" s="532" t="n">
        <v>45330.3127319658</v>
      </c>
      <c r="F69" s="532" t="n">
        <v>6030.59763171108</v>
      </c>
      <c r="G69" s="532" t="n">
        <v>13717.690948108</v>
      </c>
      <c r="H69" s="532" t="n">
        <v>81985.8512184881</v>
      </c>
      <c r="I69" s="532" t="n">
        <v>34703.7309859461</v>
      </c>
      <c r="J69" s="532" t="n">
        <v>8851.41405071694</v>
      </c>
      <c r="K69" s="532" t="n">
        <v>23252.5905329648</v>
      </c>
      <c r="L69" s="532" t="n">
        <v>11088.9739766863</v>
      </c>
      <c r="M69" s="532" t="n">
        <v>43573.3917399065</v>
      </c>
      <c r="N69" s="532" t="n">
        <v>17621.5272474232</v>
      </c>
      <c r="O69" s="532" t="n">
        <v>19394.6449185004</v>
      </c>
      <c r="P69" s="532" t="n">
        <v>13237.839264244</v>
      </c>
      <c r="Q69" s="532" t="n">
        <v>171724.112716388</v>
      </c>
      <c r="R69" s="532" t="n">
        <v>3850.84849703121</v>
      </c>
      <c r="S69" s="532" t="n">
        <v>249859.115437845</v>
      </c>
      <c r="T69" s="532" t="n">
        <v>18579.5003076</v>
      </c>
      <c r="U69" s="532" t="n">
        <v>2005.68231664</v>
      </c>
      <c r="V69" s="532" t="n">
        <v>270444.298062085</v>
      </c>
    </row>
    <row r="70" customFormat="false" ht="14.45" hidden="false" customHeight="true" outlineLevel="0" collapsed="false">
      <c r="A70" s="535" t="s">
        <v>713</v>
      </c>
      <c r="B70" s="533" t="n">
        <v>18974.0006286287</v>
      </c>
      <c r="C70" s="533" t="n">
        <v>865.549054036838</v>
      </c>
      <c r="D70" s="533" t="n">
        <v>6924.13503858612</v>
      </c>
      <c r="E70" s="533" t="n">
        <v>46663.6442146197</v>
      </c>
      <c r="F70" s="533" t="n">
        <v>6788.57310153227</v>
      </c>
      <c r="G70" s="533" t="n">
        <v>12981.0383550448</v>
      </c>
      <c r="H70" s="533" t="n">
        <v>93196.9403924484</v>
      </c>
      <c r="I70" s="533" t="n">
        <v>37158.8158329964</v>
      </c>
      <c r="J70" s="533" t="n">
        <v>7215.84876513724</v>
      </c>
      <c r="K70" s="533" t="n">
        <v>24381.9477608633</v>
      </c>
      <c r="L70" s="533" t="n">
        <v>11630.2327227681</v>
      </c>
      <c r="M70" s="533" t="n">
        <v>44263.571131019</v>
      </c>
      <c r="N70" s="533" t="n">
        <v>17477.9741669152</v>
      </c>
      <c r="O70" s="533" t="n">
        <v>25077.4183668645</v>
      </c>
      <c r="P70" s="533" t="n">
        <v>14400.3168293001</v>
      </c>
      <c r="Q70" s="533" t="n">
        <v>181606.125575864</v>
      </c>
      <c r="R70" s="533" t="n">
        <v>4221.86119675857</v>
      </c>
      <c r="S70" s="533" t="n">
        <v>270581.204771554</v>
      </c>
      <c r="T70" s="533" t="n">
        <v>19269.3114266</v>
      </c>
      <c r="U70" s="533" t="n">
        <v>1945.48824864</v>
      </c>
      <c r="V70" s="533" t="n">
        <v>291796.004446794</v>
      </c>
    </row>
    <row r="71" customFormat="false" ht="14.45" hidden="false" customHeight="true" outlineLevel="0" collapsed="false">
      <c r="A71" s="534" t="s">
        <v>714</v>
      </c>
      <c r="B71" s="532" t="n">
        <v>11406.4716904178</v>
      </c>
      <c r="C71" s="532" t="n">
        <v>425.935372941577</v>
      </c>
      <c r="D71" s="532" t="n">
        <v>7647.18345284071</v>
      </c>
      <c r="E71" s="532" t="n">
        <v>47001.6919414971</v>
      </c>
      <c r="F71" s="532" t="n">
        <v>7399.24138931781</v>
      </c>
      <c r="G71" s="532" t="n">
        <v>13123.5692684162</v>
      </c>
      <c r="H71" s="532" t="n">
        <v>87004.0931154312</v>
      </c>
      <c r="I71" s="532" t="n">
        <v>35954.8450098545</v>
      </c>
      <c r="J71" s="532" t="n">
        <v>7378.45683314467</v>
      </c>
      <c r="K71" s="532" t="n">
        <v>24491.4660757986</v>
      </c>
      <c r="L71" s="532" t="n">
        <v>12363.8641463569</v>
      </c>
      <c r="M71" s="532" t="n">
        <v>45107.3080494314</v>
      </c>
      <c r="N71" s="532" t="n">
        <v>17559.9108626765</v>
      </c>
      <c r="O71" s="532" t="n">
        <v>25871.9651434927</v>
      </c>
      <c r="P71" s="532" t="n">
        <v>15031.7078010832</v>
      </c>
      <c r="Q71" s="532" t="n">
        <v>183759.523921839</v>
      </c>
      <c r="R71" s="532" t="n">
        <v>5030.46206966878</v>
      </c>
      <c r="S71" s="532" t="n">
        <v>265733.154967601</v>
      </c>
      <c r="T71" s="532" t="n">
        <v>19749.23337192</v>
      </c>
      <c r="U71" s="532" t="n">
        <v>2013.25405424</v>
      </c>
      <c r="V71" s="532" t="n">
        <v>287495.642393761</v>
      </c>
    </row>
    <row r="72" customFormat="false" ht="14.45" hidden="false" customHeight="true" outlineLevel="0" collapsed="false">
      <c r="A72" s="535" t="s">
        <v>715</v>
      </c>
      <c r="B72" s="533" t="n">
        <v>10920.2385796718</v>
      </c>
      <c r="C72" s="533" t="n">
        <v>389.243529725137</v>
      </c>
      <c r="D72" s="533" t="n">
        <v>7132.13235091024</v>
      </c>
      <c r="E72" s="533" t="n">
        <v>48513.7088929211</v>
      </c>
      <c r="F72" s="533" t="n">
        <v>6117.16568546104</v>
      </c>
      <c r="G72" s="533" t="n">
        <v>13410.2778872336</v>
      </c>
      <c r="H72" s="533" t="n">
        <v>86482.7669259229</v>
      </c>
      <c r="I72" s="533" t="n">
        <v>36623.8139213113</v>
      </c>
      <c r="J72" s="533" t="n">
        <v>7736.43146030902</v>
      </c>
      <c r="K72" s="533" t="n">
        <v>24420.5673828265</v>
      </c>
      <c r="L72" s="533" t="n">
        <v>10986.7039292892</v>
      </c>
      <c r="M72" s="533" t="n">
        <v>45060.2870425383</v>
      </c>
      <c r="N72" s="533" t="n">
        <v>18551.2215358248</v>
      </c>
      <c r="O72" s="533" t="n">
        <v>25923.8612002986</v>
      </c>
      <c r="P72" s="533" t="n">
        <v>15136.0267788592</v>
      </c>
      <c r="Q72" s="533" t="n">
        <v>184438.913251257</v>
      </c>
      <c r="R72" s="533" t="n">
        <v>4219.37680257213</v>
      </c>
      <c r="S72" s="533" t="n">
        <v>266702.303374608</v>
      </c>
      <c r="T72" s="533" t="n">
        <v>18436.12927964</v>
      </c>
      <c r="U72" s="533" t="n">
        <v>1940.5797016</v>
      </c>
      <c r="V72" s="533" t="n">
        <v>287079.012355848</v>
      </c>
    </row>
    <row r="73" customFormat="false" ht="14.45" hidden="false" customHeight="true" outlineLevel="0" collapsed="false">
      <c r="A73" s="534" t="s">
        <v>716</v>
      </c>
      <c r="B73" s="532" t="n">
        <v>9513.8644152714</v>
      </c>
      <c r="C73" s="532" t="n">
        <v>450.298166629483</v>
      </c>
      <c r="D73" s="532" t="n">
        <v>7188.79845349556</v>
      </c>
      <c r="E73" s="532" t="n">
        <v>43027.8617951873</v>
      </c>
      <c r="F73" s="532" t="n">
        <v>6141.17709986995</v>
      </c>
      <c r="G73" s="532" t="n">
        <v>12088.8178611093</v>
      </c>
      <c r="H73" s="532" t="n">
        <v>78410.817791563</v>
      </c>
      <c r="I73" s="532" t="n">
        <v>33235.5109427628</v>
      </c>
      <c r="J73" s="532" t="n">
        <v>8680.15931859403</v>
      </c>
      <c r="K73" s="532" t="n">
        <v>22400.4664287092</v>
      </c>
      <c r="L73" s="532" t="n">
        <v>10677.8568403402</v>
      </c>
      <c r="M73" s="532" t="n">
        <v>43277.9874475519</v>
      </c>
      <c r="N73" s="532" t="n">
        <v>17599.4458150832</v>
      </c>
      <c r="O73" s="532" t="n">
        <v>19848.0600075699</v>
      </c>
      <c r="P73" s="532" t="n">
        <v>13362.9958998287</v>
      </c>
      <c r="Q73" s="532" t="n">
        <v>169082.48270044</v>
      </c>
      <c r="R73" s="532" t="n">
        <v>3587.6758437699</v>
      </c>
      <c r="S73" s="532" t="n">
        <v>243905.624648233</v>
      </c>
      <c r="T73" s="532" t="n">
        <v>17609.79286332</v>
      </c>
      <c r="U73" s="532" t="n">
        <v>1815.1711754</v>
      </c>
      <c r="V73" s="532" t="n">
        <v>263330.588686953</v>
      </c>
    </row>
    <row r="74" customFormat="false" ht="14.45" hidden="false" customHeight="true" outlineLevel="0" collapsed="false">
      <c r="A74" s="535" t="s">
        <v>717</v>
      </c>
      <c r="B74" s="533" t="n">
        <v>17228.8409589088</v>
      </c>
      <c r="C74" s="533" t="n">
        <v>1133.29757750324</v>
      </c>
      <c r="D74" s="533" t="n">
        <v>7049.45443301778</v>
      </c>
      <c r="E74" s="533" t="n">
        <v>46020.6061503236</v>
      </c>
      <c r="F74" s="533" t="n">
        <v>6733.07584911702</v>
      </c>
      <c r="G74" s="533" t="n">
        <v>12442.6002789261</v>
      </c>
      <c r="H74" s="533" t="n">
        <v>90607.8752477966</v>
      </c>
      <c r="I74" s="533" t="n">
        <v>35767.3824679628</v>
      </c>
      <c r="J74" s="533" t="n">
        <v>7110.60226299018</v>
      </c>
      <c r="K74" s="533" t="n">
        <v>23786.6605879878</v>
      </c>
      <c r="L74" s="533" t="n">
        <v>14934.9367509115</v>
      </c>
      <c r="M74" s="533" t="n">
        <v>43920.9228184774</v>
      </c>
      <c r="N74" s="533" t="n">
        <v>17341.9038716036</v>
      </c>
      <c r="O74" s="533" t="n">
        <v>25561.9868690235</v>
      </c>
      <c r="P74" s="533" t="n">
        <v>14597.7539244851</v>
      </c>
      <c r="Q74" s="533" t="n">
        <v>183022.149553442</v>
      </c>
      <c r="R74" s="533" t="n">
        <v>4172.37829199206</v>
      </c>
      <c r="S74" s="533" t="n">
        <v>269457.646509246</v>
      </c>
      <c r="T74" s="533" t="n">
        <v>16759.30183068</v>
      </c>
      <c r="U74" s="533" t="n">
        <v>1809.12688988</v>
      </c>
      <c r="V74" s="533" t="n">
        <v>288026.075229806</v>
      </c>
    </row>
    <row r="75" customFormat="false" ht="14.45" hidden="false" customHeight="true" outlineLevel="0" collapsed="false">
      <c r="A75" s="534" t="s">
        <v>718</v>
      </c>
      <c r="B75" s="532" t="n">
        <v>10430.506878929</v>
      </c>
      <c r="C75" s="532" t="n">
        <v>698.39709567892</v>
      </c>
      <c r="D75" s="532" t="n">
        <v>6989.35707704881</v>
      </c>
      <c r="E75" s="532" t="n">
        <v>43764.1356154751</v>
      </c>
      <c r="F75" s="532" t="n">
        <v>6606.50018074073</v>
      </c>
      <c r="G75" s="532" t="n">
        <v>11571.8288157785</v>
      </c>
      <c r="H75" s="532" t="n">
        <v>80060.7256636511</v>
      </c>
      <c r="I75" s="532" t="n">
        <v>32521.6918800155</v>
      </c>
      <c r="J75" s="532" t="n">
        <v>6767.65155707214</v>
      </c>
      <c r="K75" s="532" t="n">
        <v>23553.9457378644</v>
      </c>
      <c r="L75" s="532" t="n">
        <v>16291.990140165</v>
      </c>
      <c r="M75" s="532" t="n">
        <v>42469.3067335017</v>
      </c>
      <c r="N75" s="532" t="n">
        <v>16580.9271053718</v>
      </c>
      <c r="O75" s="532" t="n">
        <v>25501.2749025228</v>
      </c>
      <c r="P75" s="532" t="n">
        <v>14823.9904906286</v>
      </c>
      <c r="Q75" s="532" t="n">
        <v>178510.778547142</v>
      </c>
      <c r="R75" s="532" t="n">
        <v>5034.28832949325</v>
      </c>
      <c r="S75" s="532" t="n">
        <v>253537.2158813</v>
      </c>
      <c r="T75" s="532" t="n">
        <v>16331.59806508</v>
      </c>
      <c r="U75" s="532" t="n">
        <v>1498.41315248</v>
      </c>
      <c r="V75" s="532" t="n">
        <v>271367.22709886</v>
      </c>
    </row>
    <row r="76" customFormat="false" ht="14.45" hidden="false" customHeight="true" outlineLevel="0" collapsed="false">
      <c r="A76" s="535" t="s">
        <v>719</v>
      </c>
      <c r="B76" s="533" t="n">
        <v>9086.3679222561</v>
      </c>
      <c r="C76" s="533" t="n">
        <v>561.034238563771</v>
      </c>
      <c r="D76" s="533" t="n">
        <v>5401.91776592413</v>
      </c>
      <c r="E76" s="533" t="n">
        <v>40155.2960289795</v>
      </c>
      <c r="F76" s="533" t="n">
        <v>5847.02534059017</v>
      </c>
      <c r="G76" s="533" t="n">
        <v>10284.6940756173</v>
      </c>
      <c r="H76" s="533" t="n">
        <v>71336.3353719309</v>
      </c>
      <c r="I76" s="533" t="n">
        <v>29797.6127223965</v>
      </c>
      <c r="J76" s="533" t="n">
        <v>6675.71017473231</v>
      </c>
      <c r="K76" s="533" t="n">
        <v>21749.1223520886</v>
      </c>
      <c r="L76" s="533" t="n">
        <v>13141.2967381308</v>
      </c>
      <c r="M76" s="533" t="n">
        <v>41121.6115561086</v>
      </c>
      <c r="N76" s="533" t="n">
        <v>16946.6989389994</v>
      </c>
      <c r="O76" s="533" t="n">
        <v>25295.4409819569</v>
      </c>
      <c r="P76" s="533" t="n">
        <v>14141.988809447</v>
      </c>
      <c r="Q76" s="533" t="n">
        <v>168869.48227386</v>
      </c>
      <c r="R76" s="533" t="n">
        <v>3552.30214260366</v>
      </c>
      <c r="S76" s="533" t="n">
        <v>236653.515503187</v>
      </c>
      <c r="T76" s="533" t="n">
        <v>14232.53419716</v>
      </c>
      <c r="U76" s="533" t="n">
        <v>1176.8946212</v>
      </c>
      <c r="V76" s="533" t="n">
        <v>252062.944321547</v>
      </c>
    </row>
    <row r="77" customFormat="false" ht="14.45" hidden="false" customHeight="true" outlineLevel="0" collapsed="false">
      <c r="A77" s="534" t="s">
        <v>720</v>
      </c>
      <c r="B77" s="532" t="n">
        <v>13597.9011355274</v>
      </c>
      <c r="C77" s="532" t="n">
        <v>644.027670651608</v>
      </c>
      <c r="D77" s="532" t="n">
        <v>9316.86433036623</v>
      </c>
      <c r="E77" s="532" t="n">
        <v>38296.1908951127</v>
      </c>
      <c r="F77" s="532" t="n">
        <v>4854.64593737675</v>
      </c>
      <c r="G77" s="532" t="n">
        <v>7175.46798896966</v>
      </c>
      <c r="H77" s="532" t="n">
        <v>73885.0979580043</v>
      </c>
      <c r="I77" s="532" t="n">
        <v>27517.837783907</v>
      </c>
      <c r="J77" s="532" t="n">
        <v>6689.7618421154</v>
      </c>
      <c r="K77" s="532" t="n">
        <v>20934.0182486368</v>
      </c>
      <c r="L77" s="532" t="n">
        <v>11240.5028709447</v>
      </c>
      <c r="M77" s="532" t="n">
        <v>38735.5782448816</v>
      </c>
      <c r="N77" s="532" t="n">
        <v>15891.0528099124</v>
      </c>
      <c r="O77" s="532" t="n">
        <v>19259.9725075105</v>
      </c>
      <c r="P77" s="532" t="n">
        <v>10913.0425659334</v>
      </c>
      <c r="Q77" s="532" t="n">
        <v>151181.766873842</v>
      </c>
      <c r="R77" s="532" t="n">
        <v>2657.89071344802</v>
      </c>
      <c r="S77" s="532" t="n">
        <v>222408.974118398</v>
      </c>
      <c r="T77" s="532" t="n">
        <v>13817.72768264</v>
      </c>
      <c r="U77" s="532" t="n">
        <v>830.01808788</v>
      </c>
      <c r="V77" s="532" t="n">
        <v>237056.719888918</v>
      </c>
    </row>
    <row r="78" customFormat="false" ht="14.45" hidden="false" customHeight="true" outlineLevel="0" collapsed="false">
      <c r="A78" s="535" t="s">
        <v>721</v>
      </c>
      <c r="B78" s="533" t="n">
        <v>54830.0802647023</v>
      </c>
      <c r="C78" s="533" t="n">
        <v>2388.38396676618</v>
      </c>
      <c r="D78" s="533" t="n">
        <v>18527.0450470476</v>
      </c>
      <c r="E78" s="533" t="n">
        <v>61465.0757963229</v>
      </c>
      <c r="F78" s="533" t="n">
        <v>5222.2802860512</v>
      </c>
      <c r="G78" s="533" t="n">
        <v>7344.38314377149</v>
      </c>
      <c r="H78" s="533" t="n">
        <v>149777.248504662</v>
      </c>
      <c r="I78" s="533" t="n">
        <v>35467.4164459989</v>
      </c>
      <c r="J78" s="533" t="n">
        <v>5939.38910380642</v>
      </c>
      <c r="K78" s="533" t="n">
        <v>24086.7353693811</v>
      </c>
      <c r="L78" s="533" t="n">
        <v>17314.6410787343</v>
      </c>
      <c r="M78" s="533" t="n">
        <v>39943.594542481</v>
      </c>
      <c r="N78" s="533" t="n">
        <v>16869.8800673279</v>
      </c>
      <c r="O78" s="533" t="n">
        <v>23789.9660692043</v>
      </c>
      <c r="P78" s="533" t="n">
        <v>12043.6781472984</v>
      </c>
      <c r="Q78" s="533" t="n">
        <v>175455.300824232</v>
      </c>
      <c r="R78" s="533" t="n">
        <v>3776.00235425282</v>
      </c>
      <c r="S78" s="533" t="n">
        <v>321456.546974641</v>
      </c>
      <c r="T78" s="533" t="n">
        <v>16325.84328496</v>
      </c>
      <c r="U78" s="533" t="n">
        <v>1225.81141996</v>
      </c>
      <c r="V78" s="533" t="n">
        <v>339008.201679561</v>
      </c>
    </row>
    <row r="79" customFormat="false" ht="14.45" hidden="false" customHeight="true" outlineLevel="0" collapsed="false">
      <c r="A79" s="534" t="s">
        <v>722</v>
      </c>
      <c r="B79" s="532" t="n">
        <v>26205.1116459264</v>
      </c>
      <c r="C79" s="532" t="n">
        <v>1394.69794013189</v>
      </c>
      <c r="D79" s="532" t="n">
        <v>24571.6034133023</v>
      </c>
      <c r="E79" s="532" t="n">
        <v>75329.7796817665</v>
      </c>
      <c r="F79" s="532" t="n">
        <v>5882.88634134609</v>
      </c>
      <c r="G79" s="532" t="n">
        <v>8061.99327846082</v>
      </c>
      <c r="H79" s="532" t="n">
        <v>141446.072300934</v>
      </c>
      <c r="I79" s="532" t="n">
        <v>34670.8223011049</v>
      </c>
      <c r="J79" s="532" t="n">
        <v>6512.95458117869</v>
      </c>
      <c r="K79" s="532" t="n">
        <v>23996.2077849589</v>
      </c>
      <c r="L79" s="532" t="n">
        <v>18950.8410928076</v>
      </c>
      <c r="M79" s="532" t="n">
        <v>40092.4625217194</v>
      </c>
      <c r="N79" s="532" t="n">
        <v>16979.7735999952</v>
      </c>
      <c r="O79" s="532" t="n">
        <v>24102.4090334821</v>
      </c>
      <c r="P79" s="532" t="n">
        <v>12428.200385708</v>
      </c>
      <c r="Q79" s="532" t="n">
        <v>177733.671300955</v>
      </c>
      <c r="R79" s="532" t="n">
        <v>4369.76227000014</v>
      </c>
      <c r="S79" s="532" t="n">
        <v>314809.981331889</v>
      </c>
      <c r="T79" s="532" t="n">
        <v>17670.74464356</v>
      </c>
      <c r="U79" s="532" t="n">
        <v>1525.50487356</v>
      </c>
      <c r="V79" s="532" t="n">
        <v>334006.230849009</v>
      </c>
    </row>
    <row r="80" customFormat="false" ht="14.45" hidden="false" customHeight="true" outlineLevel="0" collapsed="false">
      <c r="A80" s="535" t="s">
        <v>723</v>
      </c>
      <c r="B80" s="533" t="n">
        <v>27293.9364066401</v>
      </c>
      <c r="C80" s="533" t="n">
        <v>1261.60603721181</v>
      </c>
      <c r="D80" s="533" t="n">
        <v>22281.5498765635</v>
      </c>
      <c r="E80" s="533" t="n">
        <v>79321.2403846297</v>
      </c>
      <c r="F80" s="533" t="n">
        <v>5449.925392094</v>
      </c>
      <c r="G80" s="533" t="n">
        <v>8968.56645125922</v>
      </c>
      <c r="H80" s="533" t="n">
        <v>144576.824548398</v>
      </c>
      <c r="I80" s="533" t="n">
        <v>37106.3933469948</v>
      </c>
      <c r="J80" s="533" t="n">
        <v>7580.78485898691</v>
      </c>
      <c r="K80" s="533" t="n">
        <v>23447.7130730556</v>
      </c>
      <c r="L80" s="533" t="n">
        <v>18321.6112500052</v>
      </c>
      <c r="M80" s="533" t="n">
        <v>40768.7543986165</v>
      </c>
      <c r="N80" s="533" t="n">
        <v>17727.0927637396</v>
      </c>
      <c r="O80" s="533" t="n">
        <v>23713.8695935372</v>
      </c>
      <c r="P80" s="533" t="n">
        <v>11843.8967336478</v>
      </c>
      <c r="Q80" s="533" t="n">
        <v>180510.116018584</v>
      </c>
      <c r="R80" s="533" t="n">
        <v>4544.55276080015</v>
      </c>
      <c r="S80" s="533" t="n">
        <v>320542.387806182</v>
      </c>
      <c r="T80" s="533" t="n">
        <v>18058.10858756</v>
      </c>
      <c r="U80" s="533" t="n">
        <v>1648.92663024</v>
      </c>
      <c r="V80" s="533" t="n">
        <v>340249.423023982</v>
      </c>
    </row>
    <row r="81" customFormat="false" ht="14.45" hidden="false" customHeight="true" outlineLevel="0" collapsed="false">
      <c r="A81" s="534" t="s">
        <v>724</v>
      </c>
      <c r="B81" s="532" t="n">
        <v>23436.5124754329</v>
      </c>
      <c r="C81" s="532" t="n">
        <v>1195.90442555865</v>
      </c>
      <c r="D81" s="532" t="n">
        <v>21119.1180452674</v>
      </c>
      <c r="E81" s="532" t="n">
        <v>75086.5619777242</v>
      </c>
      <c r="F81" s="532" t="n">
        <v>5516.94136401171</v>
      </c>
      <c r="G81" s="532" t="n">
        <v>8827.35327837558</v>
      </c>
      <c r="H81" s="532" t="n">
        <v>135182.39156637</v>
      </c>
      <c r="I81" s="532" t="n">
        <v>35495.6022628808</v>
      </c>
      <c r="J81" s="532" t="n">
        <v>9463.07967940541</v>
      </c>
      <c r="K81" s="532" t="n">
        <v>26529.7897286394</v>
      </c>
      <c r="L81" s="532" t="n">
        <v>13265.5644144643</v>
      </c>
      <c r="M81" s="532" t="n">
        <v>40178.9142506435</v>
      </c>
      <c r="N81" s="532" t="n">
        <v>17804.7595794248</v>
      </c>
      <c r="O81" s="532" t="n">
        <v>19155.641973883</v>
      </c>
      <c r="P81" s="532" t="n">
        <v>10892.5379870108</v>
      </c>
      <c r="Q81" s="532" t="n">
        <v>172785.889876352</v>
      </c>
      <c r="R81" s="532" t="n">
        <v>1624.16371820553</v>
      </c>
      <c r="S81" s="532" t="n">
        <v>306344.117724517</v>
      </c>
      <c r="T81" s="532" t="n">
        <v>19381.63818592</v>
      </c>
      <c r="U81" s="532" t="n">
        <v>1636.01114952</v>
      </c>
      <c r="V81" s="532" t="n">
        <v>327361.767059957</v>
      </c>
    </row>
    <row r="82" customFormat="false" ht="14.45" hidden="false" customHeight="true" outlineLevel="0" collapsed="false">
      <c r="A82" s="535" t="s">
        <v>725</v>
      </c>
      <c r="B82" s="533" t="n">
        <v>67858.7823899948</v>
      </c>
      <c r="C82" s="533" t="n">
        <v>2215.18921184901</v>
      </c>
      <c r="D82" s="533" t="n">
        <v>17774.2851512992</v>
      </c>
      <c r="E82" s="533" t="n">
        <v>80788.7476804198</v>
      </c>
      <c r="F82" s="533" t="n">
        <v>5860.6091116358</v>
      </c>
      <c r="G82" s="533" t="n">
        <v>10898.2203280428</v>
      </c>
      <c r="H82" s="533" t="n">
        <v>185395.833873241</v>
      </c>
      <c r="I82" s="533" t="n">
        <v>42729.8285277961</v>
      </c>
      <c r="J82" s="533" t="n">
        <v>7091.3365715408</v>
      </c>
      <c r="K82" s="533" t="n">
        <v>32211.1069444296</v>
      </c>
      <c r="L82" s="533" t="n">
        <v>10918.6369556751</v>
      </c>
      <c r="M82" s="533" t="n">
        <v>41329.242418828</v>
      </c>
      <c r="N82" s="533" t="n">
        <v>19422.4668945971</v>
      </c>
      <c r="O82" s="533" t="n">
        <v>25786.4459277014</v>
      </c>
      <c r="P82" s="533" t="n">
        <v>13143.2169263473</v>
      </c>
      <c r="Q82" s="533" t="n">
        <v>192632.281166915</v>
      </c>
      <c r="R82" s="533" t="n">
        <v>588.191744861331</v>
      </c>
      <c r="S82" s="533" t="n">
        <v>377439.923295295</v>
      </c>
      <c r="T82" s="533" t="n">
        <v>19713.22037176</v>
      </c>
      <c r="U82" s="533" t="n">
        <v>1965.69301428</v>
      </c>
      <c r="V82" s="533" t="n">
        <v>399118.836681335</v>
      </c>
    </row>
    <row r="83" customFormat="false" ht="14.45" hidden="false" customHeight="true" outlineLevel="0" collapsed="false">
      <c r="A83" s="534" t="s">
        <v>726</v>
      </c>
      <c r="B83" s="532" t="n">
        <v>27319.7509576642</v>
      </c>
      <c r="C83" s="532" t="n">
        <v>1465.99477301777</v>
      </c>
      <c r="D83" s="532" t="n">
        <v>21222.23</v>
      </c>
      <c r="E83" s="532" t="n">
        <v>89035.7329380413</v>
      </c>
      <c r="F83" s="532" t="n">
        <v>6895.90138068498</v>
      </c>
      <c r="G83" s="532" t="n">
        <v>12308.446003023</v>
      </c>
      <c r="H83" s="532" t="n">
        <v>158248.056052431</v>
      </c>
      <c r="I83" s="532" t="n">
        <v>41142.3595046912</v>
      </c>
      <c r="J83" s="532" t="n">
        <v>7700.1905091456</v>
      </c>
      <c r="K83" s="532" t="n">
        <v>30741.5164848215</v>
      </c>
      <c r="L83" s="532" t="n">
        <v>12303.6154312273</v>
      </c>
      <c r="M83" s="532" t="n">
        <v>43274.9083409588</v>
      </c>
      <c r="N83" s="532" t="n">
        <v>18788.6922983759</v>
      </c>
      <c r="O83" s="532" t="n">
        <v>25934.4442652735</v>
      </c>
      <c r="P83" s="532" t="n">
        <v>14602.302575204</v>
      </c>
      <c r="Q83" s="532" t="n">
        <v>194488.029409698</v>
      </c>
      <c r="R83" s="532" t="n">
        <v>1286.2882095014</v>
      </c>
      <c r="S83" s="532" t="n">
        <v>351449.797252628</v>
      </c>
      <c r="T83" s="532" t="n">
        <v>23930.53537936</v>
      </c>
      <c r="U83" s="532" t="n">
        <v>2506.91019544</v>
      </c>
      <c r="V83" s="532" t="n">
        <v>377887.242827428</v>
      </c>
    </row>
    <row r="84" customFormat="false" ht="14.45" hidden="false" customHeight="true" outlineLevel="0" collapsed="false">
      <c r="A84" s="535" t="s">
        <v>727</v>
      </c>
      <c r="B84" s="533" t="n">
        <v>30452.3909868992</v>
      </c>
      <c r="C84" s="533" t="n">
        <v>1353.71758706332</v>
      </c>
      <c r="D84" s="533" t="n">
        <v>21997</v>
      </c>
      <c r="E84" s="533" t="n">
        <v>93208.2841148139</v>
      </c>
      <c r="F84" s="533" t="n">
        <v>6234.52774949008</v>
      </c>
      <c r="G84" s="533" t="n">
        <v>14090.1562190714</v>
      </c>
      <c r="H84" s="533" t="n">
        <v>167336.076657338</v>
      </c>
      <c r="I84" s="533" t="n">
        <v>45365.5617569915</v>
      </c>
      <c r="J84" s="533" t="n">
        <v>8673.27418153289</v>
      </c>
      <c r="K84" s="533" t="n">
        <v>30418.7558424903</v>
      </c>
      <c r="L84" s="533" t="n">
        <v>18245.3135937635</v>
      </c>
      <c r="M84" s="533" t="n">
        <v>43995.4453643329</v>
      </c>
      <c r="N84" s="533" t="n">
        <v>19368.9661371421</v>
      </c>
      <c r="O84" s="533" t="n">
        <v>26174.5460584115</v>
      </c>
      <c r="P84" s="533" t="n">
        <v>15183.8834580483</v>
      </c>
      <c r="Q84" s="533" t="n">
        <v>207425.746392713</v>
      </c>
      <c r="R84" s="533" t="n">
        <v>3599.30918365393</v>
      </c>
      <c r="S84" s="533" t="n">
        <v>371162.513866397</v>
      </c>
      <c r="T84" s="533" t="n">
        <v>25061.02046892</v>
      </c>
      <c r="U84" s="533" t="n">
        <v>3046.06468256</v>
      </c>
      <c r="V84" s="533" t="n">
        <v>399269.599017877</v>
      </c>
    </row>
    <row r="85" customFormat="false" ht="14.45" hidden="false" customHeight="true" outlineLevel="0" collapsed="false">
      <c r="A85" s="534" t="s">
        <v>619</v>
      </c>
      <c r="B85" s="532" t="n">
        <v>31877.5498417457</v>
      </c>
      <c r="C85" s="532" t="n">
        <v>1240.31916696071</v>
      </c>
      <c r="D85" s="532" t="n">
        <v>20104.1486335084</v>
      </c>
      <c r="E85" s="532" t="n">
        <v>88876.4741222818</v>
      </c>
      <c r="F85" s="532" t="n">
        <v>6345.06593602231</v>
      </c>
      <c r="G85" s="532" t="n">
        <v>14140.7837148225</v>
      </c>
      <c r="H85" s="532" t="n">
        <v>162584.341415341</v>
      </c>
      <c r="I85" s="532" t="n">
        <v>42526.9760801731</v>
      </c>
      <c r="J85" s="532" t="n">
        <v>10825.4378059772</v>
      </c>
      <c r="K85" s="532" t="n">
        <v>33684.4386567153</v>
      </c>
      <c r="L85" s="532" t="n">
        <v>16969.5177159139</v>
      </c>
      <c r="M85" s="532" t="n">
        <v>43433.9953581509</v>
      </c>
      <c r="N85" s="532" t="n">
        <v>19416.5008365997</v>
      </c>
      <c r="O85" s="532" t="n">
        <v>20817.1276870061</v>
      </c>
      <c r="P85" s="532" t="n">
        <v>13244.862371227</v>
      </c>
      <c r="Q85" s="532" t="n">
        <v>200918.856511763</v>
      </c>
      <c r="R85" s="532" t="n">
        <v>2316.78080192189</v>
      </c>
      <c r="S85" s="532" t="n">
        <v>361186.417125183</v>
      </c>
      <c r="T85" s="532" t="n">
        <v>28925.60822952</v>
      </c>
      <c r="U85" s="532" t="n">
        <v>2705.4046422</v>
      </c>
      <c r="V85" s="532" t="n">
        <v>392817.429996902</v>
      </c>
    </row>
    <row r="86" customFormat="false" ht="14.45" hidden="false" customHeight="true" outlineLevel="0" collapsed="false">
      <c r="A86" s="535" t="s">
        <v>620</v>
      </c>
      <c r="B86" s="533" t="n">
        <v>77393.5487876258</v>
      </c>
      <c r="C86" s="533" t="n">
        <v>1557.70149937219</v>
      </c>
      <c r="D86" s="533" t="n">
        <v>21175.9839100248</v>
      </c>
      <c r="E86" s="533" t="n">
        <v>95910.8219314402</v>
      </c>
      <c r="F86" s="533" t="n">
        <v>6458.41681018664</v>
      </c>
      <c r="G86" s="533" t="n">
        <v>16916.5032383314</v>
      </c>
      <c r="H86" s="533" t="n">
        <v>219412.976176981</v>
      </c>
      <c r="I86" s="533" t="n">
        <v>48833.5121393243</v>
      </c>
      <c r="J86" s="533" t="n">
        <v>8325.91851050652</v>
      </c>
      <c r="K86" s="533" t="n">
        <v>38500.5326053501</v>
      </c>
      <c r="L86" s="533" t="n">
        <v>17222.4773118007</v>
      </c>
      <c r="M86" s="533" t="n">
        <v>44144.8868671134</v>
      </c>
      <c r="N86" s="533" t="n">
        <v>21105.5219240279</v>
      </c>
      <c r="O86" s="533" t="n">
        <v>28191.0820258224</v>
      </c>
      <c r="P86" s="533" t="n">
        <v>15695.3597066859</v>
      </c>
      <c r="Q86" s="533" t="n">
        <v>222019.291090631</v>
      </c>
      <c r="R86" s="533" t="n">
        <v>2035.94605500853</v>
      </c>
      <c r="S86" s="533" t="n">
        <v>439396.321212604</v>
      </c>
      <c r="T86" s="533" t="n">
        <v>31696.233997488</v>
      </c>
      <c r="U86" s="533" t="n">
        <v>3120.52485308</v>
      </c>
      <c r="V86" s="533" t="n">
        <v>474213.080063172</v>
      </c>
    </row>
    <row r="87" customFormat="false" ht="14.45" hidden="false" customHeight="true" outlineLevel="0" collapsed="false">
      <c r="A87" s="534" t="s">
        <v>621</v>
      </c>
      <c r="B87" s="532" t="n">
        <v>30971.7839598481</v>
      </c>
      <c r="C87" s="532" t="n">
        <v>1254.91219175817</v>
      </c>
      <c r="D87" s="532" t="n">
        <v>25330</v>
      </c>
      <c r="E87" s="532" t="n">
        <v>103997.768332338</v>
      </c>
      <c r="F87" s="532" t="n">
        <v>7359.35584220851</v>
      </c>
      <c r="G87" s="532" t="n">
        <v>18108.0675366292</v>
      </c>
      <c r="H87" s="532" t="n">
        <v>187021.887862782</v>
      </c>
      <c r="I87" s="532" t="n">
        <v>48613.8718776293</v>
      </c>
      <c r="J87" s="532" t="n">
        <v>9534.87863270885</v>
      </c>
      <c r="K87" s="532" t="n">
        <v>38369.1204198449</v>
      </c>
      <c r="L87" s="532" t="n">
        <v>16956.604091655</v>
      </c>
      <c r="M87" s="532" t="n">
        <v>46861.0839296394</v>
      </c>
      <c r="N87" s="532" t="n">
        <v>21628.856566875</v>
      </c>
      <c r="O87" s="532" t="n">
        <v>29215.3228242591</v>
      </c>
      <c r="P87" s="532" t="n">
        <v>17348.1984316584</v>
      </c>
      <c r="Q87" s="532" t="n">
        <v>228527.93677427</v>
      </c>
      <c r="R87" s="532" t="n">
        <v>1970.22330216511</v>
      </c>
      <c r="S87" s="532" t="n">
        <v>413579.601334887</v>
      </c>
      <c r="T87" s="532" t="n">
        <v>34952.70285244</v>
      </c>
      <c r="U87" s="532" t="n">
        <v>3547.35965352</v>
      </c>
      <c r="V87" s="532" t="n">
        <v>452079.663840847</v>
      </c>
    </row>
    <row r="88" customFormat="false" ht="14.45" hidden="false" customHeight="true" outlineLevel="0" collapsed="false">
      <c r="A88" s="535" t="s">
        <v>622</v>
      </c>
      <c r="B88" s="533" t="n">
        <v>27301.2113507023</v>
      </c>
      <c r="C88" s="533" t="n">
        <v>996.845801627845</v>
      </c>
      <c r="D88" s="533" t="n">
        <v>27556</v>
      </c>
      <c r="E88" s="533" t="n">
        <v>110385.85489064</v>
      </c>
      <c r="F88" s="533" t="n">
        <v>7711.87321525281</v>
      </c>
      <c r="G88" s="533" t="n">
        <v>19891.3120885737</v>
      </c>
      <c r="H88" s="533" t="n">
        <v>193843.097346797</v>
      </c>
      <c r="I88" s="533" t="n">
        <v>53836.8716749357</v>
      </c>
      <c r="J88" s="533" t="n">
        <v>11057.3019156754</v>
      </c>
      <c r="K88" s="533" t="n">
        <v>39541.3737087841</v>
      </c>
      <c r="L88" s="533" t="n">
        <v>17026.2216439835</v>
      </c>
      <c r="M88" s="533" t="n">
        <v>49506.9869190578</v>
      </c>
      <c r="N88" s="533" t="n">
        <v>23200.5020132626</v>
      </c>
      <c r="O88" s="533" t="n">
        <v>30177.8051429611</v>
      </c>
      <c r="P88" s="533" t="n">
        <v>18822.5881537034</v>
      </c>
      <c r="Q88" s="533" t="n">
        <v>243169.651172363</v>
      </c>
      <c r="R88" s="533" t="n">
        <v>1949.32250191744</v>
      </c>
      <c r="S88" s="533" t="n">
        <v>435063.426017243</v>
      </c>
      <c r="T88" s="533" t="n">
        <v>32771.57800748</v>
      </c>
      <c r="U88" s="533" t="n">
        <v>3628.52464172</v>
      </c>
      <c r="V88" s="533" t="n">
        <v>471463.528666443</v>
      </c>
    </row>
    <row r="89" customFormat="false" ht="14.45" hidden="false" customHeight="true" outlineLevel="0" collapsed="false">
      <c r="A89" s="534" t="s">
        <v>623</v>
      </c>
      <c r="B89" s="532" t="n">
        <v>32102.0762185261</v>
      </c>
      <c r="C89" s="532" t="n">
        <v>1412.14298495637</v>
      </c>
      <c r="D89" s="532" t="n">
        <v>24991.3790049795</v>
      </c>
      <c r="E89" s="532" t="n">
        <v>100954.469885139</v>
      </c>
      <c r="F89" s="532" t="n">
        <v>8397.55097339064</v>
      </c>
      <c r="G89" s="532" t="n">
        <v>18024.469124801</v>
      </c>
      <c r="H89" s="532" t="n">
        <v>185882.088191793</v>
      </c>
      <c r="I89" s="532" t="n">
        <v>49380.7143447714</v>
      </c>
      <c r="J89" s="532" t="n">
        <v>13594.9716267558</v>
      </c>
      <c r="K89" s="532" t="n">
        <v>41020.7074694532</v>
      </c>
      <c r="L89" s="532" t="n">
        <v>18523.5019044767</v>
      </c>
      <c r="M89" s="532" t="n">
        <v>47751.8817436411</v>
      </c>
      <c r="N89" s="532" t="n">
        <v>23805.8293848356</v>
      </c>
      <c r="O89" s="532" t="n">
        <v>25669.9737289561</v>
      </c>
      <c r="P89" s="532" t="n">
        <v>16041.4262169892</v>
      </c>
      <c r="Q89" s="532" t="n">
        <v>235789.006419879</v>
      </c>
      <c r="R89" s="532" t="n">
        <v>2439.01677290794</v>
      </c>
      <c r="S89" s="532" t="n">
        <v>419232.077838764</v>
      </c>
      <c r="T89" s="532" t="n">
        <v>34323.59073076</v>
      </c>
      <c r="U89" s="532" t="n">
        <v>3208.07000188</v>
      </c>
      <c r="V89" s="532" t="n">
        <v>456763.738571404</v>
      </c>
    </row>
    <row r="90" customFormat="false" ht="14.45" hidden="false" customHeight="true" outlineLevel="0" collapsed="false">
      <c r="A90" s="535" t="s">
        <v>624</v>
      </c>
      <c r="B90" s="533" t="n">
        <v>77337.5732029918</v>
      </c>
      <c r="C90" s="533" t="n">
        <v>2625.00742188049</v>
      </c>
      <c r="D90" s="533" t="n">
        <v>25980.4954056655</v>
      </c>
      <c r="E90" s="533" t="n">
        <v>108690.833109228</v>
      </c>
      <c r="F90" s="533" t="n">
        <v>7937.10412462209</v>
      </c>
      <c r="G90" s="533" t="n">
        <v>23031.5333043951</v>
      </c>
      <c r="H90" s="533" t="n">
        <v>245602.546568782</v>
      </c>
      <c r="I90" s="533" t="n">
        <v>59773.6138640446</v>
      </c>
      <c r="J90" s="533" t="n">
        <v>10603.9092204046</v>
      </c>
      <c r="K90" s="533" t="n">
        <v>47103.8508479279</v>
      </c>
      <c r="L90" s="533" t="n">
        <v>20969.1853166797</v>
      </c>
      <c r="M90" s="533" t="n">
        <v>49539.7455265964</v>
      </c>
      <c r="N90" s="533" t="n">
        <v>25857.6390430769</v>
      </c>
      <c r="O90" s="533" t="n">
        <v>34344.5522493425</v>
      </c>
      <c r="P90" s="533" t="n">
        <v>19601.2455431882</v>
      </c>
      <c r="Q90" s="533" t="n">
        <v>267793.741611261</v>
      </c>
      <c r="R90" s="533" t="n">
        <v>2696.15200458236</v>
      </c>
      <c r="S90" s="533" t="n">
        <v>510700.136175461</v>
      </c>
      <c r="T90" s="533" t="n">
        <v>37986.87872688</v>
      </c>
      <c r="U90" s="533" t="n">
        <v>3724.8147716</v>
      </c>
      <c r="V90" s="533" t="n">
        <v>552411.829673941</v>
      </c>
    </row>
    <row r="91" customFormat="false" ht="14.45" hidden="false" customHeight="true" outlineLevel="0" collapsed="false">
      <c r="A91" s="534" t="s">
        <v>625</v>
      </c>
      <c r="B91" s="532" t="n">
        <v>37381.4097455969</v>
      </c>
      <c r="C91" s="532" t="n">
        <v>1062.71139234193</v>
      </c>
      <c r="D91" s="532" t="n">
        <v>32871.0457400589</v>
      </c>
      <c r="E91" s="532" t="n">
        <v>115006.473433274</v>
      </c>
      <c r="F91" s="532" t="n">
        <v>9021.50707735769</v>
      </c>
      <c r="G91" s="532" t="n">
        <v>25239.6626207813</v>
      </c>
      <c r="H91" s="532" t="n">
        <v>220582.810009411</v>
      </c>
      <c r="I91" s="532" t="n">
        <v>58770.5129222696</v>
      </c>
      <c r="J91" s="532" t="n">
        <v>11801.9186032798</v>
      </c>
      <c r="K91" s="532" t="n">
        <v>45403.7592306367</v>
      </c>
      <c r="L91" s="532" t="n">
        <v>23488.3758895033</v>
      </c>
      <c r="M91" s="532" t="n">
        <v>56597.3941787539</v>
      </c>
      <c r="N91" s="532" t="n">
        <v>27373.8359891673</v>
      </c>
      <c r="O91" s="532" t="n">
        <v>37845.3186869898</v>
      </c>
      <c r="P91" s="532" t="n">
        <v>21410.5616796894</v>
      </c>
      <c r="Q91" s="532" t="n">
        <v>282691.67718029</v>
      </c>
      <c r="R91" s="532" t="n">
        <v>3570.59665712717</v>
      </c>
      <c r="S91" s="532" t="n">
        <v>499703.890532574</v>
      </c>
      <c r="T91" s="532" t="n">
        <v>40392.24791056</v>
      </c>
      <c r="U91" s="532" t="n">
        <v>4132.02842248</v>
      </c>
      <c r="V91" s="532" t="n">
        <v>544228.166865614</v>
      </c>
    </row>
    <row r="92" customFormat="false" ht="14.45" hidden="false" customHeight="true" outlineLevel="0" collapsed="false">
      <c r="A92" s="535" t="s">
        <v>626</v>
      </c>
      <c r="B92" s="533" t="n">
        <v>32217.3624948883</v>
      </c>
      <c r="C92" s="533" t="n">
        <v>1184.09105627828</v>
      </c>
      <c r="D92" s="533" t="n">
        <v>31436.958198085</v>
      </c>
      <c r="E92" s="533" t="n">
        <v>131712.711710424</v>
      </c>
      <c r="F92" s="533" t="n">
        <v>8723.75835720699</v>
      </c>
      <c r="G92" s="533" t="n">
        <v>29941.6900003049</v>
      </c>
      <c r="H92" s="533" t="n">
        <v>235216.571817187</v>
      </c>
      <c r="I92" s="533" t="n">
        <v>64070.2304954956</v>
      </c>
      <c r="J92" s="533" t="n">
        <v>14234.6567861244</v>
      </c>
      <c r="K92" s="533" t="n">
        <v>44183.4946848445</v>
      </c>
      <c r="L92" s="533" t="n">
        <v>22626.7743735595</v>
      </c>
      <c r="M92" s="533" t="n">
        <v>60506.1485743057</v>
      </c>
      <c r="N92" s="533" t="n">
        <v>29446.2931337613</v>
      </c>
      <c r="O92" s="533" t="n">
        <v>39539.1527607326</v>
      </c>
      <c r="P92" s="533" t="n">
        <v>23133.5879974062</v>
      </c>
      <c r="Q92" s="533" t="n">
        <v>297740.33880623</v>
      </c>
      <c r="R92" s="533" t="n">
        <v>3448.50287887706</v>
      </c>
      <c r="S92" s="533" t="n">
        <v>529508.40774454</v>
      </c>
      <c r="T92" s="533" t="n">
        <v>40401.40621848</v>
      </c>
      <c r="U92" s="533" t="n">
        <v>4441.34011164</v>
      </c>
      <c r="V92" s="533" t="n">
        <v>574351.15407466</v>
      </c>
    </row>
    <row r="93" customFormat="false" ht="14.45" hidden="false" customHeight="true" outlineLevel="0" collapsed="false">
      <c r="A93" s="534" t="s">
        <v>627</v>
      </c>
      <c r="B93" s="532" t="n">
        <v>37808.8225793735</v>
      </c>
      <c r="C93" s="532" t="n">
        <v>1658.56312778652</v>
      </c>
      <c r="D93" s="532" t="n">
        <v>32576.1694218218</v>
      </c>
      <c r="E93" s="532" t="n">
        <v>117607.035161889</v>
      </c>
      <c r="F93" s="532" t="n">
        <v>9710.83153207098</v>
      </c>
      <c r="G93" s="532" t="n">
        <v>26935.6592510523</v>
      </c>
      <c r="H93" s="532" t="n">
        <v>226297.081073994</v>
      </c>
      <c r="I93" s="532" t="n">
        <v>58409.8726811054</v>
      </c>
      <c r="J93" s="532" t="n">
        <v>17769.8473490535</v>
      </c>
      <c r="K93" s="532" t="n">
        <v>49790.0490256094</v>
      </c>
      <c r="L93" s="532" t="n">
        <v>25227.3340461654</v>
      </c>
      <c r="M93" s="532" t="n">
        <v>60363.2228060174</v>
      </c>
      <c r="N93" s="532" t="n">
        <v>29845.8084369441</v>
      </c>
      <c r="O93" s="532" t="n">
        <v>35629.352279407</v>
      </c>
      <c r="P93" s="532" t="n">
        <v>20327.5579624233</v>
      </c>
      <c r="Q93" s="532" t="n">
        <v>297363.044586725</v>
      </c>
      <c r="R93" s="532" t="n">
        <v>4055.64833684445</v>
      </c>
      <c r="S93" s="532" t="n">
        <v>519604.477323875</v>
      </c>
      <c r="T93" s="532" t="n">
        <v>43842.74696036</v>
      </c>
      <c r="U93" s="532" t="n">
        <v>4547.09142272</v>
      </c>
      <c r="V93" s="532" t="n">
        <v>567994.315706955</v>
      </c>
    </row>
    <row r="94" customFormat="false" ht="14.45" hidden="false" customHeight="true" outlineLevel="0" collapsed="false">
      <c r="A94" s="535" t="s">
        <v>628</v>
      </c>
      <c r="B94" s="533" t="n">
        <v>84913.6461591071</v>
      </c>
      <c r="C94" s="533" t="n">
        <v>2723.24247142175</v>
      </c>
      <c r="D94" s="533" t="n">
        <v>35318.4770036199</v>
      </c>
      <c r="E94" s="533" t="n">
        <v>127343.277130522</v>
      </c>
      <c r="F94" s="533" t="n">
        <v>9188.06606742678</v>
      </c>
      <c r="G94" s="533" t="n">
        <v>34516.8026374971</v>
      </c>
      <c r="H94" s="533" t="n">
        <v>294003.511469595</v>
      </c>
      <c r="I94" s="533" t="n">
        <v>70788.0252833395</v>
      </c>
      <c r="J94" s="533" t="n">
        <v>13870.2420849446</v>
      </c>
      <c r="K94" s="533" t="n">
        <v>54938.0807407848</v>
      </c>
      <c r="L94" s="533" t="n">
        <v>25642.2353917935</v>
      </c>
      <c r="M94" s="533" t="n">
        <v>63446.3342543516</v>
      </c>
      <c r="N94" s="533" t="n">
        <v>32599.8887933382</v>
      </c>
      <c r="O94" s="533" t="n">
        <v>50388.7161126727</v>
      </c>
      <c r="P94" s="533" t="n">
        <v>24668.0429562184</v>
      </c>
      <c r="Q94" s="533" t="n">
        <v>336341.565617443</v>
      </c>
      <c r="R94" s="533" t="n">
        <v>3310.00124085871</v>
      </c>
      <c r="S94" s="533" t="n">
        <v>627035.075846179</v>
      </c>
      <c r="T94" s="533" t="n">
        <v>46436.08896296</v>
      </c>
      <c r="U94" s="533" t="n">
        <v>4807.3104754</v>
      </c>
      <c r="V94" s="533" t="n">
        <v>678278.475284539</v>
      </c>
    </row>
    <row r="95" customFormat="false" ht="14.45" hidden="false" customHeight="true" outlineLevel="0" collapsed="false">
      <c r="A95" s="534" t="s">
        <v>629</v>
      </c>
      <c r="B95" s="532" t="n">
        <v>36806.9652360474</v>
      </c>
      <c r="C95" s="532" t="n">
        <v>2369.70144635036</v>
      </c>
      <c r="D95" s="532" t="n">
        <v>42929.826375929</v>
      </c>
      <c r="E95" s="532" t="n">
        <v>137379.606634209</v>
      </c>
      <c r="F95" s="532" t="n">
        <v>10316.0005325439</v>
      </c>
      <c r="G95" s="532" t="n">
        <v>37508.815673137</v>
      </c>
      <c r="H95" s="532" t="n">
        <v>267310.915898217</v>
      </c>
      <c r="I95" s="532" t="n">
        <v>70072.6553443458</v>
      </c>
      <c r="J95" s="532" t="n">
        <v>15619.0077204839</v>
      </c>
      <c r="K95" s="532" t="n">
        <v>55836.8295441338</v>
      </c>
      <c r="L95" s="532" t="n">
        <v>28925.5042454493</v>
      </c>
      <c r="M95" s="532" t="n">
        <v>68097.2353012713</v>
      </c>
      <c r="N95" s="532" t="n">
        <v>34660.9790125715</v>
      </c>
      <c r="O95" s="532" t="n">
        <v>49782.736253664</v>
      </c>
      <c r="P95" s="532" t="n">
        <v>26418.7124332684</v>
      </c>
      <c r="Q95" s="532" t="n">
        <v>349413.659855188</v>
      </c>
      <c r="R95" s="532" t="n">
        <v>4645.27776337105</v>
      </c>
      <c r="S95" s="532" t="n">
        <v>612079.297990034</v>
      </c>
      <c r="T95" s="532" t="n">
        <v>50684.08555328</v>
      </c>
      <c r="U95" s="532" t="n">
        <v>5433.84562128</v>
      </c>
      <c r="V95" s="532" t="n">
        <v>668197.229164594</v>
      </c>
    </row>
    <row r="96" customFormat="false" ht="14.45" hidden="false" customHeight="true" outlineLevel="0" collapsed="false">
      <c r="A96" s="535" t="s">
        <v>630</v>
      </c>
      <c r="B96" s="533" t="n">
        <v>35507.8553543414</v>
      </c>
      <c r="C96" s="533" t="n">
        <v>1250.97267942294</v>
      </c>
      <c r="D96" s="533" t="n">
        <v>34114.5986514466</v>
      </c>
      <c r="E96" s="533" t="n">
        <v>156505.238036056</v>
      </c>
      <c r="F96" s="533" t="n">
        <v>9634.81544516251</v>
      </c>
      <c r="G96" s="533" t="n">
        <v>40624.7887101052</v>
      </c>
      <c r="H96" s="533" t="n">
        <v>277638.268876535</v>
      </c>
      <c r="I96" s="533" t="n">
        <v>77238.8914483446</v>
      </c>
      <c r="J96" s="533" t="n">
        <v>18116.7800306328</v>
      </c>
      <c r="K96" s="533" t="n">
        <v>53694.3247355822</v>
      </c>
      <c r="L96" s="533" t="n">
        <v>32397.9991047078</v>
      </c>
      <c r="M96" s="533" t="n">
        <v>71939.7624035175</v>
      </c>
      <c r="N96" s="533" t="n">
        <v>37408.1210197736</v>
      </c>
      <c r="O96" s="533" t="n">
        <v>51972.4885696745</v>
      </c>
      <c r="P96" s="533" t="n">
        <v>28032.1545633624</v>
      </c>
      <c r="Q96" s="533" t="n">
        <v>370800.521875595</v>
      </c>
      <c r="R96" s="533" t="n">
        <v>6133.7800459511</v>
      </c>
      <c r="S96" s="533" t="n">
        <v>642305.010706179</v>
      </c>
      <c r="T96" s="533" t="n">
        <v>55213.17071728</v>
      </c>
      <c r="U96" s="533" t="n">
        <v>5767.73941504</v>
      </c>
      <c r="V96" s="533" t="n">
        <v>703285.920838499</v>
      </c>
    </row>
    <row r="97" customFormat="false" ht="14.45" hidden="false" customHeight="true" outlineLevel="0" collapsed="false">
      <c r="A97" s="534" t="s">
        <v>631</v>
      </c>
      <c r="B97" s="532" t="n">
        <v>44752.3991658486</v>
      </c>
      <c r="C97" s="532" t="n">
        <v>1531.79040094153</v>
      </c>
      <c r="D97" s="532" t="n">
        <v>30080.3167191603</v>
      </c>
      <c r="E97" s="532" t="n">
        <v>134348.248045496</v>
      </c>
      <c r="F97" s="532" t="n">
        <v>10831.142513358</v>
      </c>
      <c r="G97" s="532" t="n">
        <v>36139.7186570708</v>
      </c>
      <c r="H97" s="532" t="n">
        <v>257683.615501876</v>
      </c>
      <c r="I97" s="532" t="n">
        <v>71719.5813792943</v>
      </c>
      <c r="J97" s="532" t="n">
        <v>21412.7211166634</v>
      </c>
      <c r="K97" s="532" t="n">
        <v>59082.1010582859</v>
      </c>
      <c r="L97" s="532" t="n">
        <v>33774.3242052985</v>
      </c>
      <c r="M97" s="532" t="n">
        <v>74387.5030450333</v>
      </c>
      <c r="N97" s="532" t="n">
        <v>37178.1231943437</v>
      </c>
      <c r="O97" s="532" t="n">
        <v>45651.1492095412</v>
      </c>
      <c r="P97" s="532" t="n">
        <v>24637.8127090513</v>
      </c>
      <c r="Q97" s="532" t="n">
        <v>367843.315917512</v>
      </c>
      <c r="R97" s="532" t="n">
        <v>6235.03327412436</v>
      </c>
      <c r="S97" s="532" t="n">
        <v>619291.898145263</v>
      </c>
      <c r="T97" s="532" t="n">
        <v>55886.24074</v>
      </c>
      <c r="U97" s="532" t="n">
        <v>5941.71558848</v>
      </c>
      <c r="V97" s="532" t="n">
        <v>681119.854473743</v>
      </c>
    </row>
    <row r="98" customFormat="false" ht="14.45" hidden="false" customHeight="true" outlineLevel="0" collapsed="false">
      <c r="A98" s="535" t="s">
        <v>632</v>
      </c>
      <c r="B98" s="533" t="n">
        <v>120479.250606779</v>
      </c>
      <c r="C98" s="533" t="n">
        <v>2698.58036169754</v>
      </c>
      <c r="D98" s="533" t="n">
        <v>30595.455223105</v>
      </c>
      <c r="E98" s="533" t="n">
        <v>145475.844300545</v>
      </c>
      <c r="F98" s="533" t="n">
        <v>10466.382719193</v>
      </c>
      <c r="G98" s="533" t="n">
        <v>45037.577494093</v>
      </c>
      <c r="H98" s="533" t="n">
        <v>354753.090705413</v>
      </c>
      <c r="I98" s="533" t="n">
        <v>87069.2647656935</v>
      </c>
      <c r="J98" s="533" t="n">
        <v>17344.5258917653</v>
      </c>
      <c r="K98" s="533" t="n">
        <v>64237.0632420895</v>
      </c>
      <c r="L98" s="533" t="n">
        <v>33434.0102006063</v>
      </c>
      <c r="M98" s="533" t="n">
        <v>78127.9616849567</v>
      </c>
      <c r="N98" s="533" t="n">
        <v>41781.0024343913</v>
      </c>
      <c r="O98" s="533" t="n">
        <v>66259.2569358376</v>
      </c>
      <c r="P98" s="533" t="n">
        <v>30340.4662597164</v>
      </c>
      <c r="Q98" s="533" t="n">
        <v>418593.551415057</v>
      </c>
      <c r="R98" s="533" t="n">
        <v>4606.03699413427</v>
      </c>
      <c r="S98" s="533" t="n">
        <v>768740.605126335</v>
      </c>
      <c r="T98" s="533" t="n">
        <v>60210.56566844</v>
      </c>
      <c r="U98" s="533" t="n">
        <v>6174.09951756</v>
      </c>
      <c r="V98" s="533" t="n">
        <v>835125.270312335</v>
      </c>
    </row>
    <row r="99" customFormat="false" ht="14.45" hidden="false" customHeight="true" outlineLevel="0" collapsed="false">
      <c r="A99" s="534" t="s">
        <v>633</v>
      </c>
      <c r="B99" s="532" t="n">
        <v>52690.5330273142</v>
      </c>
      <c r="C99" s="532" t="n">
        <v>1874.37157655239</v>
      </c>
      <c r="D99" s="532" t="n">
        <v>42287.842352633</v>
      </c>
      <c r="E99" s="532" t="n">
        <v>158556.650623536</v>
      </c>
      <c r="F99" s="532" t="n">
        <v>11815.0071091896</v>
      </c>
      <c r="G99" s="532" t="n">
        <v>49655.7055116924</v>
      </c>
      <c r="H99" s="532" t="n">
        <v>316880.110200918</v>
      </c>
      <c r="I99" s="532" t="n">
        <v>88514.6538926986</v>
      </c>
      <c r="J99" s="532" t="n">
        <v>19143.509717439</v>
      </c>
      <c r="K99" s="532" t="n">
        <v>66232.5845936308</v>
      </c>
      <c r="L99" s="532" t="n">
        <v>36985.0093241818</v>
      </c>
      <c r="M99" s="532" t="n">
        <v>84913.1730677866</v>
      </c>
      <c r="N99" s="532" t="n">
        <v>45332.3275895644</v>
      </c>
      <c r="O99" s="532" t="n">
        <v>64559.9171843698</v>
      </c>
      <c r="P99" s="532" t="n">
        <v>32859.122516504</v>
      </c>
      <c r="Q99" s="532" t="n">
        <v>438540.297886175</v>
      </c>
      <c r="R99" s="532" t="n">
        <v>5008.54214961146</v>
      </c>
      <c r="S99" s="532" t="n">
        <v>750411.865937482</v>
      </c>
      <c r="T99" s="532" t="n">
        <v>69577.94128444</v>
      </c>
      <c r="U99" s="532" t="n">
        <v>7473.45748377068</v>
      </c>
      <c r="V99" s="532" t="n">
        <v>827463.264705692</v>
      </c>
    </row>
    <row r="100" customFormat="false" ht="14.45" hidden="false" customHeight="true" outlineLevel="0" collapsed="false">
      <c r="A100" s="535" t="s">
        <v>634</v>
      </c>
      <c r="B100" s="533" t="n">
        <v>55088.9314062209</v>
      </c>
      <c r="C100" s="533" t="n">
        <v>1290.20007964254</v>
      </c>
      <c r="D100" s="533" t="n">
        <v>39265.5670530917</v>
      </c>
      <c r="E100" s="533" t="n">
        <v>196903.098085007</v>
      </c>
      <c r="F100" s="533" t="n">
        <v>10852.1409266921</v>
      </c>
      <c r="G100" s="533" t="n">
        <v>54603.7751328034</v>
      </c>
      <c r="H100" s="533" t="n">
        <v>358003.712683457</v>
      </c>
      <c r="I100" s="533" t="n">
        <v>97967.8710527296</v>
      </c>
      <c r="J100" s="533" t="n">
        <v>21974.3421097661</v>
      </c>
      <c r="K100" s="533" t="n">
        <v>66872.3179163103</v>
      </c>
      <c r="L100" s="533" t="n">
        <v>41271.3071388546</v>
      </c>
      <c r="M100" s="533" t="n">
        <v>90200.9135537529</v>
      </c>
      <c r="N100" s="533" t="n">
        <v>50499.79282097</v>
      </c>
      <c r="O100" s="533" t="n">
        <v>68904.187313538</v>
      </c>
      <c r="P100" s="533" t="n">
        <v>34682.1009665904</v>
      </c>
      <c r="Q100" s="533" t="n">
        <v>472372.832872512</v>
      </c>
      <c r="R100" s="533" t="n">
        <v>7556.18765729416</v>
      </c>
      <c r="S100" s="533" t="n">
        <v>822820.357898675</v>
      </c>
      <c r="T100" s="533" t="n">
        <v>74822.6712418</v>
      </c>
      <c r="U100" s="533" t="n">
        <v>8471.89442828</v>
      </c>
      <c r="V100" s="533" t="n">
        <v>906114.923568755</v>
      </c>
    </row>
    <row r="101" customFormat="false" ht="14.45" hidden="false" customHeight="true" outlineLevel="0" collapsed="false">
      <c r="A101" s="534" t="s">
        <v>635</v>
      </c>
      <c r="B101" s="532" t="n">
        <v>71440.2590160225</v>
      </c>
      <c r="C101" s="532" t="n">
        <v>1276.39987539978</v>
      </c>
      <c r="D101" s="532" t="n">
        <v>35912.7773831426</v>
      </c>
      <c r="E101" s="532" t="n">
        <v>173744.145422076</v>
      </c>
      <c r="F101" s="532" t="n">
        <v>12359.8559357899</v>
      </c>
      <c r="G101" s="532" t="n">
        <v>46931.9644937561</v>
      </c>
      <c r="H101" s="532" t="n">
        <v>341665.402126187</v>
      </c>
      <c r="I101" s="532" t="n">
        <v>93019.3560937652</v>
      </c>
      <c r="J101" s="532" t="n">
        <v>25834.6143442957</v>
      </c>
      <c r="K101" s="532" t="n">
        <v>74319.136144757</v>
      </c>
      <c r="L101" s="532" t="n">
        <v>44547.3161576358</v>
      </c>
      <c r="M101" s="532" t="n">
        <v>93525.785930954</v>
      </c>
      <c r="N101" s="532" t="n">
        <v>47842.9607021423</v>
      </c>
      <c r="O101" s="532" t="n">
        <v>58839.8835416899</v>
      </c>
      <c r="P101" s="532" t="n">
        <v>31082.5993746084</v>
      </c>
      <c r="Q101" s="532" t="n">
        <v>469011.652289848</v>
      </c>
      <c r="R101" s="532" t="n">
        <v>8023.17745956533</v>
      </c>
      <c r="S101" s="532" t="n">
        <v>802653.87695647</v>
      </c>
      <c r="T101" s="532" t="n">
        <v>76702.35956124</v>
      </c>
      <c r="U101" s="532" t="n">
        <v>8286.774261</v>
      </c>
      <c r="V101" s="532" t="n">
        <v>887643.01077871</v>
      </c>
    </row>
    <row r="102" customFormat="false" ht="14.45" hidden="false" customHeight="true" outlineLevel="0" collapsed="false">
      <c r="A102" s="535" t="s">
        <v>636</v>
      </c>
      <c r="B102" s="533" t="n">
        <v>180086.493487982</v>
      </c>
      <c r="C102" s="533" t="n">
        <v>3101.95061449553</v>
      </c>
      <c r="D102" s="533" t="n">
        <v>28444.5595197421</v>
      </c>
      <c r="E102" s="533" t="n">
        <v>192847.2898379</v>
      </c>
      <c r="F102" s="533" t="n">
        <v>11366.5346264847</v>
      </c>
      <c r="G102" s="533" t="n">
        <v>57223.1922961964</v>
      </c>
      <c r="H102" s="533" t="n">
        <v>473070.020382801</v>
      </c>
      <c r="I102" s="533" t="n">
        <v>117429.624320517</v>
      </c>
      <c r="J102" s="533" t="n">
        <v>21760.8389830998</v>
      </c>
      <c r="K102" s="533" t="n">
        <v>80781.2615670656</v>
      </c>
      <c r="L102" s="533" t="n">
        <v>46777.0283424109</v>
      </c>
      <c r="M102" s="533" t="n">
        <v>98329.5642086888</v>
      </c>
      <c r="N102" s="533" t="n">
        <v>56722.9316495902</v>
      </c>
      <c r="O102" s="533" t="n">
        <v>89310.501250502</v>
      </c>
      <c r="P102" s="533" t="n">
        <v>38433.6726815002</v>
      </c>
      <c r="Q102" s="533" t="n">
        <v>549545.423003374</v>
      </c>
      <c r="R102" s="533" t="n">
        <v>6293.31431354701</v>
      </c>
      <c r="S102" s="533" t="n">
        <v>1016322.12907263</v>
      </c>
      <c r="T102" s="533" t="n">
        <v>82670.8874086</v>
      </c>
      <c r="U102" s="533" t="n">
        <v>8949.8238708</v>
      </c>
      <c r="V102" s="533" t="n">
        <v>1107942.84035203</v>
      </c>
    </row>
    <row r="103" customFormat="false" ht="14.45" hidden="false" customHeight="true" outlineLevel="0" collapsed="false">
      <c r="A103" s="534" t="s">
        <v>637</v>
      </c>
      <c r="B103" s="532" t="n">
        <v>65672.5173999459</v>
      </c>
      <c r="C103" s="532" t="n">
        <v>2829.84615306805</v>
      </c>
      <c r="D103" s="532" t="n">
        <v>41379.0348227405</v>
      </c>
      <c r="E103" s="532" t="n">
        <v>205795.579415925</v>
      </c>
      <c r="F103" s="532" t="n">
        <v>12812.8544299541</v>
      </c>
      <c r="G103" s="532" t="n">
        <v>60154.1599071714</v>
      </c>
      <c r="H103" s="532" t="n">
        <v>388643.992128805</v>
      </c>
      <c r="I103" s="532" t="n">
        <v>117179.430676939</v>
      </c>
      <c r="J103" s="532" t="n">
        <v>24558.9406991181</v>
      </c>
      <c r="K103" s="532" t="n">
        <v>83748.2578989418</v>
      </c>
      <c r="L103" s="532" t="n">
        <v>52291.3982305371</v>
      </c>
      <c r="M103" s="532" t="n">
        <v>111106.352300983</v>
      </c>
      <c r="N103" s="532" t="n">
        <v>62283.3895442837</v>
      </c>
      <c r="O103" s="532" t="n">
        <v>87001.6872421965</v>
      </c>
      <c r="P103" s="532" t="n">
        <v>40497.1680696822</v>
      </c>
      <c r="Q103" s="532" t="n">
        <v>578666.624662681</v>
      </c>
      <c r="R103" s="532" t="n">
        <v>7704.14939781019</v>
      </c>
      <c r="S103" s="532" t="n">
        <v>959606.467393676</v>
      </c>
      <c r="T103" s="532" t="n">
        <v>88521.83599968</v>
      </c>
      <c r="U103" s="532" t="n">
        <v>9422.4901012</v>
      </c>
      <c r="V103" s="532" t="n">
        <v>1057550.79349456</v>
      </c>
    </row>
    <row r="104" customFormat="false" ht="14.45" hidden="false" customHeight="true" outlineLevel="0" collapsed="false">
      <c r="A104" s="535" t="s">
        <v>638</v>
      </c>
      <c r="B104" s="533" t="n">
        <v>45921.0266042095</v>
      </c>
      <c r="C104" s="533" t="n">
        <v>2386.32635133019</v>
      </c>
      <c r="D104" s="533" t="n">
        <v>37014.8340469246</v>
      </c>
      <c r="E104" s="533" t="n">
        <v>232311.39800602</v>
      </c>
      <c r="F104" s="533" t="n">
        <v>12743.7393972161</v>
      </c>
      <c r="G104" s="533" t="n">
        <v>61906.528807051</v>
      </c>
      <c r="H104" s="533" t="n">
        <v>392283.853212751</v>
      </c>
      <c r="I104" s="533" t="n">
        <v>122294.812469817</v>
      </c>
      <c r="J104" s="533" t="n">
        <v>28179.4819182109</v>
      </c>
      <c r="K104" s="533" t="n">
        <v>82266.5608662983</v>
      </c>
      <c r="L104" s="533" t="n">
        <v>50976.7892903429</v>
      </c>
      <c r="M104" s="533" t="n">
        <v>114015.509041873</v>
      </c>
      <c r="N104" s="533" t="n">
        <v>65896.4850580552</v>
      </c>
      <c r="O104" s="533" t="n">
        <v>88955.0173948929</v>
      </c>
      <c r="P104" s="533" t="n">
        <v>43360.3651880643</v>
      </c>
      <c r="Q104" s="533" t="n">
        <v>595945.021227554</v>
      </c>
      <c r="R104" s="533" t="n">
        <v>8788.8338224727</v>
      </c>
      <c r="S104" s="533" t="n">
        <v>979440.040617832</v>
      </c>
      <c r="T104" s="533" t="n">
        <v>89163.8066619476</v>
      </c>
      <c r="U104" s="533" t="n">
        <v>9292.5419036</v>
      </c>
      <c r="V104" s="533" t="n">
        <v>1077896.38918338</v>
      </c>
    </row>
    <row r="105" customFormat="false" ht="14.45" hidden="false" customHeight="true" outlineLevel="0" collapsed="false">
      <c r="A105" s="534" t="s">
        <v>639</v>
      </c>
      <c r="B105" s="532" t="n">
        <v>48069.5609158636</v>
      </c>
      <c r="C105" s="532" t="n">
        <v>1139.08670802718</v>
      </c>
      <c r="D105" s="532" t="n">
        <v>35229.713779983</v>
      </c>
      <c r="E105" s="532" t="n">
        <v>190327.381378888</v>
      </c>
      <c r="F105" s="532" t="n">
        <v>13539.1591819093</v>
      </c>
      <c r="G105" s="532" t="n">
        <v>51876.4691714266</v>
      </c>
      <c r="H105" s="532" t="n">
        <v>340181.371136098</v>
      </c>
      <c r="I105" s="532" t="n">
        <v>109487.40658015</v>
      </c>
      <c r="J105" s="532" t="n">
        <v>31648.2545292109</v>
      </c>
      <c r="K105" s="532" t="n">
        <v>82903.3766555963</v>
      </c>
      <c r="L105" s="532" t="n">
        <v>53241.6762871615</v>
      </c>
      <c r="M105" s="532" t="n">
        <v>114154.895249242</v>
      </c>
      <c r="N105" s="532" t="n">
        <v>63312.7342149875</v>
      </c>
      <c r="O105" s="532" t="n">
        <v>76605.5180202497</v>
      </c>
      <c r="P105" s="532" t="n">
        <v>40368.4614483938</v>
      </c>
      <c r="Q105" s="532" t="n">
        <v>571722.322984992</v>
      </c>
      <c r="R105" s="532" t="n">
        <v>9915.93339465048</v>
      </c>
      <c r="S105" s="532" t="n">
        <v>901987.760726439</v>
      </c>
      <c r="T105" s="532" t="n">
        <v>84202.75756912</v>
      </c>
      <c r="U105" s="532" t="n">
        <v>6771.73030316</v>
      </c>
      <c r="V105" s="532" t="n">
        <v>992962.248598719</v>
      </c>
    </row>
    <row r="106" customFormat="false" ht="14.45" hidden="false" customHeight="true" outlineLevel="0" collapsed="false">
      <c r="A106" s="535" t="s">
        <v>640</v>
      </c>
      <c r="B106" s="533" t="n">
        <v>140907.481107398</v>
      </c>
      <c r="C106" s="533" t="n">
        <v>2843.51692412088</v>
      </c>
      <c r="D106" s="533" t="n">
        <v>32020.3588639806</v>
      </c>
      <c r="E106" s="533" t="n">
        <v>211928.933753698</v>
      </c>
      <c r="F106" s="533" t="n">
        <v>13227.4924869076</v>
      </c>
      <c r="G106" s="533" t="n">
        <v>60492.2017028694</v>
      </c>
      <c r="H106" s="533" t="n">
        <v>461419.984838974</v>
      </c>
      <c r="I106" s="533" t="n">
        <v>136762.4021414</v>
      </c>
      <c r="J106" s="533" t="n">
        <v>23174.4642750739</v>
      </c>
      <c r="K106" s="533" t="n">
        <v>86516.6491853754</v>
      </c>
      <c r="L106" s="533" t="n">
        <v>58972.6646755059</v>
      </c>
      <c r="M106" s="533" t="n">
        <v>114798.782919712</v>
      </c>
      <c r="N106" s="533" t="n">
        <v>70571.3514478089</v>
      </c>
      <c r="O106" s="533" t="n">
        <v>107189.647228319</v>
      </c>
      <c r="P106" s="533" t="n">
        <v>50774.4012527079</v>
      </c>
      <c r="Q106" s="533" t="n">
        <v>648760.363125903</v>
      </c>
      <c r="R106" s="533" t="n">
        <v>8981.75108673148</v>
      </c>
      <c r="S106" s="533" t="n">
        <v>1101198.59687815</v>
      </c>
      <c r="T106" s="533" t="n">
        <v>87048.1081911973</v>
      </c>
      <c r="U106" s="533" t="n">
        <v>7125.73374556</v>
      </c>
      <c r="V106" s="533" t="n">
        <v>1195372.4388149</v>
      </c>
    </row>
    <row r="107" customFormat="false" ht="14.45" hidden="false" customHeight="true" outlineLevel="0" collapsed="false">
      <c r="A107" s="534" t="s">
        <v>641</v>
      </c>
      <c r="B107" s="532" t="n">
        <v>60325.9764743754</v>
      </c>
      <c r="C107" s="532" t="n">
        <v>2526.80877615249</v>
      </c>
      <c r="D107" s="532" t="n">
        <v>43517.709998825</v>
      </c>
      <c r="E107" s="532" t="n">
        <v>231564.650212564</v>
      </c>
      <c r="F107" s="532" t="n">
        <v>13713.6298701392</v>
      </c>
      <c r="G107" s="532" t="n">
        <v>62138.711881854</v>
      </c>
      <c r="H107" s="532" t="n">
        <v>413787.487213911</v>
      </c>
      <c r="I107" s="532" t="n">
        <v>129666.178087066</v>
      </c>
      <c r="J107" s="532" t="n">
        <v>24562.5723473058</v>
      </c>
      <c r="K107" s="532" t="n">
        <v>86545.0759522556</v>
      </c>
      <c r="L107" s="532" t="n">
        <v>63835.3719555577</v>
      </c>
      <c r="M107" s="532" t="n">
        <v>128031.215195892</v>
      </c>
      <c r="N107" s="532" t="n">
        <v>76892.4342729502</v>
      </c>
      <c r="O107" s="532" t="n">
        <v>102227.755384735</v>
      </c>
      <c r="P107" s="532" t="n">
        <v>50117.0521814925</v>
      </c>
      <c r="Q107" s="532" t="n">
        <v>661877.655377254</v>
      </c>
      <c r="R107" s="532" t="n">
        <v>11329.5169440407</v>
      </c>
      <c r="S107" s="532" t="n">
        <v>1064335.62564712</v>
      </c>
      <c r="T107" s="532" t="n">
        <v>96322.7204154205</v>
      </c>
      <c r="U107" s="532" t="n">
        <v>8136.561397</v>
      </c>
      <c r="V107" s="532" t="n">
        <v>1168794.90745954</v>
      </c>
    </row>
    <row r="108" customFormat="false" ht="14.45" hidden="false" customHeight="true" outlineLevel="0" collapsed="false">
      <c r="A108" s="535" t="s">
        <v>642</v>
      </c>
      <c r="B108" s="533" t="n">
        <v>59529.3833017752</v>
      </c>
      <c r="C108" s="533" t="n">
        <v>2109.5823062209</v>
      </c>
      <c r="D108" s="533" t="n">
        <v>43279.754421055</v>
      </c>
      <c r="E108" s="533" t="n">
        <v>262932.900107052</v>
      </c>
      <c r="F108" s="533" t="n">
        <v>13357.1128065181</v>
      </c>
      <c r="G108" s="533" t="n">
        <v>66124.9954551105</v>
      </c>
      <c r="H108" s="533" t="n">
        <v>447333.728397732</v>
      </c>
      <c r="I108" s="533" t="n">
        <v>139152.636751312</v>
      </c>
      <c r="J108" s="533" t="n">
        <v>30011.6611315315</v>
      </c>
      <c r="K108" s="533" t="n">
        <v>90816.0713561434</v>
      </c>
      <c r="L108" s="533" t="n">
        <v>63328.8878104</v>
      </c>
      <c r="M108" s="533" t="n">
        <v>127113.083345611</v>
      </c>
      <c r="N108" s="533" t="n">
        <v>81901.6729219123</v>
      </c>
      <c r="O108" s="533" t="n">
        <v>102893.169382578</v>
      </c>
      <c r="P108" s="533" t="n">
        <v>50275.2835052098</v>
      </c>
      <c r="Q108" s="533" t="n">
        <v>685492.466204698</v>
      </c>
      <c r="R108" s="533" t="n">
        <v>12686.4652105443</v>
      </c>
      <c r="S108" s="533" t="n">
        <v>1120139.72939189</v>
      </c>
      <c r="T108" s="533" t="n">
        <v>95798.8937281854</v>
      </c>
      <c r="U108" s="533" t="n">
        <v>8765.12747232</v>
      </c>
      <c r="V108" s="533" t="n">
        <v>1224703.75059239</v>
      </c>
    </row>
    <row r="109" customFormat="false" ht="14.45" hidden="false" customHeight="true" outlineLevel="0" collapsed="false">
      <c r="A109" s="534" t="s">
        <v>643</v>
      </c>
      <c r="B109" s="532" t="n">
        <v>77890.4888646024</v>
      </c>
      <c r="C109" s="532" t="n">
        <v>932.420392129911</v>
      </c>
      <c r="D109" s="532" t="n">
        <v>45153.860949594</v>
      </c>
      <c r="E109" s="532" t="n">
        <v>229141.260776669</v>
      </c>
      <c r="F109" s="532" t="n">
        <v>14011.4723058857</v>
      </c>
      <c r="G109" s="532" t="n">
        <v>59702.314068582</v>
      </c>
      <c r="H109" s="532" t="n">
        <v>426831.817357463</v>
      </c>
      <c r="I109" s="532" t="n">
        <v>130178.451210888</v>
      </c>
      <c r="J109" s="532" t="n">
        <v>37106.9786788928</v>
      </c>
      <c r="K109" s="532" t="n">
        <v>99745.0244953043</v>
      </c>
      <c r="L109" s="532" t="n">
        <v>67094.6988793385</v>
      </c>
      <c r="M109" s="532" t="n">
        <v>129302.585212055</v>
      </c>
      <c r="N109" s="532" t="n">
        <v>83449.105391793</v>
      </c>
      <c r="O109" s="532" t="n">
        <v>95785.2590909554</v>
      </c>
      <c r="P109" s="532" t="n">
        <v>47478.3498310745</v>
      </c>
      <c r="Q109" s="532" t="n">
        <v>690140.452790301</v>
      </c>
      <c r="R109" s="532" t="n">
        <v>12203.6619142843</v>
      </c>
      <c r="S109" s="532" t="n">
        <v>1104768.60823348</v>
      </c>
      <c r="T109" s="532" t="n">
        <v>103733.031848105</v>
      </c>
      <c r="U109" s="532" t="n">
        <v>8879.15386724</v>
      </c>
      <c r="V109" s="532" t="n">
        <v>1217380.79394883</v>
      </c>
    </row>
    <row r="110" customFormat="false" ht="14.45" hidden="false" customHeight="true" outlineLevel="0" collapsed="false">
      <c r="A110" s="535" t="s">
        <v>644</v>
      </c>
      <c r="B110" s="533" t="n">
        <v>223431.114945827</v>
      </c>
      <c r="C110" s="533" t="n">
        <v>3438.56480236664</v>
      </c>
      <c r="D110" s="533" t="n">
        <v>38711.573266155</v>
      </c>
      <c r="E110" s="533" t="n">
        <v>255254.633347036</v>
      </c>
      <c r="F110" s="533" t="n">
        <v>16020.2082719817</v>
      </c>
      <c r="G110" s="533" t="n">
        <v>74026.1576780946</v>
      </c>
      <c r="H110" s="533" t="n">
        <v>610882.252311461</v>
      </c>
      <c r="I110" s="533" t="n">
        <v>170622.138635179</v>
      </c>
      <c r="J110" s="533" t="n">
        <v>28566.8782420627</v>
      </c>
      <c r="K110" s="533" t="n">
        <v>110748.558350269</v>
      </c>
      <c r="L110" s="533" t="n">
        <v>71526.8363724713</v>
      </c>
      <c r="M110" s="533" t="n">
        <v>132094.410386061</v>
      </c>
      <c r="N110" s="533" t="n">
        <v>85837.6954695841</v>
      </c>
      <c r="O110" s="533" t="n">
        <v>125840.214217408</v>
      </c>
      <c r="P110" s="533" t="n">
        <v>56597.3253329435</v>
      </c>
      <c r="Q110" s="533" t="n">
        <v>781834.057005979</v>
      </c>
      <c r="R110" s="533" t="n">
        <v>9012.03950489535</v>
      </c>
      <c r="S110" s="533" t="n">
        <v>1383704.26981254</v>
      </c>
      <c r="T110" s="533" t="n">
        <v>114363.328761505</v>
      </c>
      <c r="U110" s="533" t="n">
        <v>10218.06643984</v>
      </c>
      <c r="V110" s="533" t="n">
        <v>1508285.66501389</v>
      </c>
    </row>
    <row r="111" customFormat="false" ht="14.45" hidden="false" customHeight="true" outlineLevel="0" collapsed="false">
      <c r="A111" s="534" t="s">
        <v>645</v>
      </c>
      <c r="B111" s="532" t="n">
        <v>110514.844192672</v>
      </c>
      <c r="C111" s="532" t="n">
        <v>3357.66526972593</v>
      </c>
      <c r="D111" s="532" t="n">
        <v>55491.8306270457</v>
      </c>
      <c r="E111" s="532" t="n">
        <v>273184.843677321</v>
      </c>
      <c r="F111" s="532" t="n">
        <v>16710.820333436</v>
      </c>
      <c r="G111" s="532" t="n">
        <v>76572.0593800581</v>
      </c>
      <c r="H111" s="532" t="n">
        <v>535832.063480259</v>
      </c>
      <c r="I111" s="532" t="n">
        <v>161920.418619459</v>
      </c>
      <c r="J111" s="532" t="n">
        <v>31175.7187213855</v>
      </c>
      <c r="K111" s="532" t="n">
        <v>104014.638253351</v>
      </c>
      <c r="L111" s="532" t="n">
        <v>82804.4398361141</v>
      </c>
      <c r="M111" s="532" t="n">
        <v>148863.353969023</v>
      </c>
      <c r="N111" s="532" t="n">
        <v>94795.8019311345</v>
      </c>
      <c r="O111" s="532" t="n">
        <v>117106.080635167</v>
      </c>
      <c r="P111" s="532" t="n">
        <v>58638.3920807937</v>
      </c>
      <c r="Q111" s="532" t="n">
        <v>799318.844046427</v>
      </c>
      <c r="R111" s="532" t="n">
        <v>10535.3531957483</v>
      </c>
      <c r="S111" s="532" t="n">
        <v>1324615.55433094</v>
      </c>
      <c r="T111" s="532" t="n">
        <v>128218.865057265</v>
      </c>
      <c r="U111" s="532" t="n">
        <v>13022.24991416</v>
      </c>
      <c r="V111" s="532" t="n">
        <v>1465856.66930236</v>
      </c>
    </row>
    <row r="112" customFormat="false" ht="14.45" hidden="false" customHeight="true" outlineLevel="0" collapsed="false">
      <c r="A112" s="535" t="s">
        <v>646</v>
      </c>
      <c r="B112" s="533" t="n">
        <v>107692.475492417</v>
      </c>
      <c r="C112" s="533" t="n">
        <v>2205.81575910452</v>
      </c>
      <c r="D112" s="533" t="n">
        <v>51551.0669826818</v>
      </c>
      <c r="E112" s="533" t="n">
        <v>329078.396058566</v>
      </c>
      <c r="F112" s="533" t="n">
        <v>16122.569890413</v>
      </c>
      <c r="G112" s="533" t="n">
        <v>86547.6257875578</v>
      </c>
      <c r="H112" s="533" t="n">
        <v>593197.94997074</v>
      </c>
      <c r="I112" s="533" t="n">
        <v>182579.647921618</v>
      </c>
      <c r="J112" s="533" t="n">
        <v>37320.5230159598</v>
      </c>
      <c r="K112" s="533" t="n">
        <v>114797.1812637</v>
      </c>
      <c r="L112" s="533" t="n">
        <v>85157.581363079</v>
      </c>
      <c r="M112" s="533" t="n">
        <v>150831.889849703</v>
      </c>
      <c r="N112" s="533" t="n">
        <v>102340.936283819</v>
      </c>
      <c r="O112" s="533" t="n">
        <v>124482.165708476</v>
      </c>
      <c r="P112" s="533" t="n">
        <v>57249.340458065</v>
      </c>
      <c r="Q112" s="533" t="n">
        <v>854759.265864421</v>
      </c>
      <c r="R112" s="533" t="n">
        <v>16745.8649242709</v>
      </c>
      <c r="S112" s="533" t="n">
        <v>1431211.35091089</v>
      </c>
      <c r="T112" s="533" t="n">
        <v>134293.25453241</v>
      </c>
      <c r="U112" s="533" t="n">
        <v>13593.78068028</v>
      </c>
      <c r="V112" s="533" t="n">
        <v>1579098.38612358</v>
      </c>
    </row>
    <row r="113" customFormat="false" ht="14.45" hidden="false" customHeight="true" outlineLevel="0" collapsed="false">
      <c r="A113" s="534" t="s">
        <v>647</v>
      </c>
      <c r="B113" s="532" t="n">
        <v>114228.426772276</v>
      </c>
      <c r="C113" s="532" t="n">
        <v>1028.80113442336</v>
      </c>
      <c r="D113" s="532" t="n">
        <v>53952.4713205469</v>
      </c>
      <c r="E113" s="532" t="n">
        <v>302012.260534067</v>
      </c>
      <c r="F113" s="532" t="n">
        <v>15709.7069347566</v>
      </c>
      <c r="G113" s="532" t="n">
        <v>79315.1666568648</v>
      </c>
      <c r="H113" s="532" t="n">
        <v>566246.833352935</v>
      </c>
      <c r="I113" s="532" t="n">
        <v>173089.40193323</v>
      </c>
      <c r="J113" s="532" t="n">
        <v>45859.3461313748</v>
      </c>
      <c r="K113" s="532" t="n">
        <v>125259.911566624</v>
      </c>
      <c r="L113" s="532" t="n">
        <v>81445.6633541113</v>
      </c>
      <c r="M113" s="532" t="n">
        <v>153133.561419033</v>
      </c>
      <c r="N113" s="532" t="n">
        <v>106314.499323434</v>
      </c>
      <c r="O113" s="532" t="n">
        <v>119193.708622441</v>
      </c>
      <c r="P113" s="532" t="n">
        <v>58397.4006812681</v>
      </c>
      <c r="Q113" s="532" t="n">
        <v>862693.493031516</v>
      </c>
      <c r="R113" s="532" t="n">
        <v>14208.7098519297</v>
      </c>
      <c r="S113" s="532" t="n">
        <v>1414731.61653252</v>
      </c>
      <c r="T113" s="532" t="n">
        <v>139912.698517305</v>
      </c>
      <c r="U113" s="532" t="n">
        <v>12935.86185308</v>
      </c>
      <c r="V113" s="532" t="n">
        <v>1567580.17690291</v>
      </c>
    </row>
    <row r="114" customFormat="false" ht="14.45" hidden="false" customHeight="true" outlineLevel="0" collapsed="false">
      <c r="A114" s="535" t="s">
        <v>648</v>
      </c>
      <c r="B114" s="533" t="n">
        <v>330678.687413724</v>
      </c>
      <c r="C114" s="533" t="n">
        <v>3753.4998199761</v>
      </c>
      <c r="D114" s="533" t="n">
        <v>40033.5004887835</v>
      </c>
      <c r="E114" s="533" t="n">
        <v>335721.820159761</v>
      </c>
      <c r="F114" s="533" t="n">
        <v>18754.7918107387</v>
      </c>
      <c r="G114" s="533" t="n">
        <v>97813.5777025551</v>
      </c>
      <c r="H114" s="533" t="n">
        <v>826755.877395538</v>
      </c>
      <c r="I114" s="533" t="n">
        <v>228409.784529304</v>
      </c>
      <c r="J114" s="533" t="n">
        <v>33771.1957527759</v>
      </c>
      <c r="K114" s="533" t="n">
        <v>141778.838659602</v>
      </c>
      <c r="L114" s="533" t="n">
        <v>91837.5711558673</v>
      </c>
      <c r="M114" s="533" t="n">
        <v>158596.071295172</v>
      </c>
      <c r="N114" s="533" t="n">
        <v>113283.432873313</v>
      </c>
      <c r="O114" s="533" t="n">
        <v>164504.388515757</v>
      </c>
      <c r="P114" s="533" t="n">
        <v>65623.0872533183</v>
      </c>
      <c r="Q114" s="533" t="n">
        <v>997804.370035109</v>
      </c>
      <c r="R114" s="533" t="n">
        <v>12138.8859806765</v>
      </c>
      <c r="S114" s="533" t="n">
        <v>1812421.36144997</v>
      </c>
      <c r="T114" s="533" t="n">
        <v>150144.904870093</v>
      </c>
      <c r="U114" s="533" t="n">
        <v>13661.06932856</v>
      </c>
      <c r="V114" s="533" t="n">
        <v>1976227.33564862</v>
      </c>
    </row>
    <row r="115" customFormat="false" ht="14.45" hidden="false" customHeight="true" outlineLevel="0" collapsed="false">
      <c r="A115" s="534" t="s">
        <v>649</v>
      </c>
      <c r="B115" s="532" t="n">
        <v>152834.442750823</v>
      </c>
      <c r="C115" s="532" t="n">
        <v>3905.77063311699</v>
      </c>
      <c r="D115" s="532" t="n">
        <v>65538.8832207242</v>
      </c>
      <c r="E115" s="532" t="n">
        <v>352893.455982067</v>
      </c>
      <c r="F115" s="532" t="n">
        <v>19134.7521202654</v>
      </c>
      <c r="G115" s="532" t="n">
        <v>100172.204621392</v>
      </c>
      <c r="H115" s="532" t="n">
        <v>694479.509328388</v>
      </c>
      <c r="I115" s="532" t="n">
        <v>214523.111900474</v>
      </c>
      <c r="J115" s="532" t="n">
        <v>37368.6739543355</v>
      </c>
      <c r="K115" s="532" t="n">
        <v>129427.317628492</v>
      </c>
      <c r="L115" s="532" t="n">
        <v>97682.6297616445</v>
      </c>
      <c r="M115" s="532" t="n">
        <v>177824.201787777</v>
      </c>
      <c r="N115" s="532" t="n">
        <v>123652.949410411</v>
      </c>
      <c r="O115" s="532" t="n">
        <v>153418.55603265</v>
      </c>
      <c r="P115" s="532" t="n">
        <v>63962.3426005468</v>
      </c>
      <c r="Q115" s="532" t="n">
        <v>997859.78307633</v>
      </c>
      <c r="R115" s="532" t="n">
        <v>10098.4354517857</v>
      </c>
      <c r="S115" s="532" t="n">
        <v>1682240.85695293</v>
      </c>
      <c r="T115" s="532" t="n">
        <v>167904.455584465</v>
      </c>
      <c r="U115" s="532" t="n">
        <v>15245.58875548</v>
      </c>
      <c r="V115" s="532" t="n">
        <v>1865390.90129288</v>
      </c>
    </row>
    <row r="116" customFormat="false" ht="14.45" hidden="false" customHeight="true" outlineLevel="0" collapsed="false">
      <c r="A116" s="535" t="s">
        <v>650</v>
      </c>
      <c r="B116" s="533" t="n">
        <v>106540.497350561</v>
      </c>
      <c r="C116" s="533" t="n">
        <v>2011.06798246612</v>
      </c>
      <c r="D116" s="533" t="n">
        <v>70814.3248920613</v>
      </c>
      <c r="E116" s="533" t="n">
        <v>398609.597452571</v>
      </c>
      <c r="F116" s="533" t="n">
        <v>18009.3419330293</v>
      </c>
      <c r="G116" s="533" t="n">
        <v>109780.988385081</v>
      </c>
      <c r="H116" s="533" t="n">
        <v>705765.81799577</v>
      </c>
      <c r="I116" s="533" t="n">
        <v>237425.537421095</v>
      </c>
      <c r="J116" s="533" t="n">
        <v>43962.8145501768</v>
      </c>
      <c r="K116" s="533" t="n">
        <v>140687.120913364</v>
      </c>
      <c r="L116" s="533" t="n">
        <v>111089.191008692</v>
      </c>
      <c r="M116" s="533" t="n">
        <v>182435.354501233</v>
      </c>
      <c r="N116" s="533" t="n">
        <v>135287.951279381</v>
      </c>
      <c r="O116" s="533" t="n">
        <v>164917.761785527</v>
      </c>
      <c r="P116" s="533" t="n">
        <v>71065.6423716444</v>
      </c>
      <c r="Q116" s="533" t="n">
        <v>1076825.15203758</v>
      </c>
      <c r="R116" s="533" t="n">
        <v>21647.1090896219</v>
      </c>
      <c r="S116" s="533" t="n">
        <v>1770990.08273726</v>
      </c>
      <c r="T116" s="533" t="n">
        <v>171371.148911705</v>
      </c>
      <c r="U116" s="533" t="n">
        <v>16528.89345552</v>
      </c>
      <c r="V116" s="533" t="n">
        <v>1958890.12510449</v>
      </c>
    </row>
    <row r="117" customFormat="false" ht="14.45" hidden="false" customHeight="true" outlineLevel="0" collapsed="false">
      <c r="A117" s="534" t="s">
        <v>651</v>
      </c>
      <c r="B117" s="532" t="n">
        <v>92061.5609950197</v>
      </c>
      <c r="C117" s="532" t="n">
        <v>1679.22136264831</v>
      </c>
      <c r="D117" s="532" t="n">
        <v>74981.7885796735</v>
      </c>
      <c r="E117" s="532" t="n">
        <v>346989.734190289</v>
      </c>
      <c r="F117" s="532" t="n">
        <v>17740.9614380327</v>
      </c>
      <c r="G117" s="532" t="n">
        <v>98776.2910884698</v>
      </c>
      <c r="H117" s="532" t="n">
        <v>632229.557654133</v>
      </c>
      <c r="I117" s="532" t="n">
        <v>214719.796532035</v>
      </c>
      <c r="J117" s="532" t="n">
        <v>53170.3414514197</v>
      </c>
      <c r="K117" s="532" t="n">
        <v>151795.184359474</v>
      </c>
      <c r="L117" s="532" t="n">
        <v>114225.212255292</v>
      </c>
      <c r="M117" s="532" t="n">
        <v>179831.24577242</v>
      </c>
      <c r="N117" s="532" t="n">
        <v>141415.793564691</v>
      </c>
      <c r="O117" s="532" t="n">
        <v>155622.084210974</v>
      </c>
      <c r="P117" s="532" t="n">
        <v>66045.4938912772</v>
      </c>
      <c r="Q117" s="532" t="n">
        <v>1076825.15203758</v>
      </c>
      <c r="R117" s="532" t="n">
        <v>21514.7123956936</v>
      </c>
      <c r="S117" s="532" t="n">
        <v>1687539.99729602</v>
      </c>
      <c r="T117" s="532" t="n">
        <v>173897.035651425</v>
      </c>
      <c r="U117" s="532" t="n">
        <v>13497.98857296</v>
      </c>
      <c r="V117" s="532" t="n">
        <v>1874935.02152041</v>
      </c>
    </row>
    <row r="118" customFormat="false" ht="14.45" hidden="false" customHeight="true" outlineLevel="0" collapsed="false">
      <c r="A118" s="535" t="s">
        <v>652</v>
      </c>
      <c r="B118" s="533" t="n">
        <v>315564.163320008</v>
      </c>
      <c r="C118" s="533" t="n">
        <v>2407.9145350176</v>
      </c>
      <c r="D118" s="533" t="n">
        <v>62097.7213192895</v>
      </c>
      <c r="E118" s="533" t="n">
        <v>352733.685112282</v>
      </c>
      <c r="F118" s="533" t="n">
        <v>19961.2126403027</v>
      </c>
      <c r="G118" s="533" t="n">
        <v>118265.136459444</v>
      </c>
      <c r="H118" s="533" t="n">
        <v>871029.833386344</v>
      </c>
      <c r="I118" s="533" t="n">
        <v>280137.27706252</v>
      </c>
      <c r="J118" s="533" t="n">
        <v>37403.6994521802</v>
      </c>
      <c r="K118" s="533" t="n">
        <v>158647.123435338</v>
      </c>
      <c r="L118" s="533" t="n">
        <v>125069.893935167</v>
      </c>
      <c r="M118" s="533" t="n">
        <v>183645.162221486</v>
      </c>
      <c r="N118" s="533" t="n">
        <v>147674.070675841</v>
      </c>
      <c r="O118" s="533" t="n">
        <v>208181.721097279</v>
      </c>
      <c r="P118" s="533" t="n">
        <v>82985.1756200784</v>
      </c>
      <c r="Q118" s="533" t="n">
        <v>1223744.12349989</v>
      </c>
      <c r="R118" s="533" t="n">
        <v>18466.3502581155</v>
      </c>
      <c r="S118" s="533" t="n">
        <v>2076307.60662812</v>
      </c>
      <c r="T118" s="533" t="n">
        <v>183804.246924265</v>
      </c>
      <c r="U118" s="533" t="n">
        <v>13049.83932008</v>
      </c>
      <c r="V118" s="533" t="n">
        <v>2273161.69287246</v>
      </c>
    </row>
    <row r="119" customFormat="false" ht="14.45" hidden="false" customHeight="true" outlineLevel="0" collapsed="false">
      <c r="A119" s="534" t="s">
        <v>653</v>
      </c>
      <c r="B119" s="532" t="n">
        <v>158152.617490278</v>
      </c>
      <c r="C119" s="532" t="n">
        <v>4841.37109272767</v>
      </c>
      <c r="D119" s="532" t="n">
        <v>84590.4118874602</v>
      </c>
      <c r="E119" s="532" t="n">
        <v>388077.328835852</v>
      </c>
      <c r="F119" s="532" t="n">
        <v>21417.3794700281</v>
      </c>
      <c r="G119" s="532" t="n">
        <v>120185.52060215</v>
      </c>
      <c r="H119" s="532" t="n">
        <v>777264.629378496</v>
      </c>
      <c r="I119" s="532" t="n">
        <v>262923.212493583</v>
      </c>
      <c r="J119" s="532" t="n">
        <v>42811.6951718905</v>
      </c>
      <c r="K119" s="532" t="n">
        <v>145843.877224292</v>
      </c>
      <c r="L119" s="532" t="n">
        <v>130352.332112834</v>
      </c>
      <c r="M119" s="532" t="n">
        <v>197747.027520318</v>
      </c>
      <c r="N119" s="532" t="n">
        <v>156048.503693228</v>
      </c>
      <c r="O119" s="532" t="n">
        <v>189697.043583203</v>
      </c>
      <c r="P119" s="532" t="n">
        <v>73742.3964129501</v>
      </c>
      <c r="Q119" s="532" t="n">
        <v>1199166.0882123</v>
      </c>
      <c r="R119" s="532" t="n">
        <v>15940.7093667934</v>
      </c>
      <c r="S119" s="532" t="n">
        <v>1960490.008224</v>
      </c>
      <c r="T119" s="532" t="n">
        <v>203947.75939751</v>
      </c>
      <c r="U119" s="532" t="n">
        <v>18471.62929164</v>
      </c>
      <c r="V119" s="532" t="n">
        <v>2182909.39691315</v>
      </c>
    </row>
    <row r="120" customFormat="false" ht="14.45" hidden="false" customHeight="true" outlineLevel="0" collapsed="false">
      <c r="A120" s="535" t="s">
        <v>654</v>
      </c>
      <c r="B120" s="533" t="n">
        <v>131839.729433876</v>
      </c>
      <c r="C120" s="533" t="n">
        <v>2974.34232346298</v>
      </c>
      <c r="D120" s="533" t="n">
        <v>76702.2630731141</v>
      </c>
      <c r="E120" s="533" t="n">
        <v>448060.113776201</v>
      </c>
      <c r="F120" s="533" t="n">
        <v>21198.5650877139</v>
      </c>
      <c r="G120" s="533" t="n">
        <v>129878.161078168</v>
      </c>
      <c r="H120" s="533" t="n">
        <v>810653.174772535</v>
      </c>
      <c r="I120" s="533" t="n">
        <v>297490.102505527</v>
      </c>
      <c r="J120" s="533" t="n">
        <v>51433.5783931179</v>
      </c>
      <c r="K120" s="533" t="n">
        <v>167434.082899331</v>
      </c>
      <c r="L120" s="533" t="n">
        <v>136334.13523101</v>
      </c>
      <c r="M120" s="533" t="n">
        <v>196926.823805595</v>
      </c>
      <c r="N120" s="533" t="n">
        <v>167986.12614894</v>
      </c>
      <c r="O120" s="533" t="n">
        <v>196530.776778172</v>
      </c>
      <c r="P120" s="533" t="n">
        <v>84118.1297210654</v>
      </c>
      <c r="Q120" s="533" t="n">
        <v>1298253.75548276</v>
      </c>
      <c r="R120" s="533" t="n">
        <v>25159.8040458478</v>
      </c>
      <c r="S120" s="533" t="n">
        <v>2083747.12620944</v>
      </c>
      <c r="T120" s="533" t="n">
        <v>221244.31461703</v>
      </c>
      <c r="U120" s="533" t="n">
        <v>20985.95152164</v>
      </c>
      <c r="V120" s="533" t="n">
        <v>2325977.39234812</v>
      </c>
    </row>
    <row r="121" customFormat="false" ht="14.45" hidden="false" customHeight="true" outlineLevel="0" collapsed="false">
      <c r="A121" s="534" t="s">
        <v>655</v>
      </c>
      <c r="B121" s="532" t="n">
        <v>124063.418244398</v>
      </c>
      <c r="C121" s="532" t="n">
        <v>3241.7228500876</v>
      </c>
      <c r="D121" s="532" t="n">
        <v>79799.4974744236</v>
      </c>
      <c r="E121" s="532" t="n">
        <v>391988.721527753</v>
      </c>
      <c r="F121" s="532" t="n">
        <v>20479.4270594926</v>
      </c>
      <c r="G121" s="532" t="n">
        <v>115070.665696256</v>
      </c>
      <c r="H121" s="532" t="n">
        <v>734643.452852411</v>
      </c>
      <c r="I121" s="532" t="n">
        <v>269720.994349013</v>
      </c>
      <c r="J121" s="532" t="n">
        <v>60408.440368707</v>
      </c>
      <c r="K121" s="532" t="n">
        <v>183209.187464032</v>
      </c>
      <c r="L121" s="532" t="n">
        <v>146469.040008673</v>
      </c>
      <c r="M121" s="532" t="n">
        <v>196625.834186748</v>
      </c>
      <c r="N121" s="532" t="n">
        <v>177671.392685364</v>
      </c>
      <c r="O121" s="532" t="n">
        <v>188841.189185659</v>
      </c>
      <c r="P121" s="532" t="n">
        <v>84620.5694836981</v>
      </c>
      <c r="Q121" s="532" t="n">
        <v>1307566.64773189</v>
      </c>
      <c r="R121" s="532" t="n">
        <v>31299.2368112874</v>
      </c>
      <c r="S121" s="532" t="n">
        <v>2010910.86377302</v>
      </c>
      <c r="T121" s="532" t="n">
        <v>248191.77448763</v>
      </c>
      <c r="U121" s="532" t="n">
        <v>20386.70942576</v>
      </c>
      <c r="V121" s="532" t="n">
        <v>2279489.34768641</v>
      </c>
    </row>
    <row r="122" customFormat="false" ht="14.45" hidden="false" customHeight="true" outlineLevel="0" collapsed="false">
      <c r="A122" s="535" t="s">
        <v>656</v>
      </c>
      <c r="B122" s="533" t="n">
        <v>456653.034292189</v>
      </c>
      <c r="C122" s="533" t="n">
        <v>9511.31436078706</v>
      </c>
      <c r="D122" s="533" t="n">
        <v>71253.2570157739</v>
      </c>
      <c r="E122" s="533" t="n">
        <v>412572.937303315</v>
      </c>
      <c r="F122" s="533" t="n">
        <v>22719.9126430286</v>
      </c>
      <c r="G122" s="533" t="n">
        <v>141484.661783068</v>
      </c>
      <c r="H122" s="533" t="n">
        <v>1114195.11739816</v>
      </c>
      <c r="I122" s="533" t="n">
        <v>361364.280704004</v>
      </c>
      <c r="J122" s="533" t="n">
        <v>43275.6312469678</v>
      </c>
      <c r="K122" s="533" t="n">
        <v>200220.471306642</v>
      </c>
      <c r="L122" s="533" t="n">
        <v>159778.942120914</v>
      </c>
      <c r="M122" s="533" t="n">
        <v>203461.60883006</v>
      </c>
      <c r="N122" s="533" t="n">
        <v>183391.159436041</v>
      </c>
      <c r="O122" s="533" t="n">
        <v>259691.558440135</v>
      </c>
      <c r="P122" s="533" t="n">
        <v>121615.919294887</v>
      </c>
      <c r="Q122" s="533" t="n">
        <v>1532799.57137965</v>
      </c>
      <c r="R122" s="533" t="n">
        <v>22716.9256611172</v>
      </c>
      <c r="S122" s="533" t="n">
        <v>2624277.76311669</v>
      </c>
      <c r="T122" s="533" t="n">
        <v>260944.57836367</v>
      </c>
      <c r="U122" s="533" t="n">
        <v>22056.02892228</v>
      </c>
      <c r="V122" s="533" t="n">
        <v>2907278.37040264</v>
      </c>
    </row>
    <row r="123" customFormat="false" ht="14.45" hidden="false" customHeight="true" outlineLevel="0" collapsed="false">
      <c r="A123" s="534" t="s">
        <v>657</v>
      </c>
      <c r="B123" s="532" t="n">
        <v>185303.596456622</v>
      </c>
      <c r="C123" s="532" t="n">
        <v>10689.458540413</v>
      </c>
      <c r="D123" s="532" t="n">
        <v>99280.0729529142</v>
      </c>
      <c r="E123" s="532" t="n">
        <v>450564.313195366</v>
      </c>
      <c r="F123" s="532" t="n">
        <v>25898.1032702376</v>
      </c>
      <c r="G123" s="532" t="n">
        <v>148030.870942468</v>
      </c>
      <c r="H123" s="532" t="n">
        <v>919766.415358021</v>
      </c>
      <c r="I123" s="532" t="n">
        <v>323718.617126575</v>
      </c>
      <c r="J123" s="532" t="n">
        <v>48455.2314503379</v>
      </c>
      <c r="K123" s="532" t="n">
        <v>182209.189176323</v>
      </c>
      <c r="L123" s="532" t="n">
        <v>175591.321700837</v>
      </c>
      <c r="M123" s="532" t="n">
        <v>222893.886546907</v>
      </c>
      <c r="N123" s="532" t="n">
        <v>200128.742522096</v>
      </c>
      <c r="O123" s="532" t="n">
        <v>233340.135462086</v>
      </c>
      <c r="P123" s="532" t="n">
        <v>109504.682236533</v>
      </c>
      <c r="Q123" s="532" t="n">
        <v>1495841.80622169</v>
      </c>
      <c r="R123" s="532" t="n">
        <v>22649.2912889733</v>
      </c>
      <c r="S123" s="532" t="n">
        <v>2392958.93029074</v>
      </c>
      <c r="T123" s="532" t="n">
        <v>293485.57069587</v>
      </c>
      <c r="U123" s="532" t="n">
        <v>25012.9866636</v>
      </c>
      <c r="V123" s="532" t="n">
        <v>2711457.48765021</v>
      </c>
    </row>
    <row r="124" customFormat="false" ht="14.45" hidden="false" customHeight="true" outlineLevel="0" collapsed="false">
      <c r="A124" s="522"/>
      <c r="B124" s="518"/>
      <c r="C124" s="518"/>
      <c r="D124" s="518"/>
      <c r="E124" s="518"/>
      <c r="F124" s="518"/>
      <c r="G124" s="518"/>
      <c r="H124" s="518"/>
      <c r="I124" s="518"/>
      <c r="J124" s="518"/>
      <c r="K124" s="518"/>
      <c r="L124" s="518"/>
      <c r="M124" s="518"/>
      <c r="N124" s="518"/>
      <c r="O124" s="518"/>
      <c r="P124" s="518"/>
      <c r="Q124" s="518"/>
      <c r="R124" s="518"/>
      <c r="S124" s="518"/>
      <c r="T124" s="518"/>
      <c r="U124" s="518"/>
      <c r="V124" s="518"/>
    </row>
    <row r="125" customFormat="false" ht="14.45" hidden="false" customHeight="true" outlineLevel="0" collapsed="false">
      <c r="A125" s="522"/>
      <c r="B125" s="518"/>
      <c r="C125" s="518"/>
      <c r="D125" s="518"/>
      <c r="E125" s="518"/>
      <c r="F125" s="518"/>
      <c r="G125" s="518"/>
      <c r="H125" s="518"/>
      <c r="I125" s="518"/>
      <c r="J125" s="518"/>
      <c r="K125" s="518"/>
      <c r="L125" s="518"/>
      <c r="M125" s="518"/>
      <c r="N125" s="518"/>
      <c r="O125" s="518"/>
      <c r="P125" s="518"/>
      <c r="Q125" s="518"/>
      <c r="R125" s="518"/>
      <c r="S125" s="518"/>
      <c r="T125" s="518"/>
      <c r="U125" s="518"/>
      <c r="V125" s="518"/>
    </row>
    <row r="126" customFormat="false" ht="14.45" hidden="false" customHeight="true" outlineLevel="0" collapsed="false">
      <c r="A126" s="522"/>
      <c r="B126" s="518"/>
      <c r="C126" s="518"/>
      <c r="D126" s="518"/>
      <c r="E126" s="518"/>
      <c r="F126" s="518"/>
      <c r="G126" s="518"/>
      <c r="H126" s="518"/>
      <c r="I126" s="518"/>
      <c r="J126" s="518"/>
      <c r="K126" s="518"/>
      <c r="L126" s="518"/>
      <c r="M126" s="518"/>
      <c r="N126" s="518"/>
      <c r="O126" s="518"/>
      <c r="P126" s="518"/>
      <c r="Q126" s="518"/>
      <c r="R126" s="518"/>
      <c r="S126" s="518"/>
      <c r="T126" s="518"/>
      <c r="U126" s="518"/>
      <c r="V126" s="518"/>
    </row>
    <row r="127" customFormat="false" ht="14.45" hidden="false" customHeight="true" outlineLevel="0" collapsed="false">
      <c r="A127" s="522"/>
      <c r="B127" s="518"/>
      <c r="C127" s="518"/>
      <c r="D127" s="518"/>
      <c r="E127" s="518"/>
      <c r="F127" s="518"/>
      <c r="G127" s="518"/>
      <c r="H127" s="518"/>
      <c r="I127" s="518"/>
      <c r="J127" s="518"/>
      <c r="K127" s="518"/>
      <c r="L127" s="518"/>
      <c r="M127" s="518"/>
      <c r="N127" s="518"/>
      <c r="O127" s="518"/>
      <c r="P127" s="518"/>
      <c r="Q127" s="518"/>
      <c r="R127" s="518"/>
      <c r="S127" s="518"/>
      <c r="T127" s="518"/>
      <c r="U127" s="518"/>
      <c r="V127" s="518"/>
    </row>
    <row r="128" customFormat="false" ht="14.45" hidden="false" customHeight="true" outlineLevel="0" collapsed="false">
      <c r="A128" s="522"/>
      <c r="B128" s="518"/>
      <c r="C128" s="518"/>
      <c r="D128" s="518"/>
      <c r="E128" s="518"/>
      <c r="F128" s="518"/>
      <c r="G128" s="518"/>
      <c r="H128" s="518"/>
      <c r="I128" s="518"/>
      <c r="J128" s="518"/>
      <c r="K128" s="518"/>
      <c r="L128" s="518"/>
      <c r="M128" s="518"/>
      <c r="N128" s="518"/>
      <c r="O128" s="518"/>
      <c r="P128" s="518"/>
      <c r="Q128" s="518"/>
      <c r="R128" s="518"/>
      <c r="S128" s="518"/>
      <c r="T128" s="518"/>
      <c r="U128" s="518"/>
      <c r="V128" s="518"/>
    </row>
    <row r="129" customFormat="false" ht="14.45" hidden="false" customHeight="true" outlineLevel="0" collapsed="false">
      <c r="A129" s="536"/>
      <c r="B129" s="537" t="s">
        <v>728</v>
      </c>
      <c r="C129" s="523"/>
      <c r="D129" s="523"/>
      <c r="E129" s="523"/>
      <c r="F129" s="523"/>
      <c r="G129" s="523"/>
      <c r="H129" s="523"/>
      <c r="I129" s="523"/>
      <c r="J129" s="523"/>
      <c r="K129" s="523"/>
      <c r="L129" s="523"/>
      <c r="M129" s="523"/>
      <c r="N129" s="523"/>
      <c r="O129" s="523"/>
      <c r="P129" s="523"/>
      <c r="Q129" s="523"/>
      <c r="R129" s="523"/>
      <c r="S129" s="523"/>
      <c r="T129" s="523"/>
      <c r="U129" s="523"/>
      <c r="V129" s="523"/>
    </row>
    <row r="130" customFormat="false" ht="14.45" hidden="false" customHeight="true" outlineLevel="0" collapsed="false">
      <c r="A130" s="536"/>
      <c r="B130" s="537" t="s">
        <v>729</v>
      </c>
      <c r="C130" s="523"/>
      <c r="D130" s="523"/>
      <c r="E130" s="523"/>
      <c r="F130" s="523"/>
      <c r="G130" s="523"/>
      <c r="H130" s="523"/>
      <c r="I130" s="523"/>
      <c r="J130" s="523"/>
      <c r="K130" s="523"/>
      <c r="L130" s="523"/>
      <c r="M130" s="523"/>
      <c r="N130" s="523"/>
      <c r="O130" s="523"/>
      <c r="P130" s="523"/>
      <c r="Q130" s="523"/>
      <c r="R130" s="523"/>
      <c r="S130" s="523"/>
      <c r="T130" s="523"/>
      <c r="U130" s="523"/>
      <c r="V130" s="523"/>
    </row>
    <row r="131" customFormat="false" ht="14.45" hidden="false" customHeight="true" outlineLevel="0" collapsed="false">
      <c r="A131" s="536"/>
      <c r="B131" s="538" t="s">
        <v>730</v>
      </c>
      <c r="C131" s="523"/>
      <c r="D131" s="523"/>
      <c r="E131" s="523"/>
      <c r="F131" s="523"/>
      <c r="G131" s="523"/>
      <c r="H131" s="523"/>
      <c r="I131" s="523"/>
      <c r="J131" s="523"/>
      <c r="K131" s="523"/>
      <c r="L131" s="523"/>
      <c r="M131" s="523"/>
      <c r="N131" s="523"/>
      <c r="O131" s="523"/>
      <c r="P131" s="523"/>
      <c r="Q131" s="523"/>
      <c r="R131" s="523"/>
      <c r="S131" s="523"/>
      <c r="T131" s="523"/>
      <c r="U131" s="523"/>
      <c r="V131" s="523"/>
    </row>
    <row r="132" customFormat="false" ht="14.45" hidden="false" customHeight="true" outlineLevel="0" collapsed="false">
      <c r="A132" s="536"/>
      <c r="B132" s="523"/>
      <c r="C132" s="523"/>
      <c r="D132" s="523"/>
      <c r="E132" s="523"/>
      <c r="F132" s="523"/>
      <c r="G132" s="523"/>
      <c r="H132" s="523"/>
      <c r="I132" s="523"/>
      <c r="J132" s="523"/>
      <c r="K132" s="523"/>
      <c r="L132" s="523"/>
      <c r="M132" s="523"/>
      <c r="N132" s="523"/>
      <c r="O132" s="523"/>
      <c r="P132" s="523"/>
      <c r="Q132" s="523"/>
      <c r="R132" s="523"/>
      <c r="S132" s="523"/>
      <c r="T132" s="523"/>
      <c r="U132" s="523"/>
      <c r="V132" s="523"/>
    </row>
  </sheetData>
  <hyperlinks>
    <hyperlink ref="B1" location="Indice!A1" display="CUADRO 1.6"/>
    <hyperlink ref="J1" location="Indice!A1" display="Índice"/>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A35"/>
  <sheetViews>
    <sheetView showFormulas="false" showGridLines="true" showRowColHeaders="true" showZeros="true" rightToLeft="false" tabSelected="false" showOutlineSymbols="true" defaultGridColor="true" view="normal" topLeftCell="V1" colorId="64" zoomScale="75" zoomScaleNormal="75" zoomScalePageLayoutView="100" workbookViewId="0">
      <selection pane="topLeft" activeCell="X30" activeCellId="0" sqref="X30"/>
    </sheetView>
  </sheetViews>
  <sheetFormatPr defaultColWidth="11.43359375" defaultRowHeight="15" zeroHeight="false" outlineLevelRow="0" outlineLevelCol="0"/>
  <cols>
    <col collapsed="false" customWidth="false" hidden="false" outlineLevel="0" max="1" min="1" style="1" width="11.42"/>
    <col collapsed="false" customWidth="true" hidden="false" outlineLevel="0" max="2" min="2" style="1" width="13.86"/>
    <col collapsed="false" customWidth="false" hidden="false" outlineLevel="0" max="5" min="3" style="1" width="11.42"/>
    <col collapsed="false" customWidth="true" hidden="false" outlineLevel="0" max="6" min="6" style="1" width="15"/>
    <col collapsed="false" customWidth="false" hidden="false" outlineLevel="0" max="7" min="7" style="1" width="11.42"/>
    <col collapsed="false" customWidth="true" hidden="false" outlineLevel="0" max="8" min="8" style="1" width="15"/>
    <col collapsed="false" customWidth="false" hidden="false" outlineLevel="0" max="12" min="9" style="1" width="11.42"/>
    <col collapsed="false" customWidth="true" hidden="false" outlineLevel="0" max="25" min="13" style="1" width="18.71"/>
    <col collapsed="false" customWidth="true" hidden="false" outlineLevel="0" max="26" min="26" style="1" width="14.86"/>
    <col collapsed="false" customWidth="false" hidden="false" outlineLevel="0" max="27" min="27" style="1" width="11.42"/>
    <col collapsed="false" customWidth="true" hidden="false" outlineLevel="0" max="258" min="258" style="0" width="13.86"/>
    <col collapsed="false" customWidth="true" hidden="false" outlineLevel="0" max="262" min="262" style="0" width="15"/>
    <col collapsed="false" customWidth="true" hidden="false" outlineLevel="0" max="264" min="264" style="0" width="15"/>
    <col collapsed="false" customWidth="true" hidden="false" outlineLevel="0" max="281" min="269" style="0" width="18.71"/>
    <col collapsed="false" customWidth="true" hidden="false" outlineLevel="0" max="514" min="514" style="0" width="13.86"/>
    <col collapsed="false" customWidth="true" hidden="false" outlineLevel="0" max="518" min="518" style="0" width="15"/>
    <col collapsed="false" customWidth="true" hidden="false" outlineLevel="0" max="520" min="520" style="0" width="15"/>
    <col collapsed="false" customWidth="true" hidden="false" outlineLevel="0" max="537" min="525" style="0" width="18.71"/>
    <col collapsed="false" customWidth="true" hidden="false" outlineLevel="0" max="770" min="770" style="0" width="13.86"/>
    <col collapsed="false" customWidth="true" hidden="false" outlineLevel="0" max="774" min="774" style="0" width="15"/>
    <col collapsed="false" customWidth="true" hidden="false" outlineLevel="0" max="776" min="776" style="0" width="15"/>
    <col collapsed="false" customWidth="true" hidden="false" outlineLevel="0" max="793" min="781" style="0" width="18.71"/>
  </cols>
  <sheetData>
    <row r="1" customFormat="false" ht="15" hidden="false" customHeight="false" outlineLevel="0" collapsed="false">
      <c r="C1" s="1" t="s">
        <v>731</v>
      </c>
    </row>
    <row r="2" customFormat="false" ht="15" hidden="false" customHeight="false" outlineLevel="0" collapsed="false">
      <c r="C2" s="1" t="s">
        <v>732</v>
      </c>
      <c r="D2" s="1" t="s">
        <v>733</v>
      </c>
      <c r="H2" s="1" t="s">
        <v>734</v>
      </c>
      <c r="I2" s="1" t="s">
        <v>735</v>
      </c>
      <c r="L2" s="539"/>
      <c r="M2" s="539"/>
      <c r="N2" s="539" t="s">
        <v>736</v>
      </c>
      <c r="O2" s="539"/>
      <c r="P2" s="539"/>
      <c r="Q2" s="539"/>
      <c r="R2" s="539"/>
      <c r="S2" s="539"/>
      <c r="T2" s="539"/>
      <c r="U2" s="539"/>
      <c r="V2" s="539"/>
      <c r="W2" s="539"/>
      <c r="X2" s="539"/>
      <c r="Y2" s="539"/>
    </row>
    <row r="3" customFormat="false" ht="11.85" hidden="false" customHeight="true" outlineLevel="0" collapsed="false">
      <c r="B3" s="1" t="n">
        <v>1993</v>
      </c>
      <c r="C3" s="1" t="n">
        <v>8148.7</v>
      </c>
      <c r="H3" s="312" t="n">
        <f aca="false">(('Cálculo masa impuestos copartic'!C3+'Cálculo masa impuestos copartic'!D3)/0.5666+45.8*12)/0.85</f>
        <v>17566.295052013</v>
      </c>
      <c r="I3" s="28" t="n">
        <f aca="false">'Cálculo masa impuestos copartic'!H3*0.15*1000</f>
        <v>2634944.25780196</v>
      </c>
      <c r="L3" s="539"/>
      <c r="M3" s="539"/>
      <c r="N3" s="539"/>
      <c r="O3" s="539"/>
      <c r="P3" s="539"/>
      <c r="Q3" s="539"/>
      <c r="R3" s="539"/>
      <c r="S3" s="539"/>
      <c r="T3" s="539"/>
      <c r="U3" s="539"/>
      <c r="V3" s="539"/>
      <c r="W3" s="539"/>
      <c r="X3" s="539"/>
      <c r="Y3" s="540"/>
    </row>
    <row r="4" customFormat="false" ht="64.5" hidden="false" customHeight="false" outlineLevel="0" collapsed="false">
      <c r="B4" s="1" t="n">
        <f aca="false">'Cálculo masa impuestos copartic'!B3+1</f>
        <v>1994</v>
      </c>
      <c r="C4" s="1" t="n">
        <v>8862.8</v>
      </c>
      <c r="H4" s="312" t="n">
        <f aca="false">(('Cálculo masa impuestos copartic'!C4+'Cálculo masa impuestos copartic'!D4)/0.5666+45.8*12)/0.85</f>
        <v>19049.0300450572</v>
      </c>
      <c r="I4" s="28" t="n">
        <f aca="false">'Cálculo masa impuestos copartic'!H4*0.15*1000</f>
        <v>2857354.50675858</v>
      </c>
      <c r="L4" s="539"/>
      <c r="M4" s="541" t="s">
        <v>737</v>
      </c>
      <c r="N4" s="541" t="s">
        <v>738</v>
      </c>
      <c r="O4" s="541" t="s">
        <v>739</v>
      </c>
      <c r="P4" s="541" t="s">
        <v>740</v>
      </c>
      <c r="Q4" s="541" t="s">
        <v>741</v>
      </c>
      <c r="R4" s="541" t="s">
        <v>742</v>
      </c>
      <c r="S4" s="541" t="s">
        <v>743</v>
      </c>
      <c r="T4" s="541" t="s">
        <v>744</v>
      </c>
      <c r="U4" s="541" t="s">
        <v>745</v>
      </c>
      <c r="V4" s="541" t="s">
        <v>746</v>
      </c>
      <c r="W4" s="541" t="s">
        <v>747</v>
      </c>
      <c r="X4" s="541" t="s">
        <v>748</v>
      </c>
      <c r="Y4" s="542" t="s">
        <v>749</v>
      </c>
    </row>
    <row r="5" customFormat="false" ht="15" hidden="false" customHeight="false" outlineLevel="0" collapsed="false">
      <c r="B5" s="1" t="n">
        <f aca="false">'Cálculo masa impuestos copartic'!B4+1</f>
        <v>1995</v>
      </c>
      <c r="C5" s="1" t="n">
        <v>8092.1</v>
      </c>
      <c r="H5" s="312" t="n">
        <f aca="false">(('Cálculo masa impuestos copartic'!C5+'Cálculo masa impuestos copartic'!D5)/0.5666+45.8*12)/0.85</f>
        <v>17448.7725753203</v>
      </c>
      <c r="I5" s="28" t="n">
        <f aca="false">'Cálculo masa impuestos copartic'!H5*0.15*1000</f>
        <v>2617315.88629804</v>
      </c>
      <c r="L5" s="543" t="n">
        <v>1993</v>
      </c>
      <c r="M5" s="544" t="n">
        <v>8148.7</v>
      </c>
      <c r="N5" s="544" t="n">
        <v>660.7</v>
      </c>
      <c r="O5" s="544" t="n">
        <v>0</v>
      </c>
      <c r="P5" s="544" t="n">
        <v>1295.6</v>
      </c>
      <c r="Q5" s="544" t="n">
        <v>534.9</v>
      </c>
      <c r="R5" s="544" t="n">
        <v>0</v>
      </c>
      <c r="S5" s="544" t="n">
        <f aca="false">((SUM('Cálculo masa impuestos copartic'!M5:R5)-'Cálculo masa impuestos copartic'!Q5-'Cálculo masa impuestos copartic'!N5)/(0.5666+0.00388)+'Cálculo masa impuestos copartic'!Q5)/0.85</f>
        <v>20105.772129971</v>
      </c>
      <c r="T5" s="544"/>
      <c r="U5" s="544" t="n">
        <f aca="false">'Cálculo masa impuestos copartic'!S5*0.15</f>
        <v>3015.86581949566</v>
      </c>
      <c r="V5" s="544"/>
      <c r="W5" s="544"/>
      <c r="X5" s="544" t="n">
        <f aca="false">'Cálculo masa impuestos copartic'!U5</f>
        <v>3015.86581949566</v>
      </c>
      <c r="Y5" s="545" t="n">
        <v>2950.9</v>
      </c>
    </row>
    <row r="6" customFormat="false" ht="15" hidden="false" customHeight="false" outlineLevel="0" collapsed="false">
      <c r="B6" s="1" t="n">
        <f aca="false">'Cálculo masa impuestos copartic'!B5+1</f>
        <v>1996</v>
      </c>
      <c r="C6" s="1" t="n">
        <v>8872.5</v>
      </c>
      <c r="H6" s="312" t="n">
        <f aca="false">(('Cálculo masa impuestos copartic'!C6+'Cálculo masa impuestos copartic'!D6)/0.5666+45.8*12)/0.85</f>
        <v>19069.170822865</v>
      </c>
      <c r="I6" s="28" t="n">
        <f aca="false">'Cálculo masa impuestos copartic'!H6*0.15*1000</f>
        <v>2860375.62342975</v>
      </c>
      <c r="K6" s="546" t="n">
        <v>3531272.166</v>
      </c>
      <c r="L6" s="547" t="n">
        <f aca="false">'Cálculo masa impuestos copartic'!L5+1</f>
        <v>1994</v>
      </c>
      <c r="M6" s="548" t="n">
        <v>8862.8</v>
      </c>
      <c r="N6" s="548" t="n">
        <v>246.3</v>
      </c>
      <c r="O6" s="548" t="n">
        <v>0</v>
      </c>
      <c r="P6" s="548" t="n">
        <v>1318</v>
      </c>
      <c r="Q6" s="548" t="n">
        <v>534.6</v>
      </c>
      <c r="R6" s="548" t="n">
        <v>0</v>
      </c>
      <c r="S6" s="548" t="n">
        <f aca="false">((SUM('Cálculo masa impuestos copartic'!M6:R6)-'Cálculo masa impuestos copartic'!Q6-'Cálculo masa impuestos copartic'!N6)/(0.5666+0.007)+'Cálculo masa impuestos copartic'!Q6)/0.85</f>
        <v>21510.0634998769</v>
      </c>
      <c r="T6" s="548"/>
      <c r="U6" s="548" t="n">
        <f aca="false">'Cálculo masa impuestos copartic'!S6*0.15</f>
        <v>3226.50952498154</v>
      </c>
      <c r="V6" s="548"/>
      <c r="W6" s="548"/>
      <c r="X6" s="548" t="n">
        <f aca="false">'Cálculo masa impuestos copartic'!U6</f>
        <v>3226.50952498154</v>
      </c>
      <c r="Y6" s="549" t="n">
        <v>2655.18568941</v>
      </c>
      <c r="Z6" s="28"/>
    </row>
    <row r="7" customFormat="false" ht="15" hidden="false" customHeight="false" outlineLevel="0" collapsed="false">
      <c r="B7" s="1" t="n">
        <f aca="false">'Cálculo masa impuestos copartic'!B6+1</f>
        <v>1997</v>
      </c>
      <c r="C7" s="1" t="n">
        <v>10062.3</v>
      </c>
      <c r="H7" s="312" t="n">
        <f aca="false">(('Cálculo masa impuestos copartic'!C7+'Cálculo masa impuestos copartic'!D7)/0.5666+45.8*12)/0.85</f>
        <v>21539.6344760283</v>
      </c>
      <c r="I7" s="28" t="n">
        <f aca="false">'Cálculo masa impuestos copartic'!H7*0.15*1000</f>
        <v>3230945.17140425</v>
      </c>
      <c r="K7" s="550" t="n">
        <v>3644130.76831326</v>
      </c>
      <c r="L7" s="543" t="n">
        <f aca="false">'Cálculo masa impuestos copartic'!L6+1</f>
        <v>1995</v>
      </c>
      <c r="M7" s="544" t="n">
        <v>8092.1</v>
      </c>
      <c r="N7" s="544" t="n">
        <v>845.5</v>
      </c>
      <c r="O7" s="544" t="n">
        <v>0</v>
      </c>
      <c r="P7" s="544" t="n">
        <v>1318</v>
      </c>
      <c r="Q7" s="544" t="n">
        <v>543.6</v>
      </c>
      <c r="R7" s="544" t="n">
        <v>0</v>
      </c>
      <c r="S7" s="544" t="n">
        <f aca="false">((SUM('Cálculo masa impuestos copartic'!M7:R7)-'Cálculo masa impuestos copartic'!Q7-'Cálculo masa impuestos copartic'!N7)/(0.5666+0.007)+'Cálculo masa impuestos copartic'!Q7)/0.85</f>
        <v>19939.9232094511</v>
      </c>
      <c r="T7" s="544"/>
      <c r="U7" s="544" t="n">
        <f aca="false">'Cálculo masa impuestos copartic'!S7*0.15</f>
        <v>2990.98848141767</v>
      </c>
      <c r="V7" s="544"/>
      <c r="W7" s="544"/>
      <c r="X7" s="544" t="n">
        <f aca="false">'Cálculo masa impuestos copartic'!U7</f>
        <v>2990.98848141767</v>
      </c>
      <c r="Y7" s="545" t="n">
        <f aca="false">(3218608826.88/1000)/1000</f>
        <v>3218.60882688</v>
      </c>
      <c r="Z7" s="28"/>
    </row>
    <row r="8" customFormat="false" ht="15" hidden="false" customHeight="false" outlineLevel="0" collapsed="false">
      <c r="B8" s="1" t="n">
        <f aca="false">'Cálculo masa impuestos copartic'!B7+1</f>
        <v>1998</v>
      </c>
      <c r="C8" s="1" t="n">
        <v>10710.6</v>
      </c>
      <c r="H8" s="312" t="n">
        <f aca="false">(('Cálculo masa impuestos copartic'!C8+'Cálculo masa impuestos copartic'!D8)/0.5666+45.8*12)/0.85</f>
        <v>22885.744398995</v>
      </c>
      <c r="I8" s="28" t="n">
        <f aca="false">'Cálculo masa impuestos copartic'!H8*0.15*1000</f>
        <v>3432861.65984926</v>
      </c>
      <c r="K8" s="546" t="n">
        <v>3812556.12680422</v>
      </c>
      <c r="L8" s="547" t="n">
        <f aca="false">'Cálculo masa impuestos copartic'!L7+1</f>
        <v>1996</v>
      </c>
      <c r="M8" s="548" t="n">
        <v>8872.5</v>
      </c>
      <c r="N8" s="548" t="n">
        <v>413</v>
      </c>
      <c r="O8" s="548" t="n">
        <v>0</v>
      </c>
      <c r="P8" s="548" t="n">
        <v>1318</v>
      </c>
      <c r="Q8" s="548" t="n">
        <v>545.1</v>
      </c>
      <c r="R8" s="548" t="n">
        <v>72</v>
      </c>
      <c r="S8" s="548" t="n">
        <f aca="false">((SUM('Cálculo masa impuestos copartic'!M8:R8)-'Cálculo masa impuestos copartic'!Q8-'Cálculo masa impuestos copartic'!N8-'Cálculo masa impuestos copartic'!R8)/(0.5666+0.007)+'Cálculo masa impuestos copartic'!Q8)/0.85</f>
        <v>21542.311428337</v>
      </c>
      <c r="T8" s="548"/>
      <c r="U8" s="548" t="n">
        <f aca="false">'Cálculo masa impuestos copartic'!S8*0.15</f>
        <v>3231.34671425055</v>
      </c>
      <c r="V8" s="548"/>
      <c r="W8" s="548"/>
      <c r="X8" s="548" t="n">
        <f aca="false">'Cálculo masa impuestos copartic'!U8</f>
        <v>3231.34671425055</v>
      </c>
      <c r="Y8" s="549" t="n">
        <f aca="false">(6027771273/1000)/1000</f>
        <v>6027.771273</v>
      </c>
    </row>
    <row r="9" customFormat="false" ht="15" hidden="false" customHeight="false" outlineLevel="0" collapsed="false">
      <c r="B9" s="1" t="n">
        <f aca="false">'Cálculo masa impuestos copartic'!B8+1</f>
        <v>1999</v>
      </c>
      <c r="C9" s="1" t="n">
        <v>10401.5</v>
      </c>
      <c r="H9" s="312" t="n">
        <f aca="false">(('Cálculo masa impuestos copartic'!C9+'Cálculo masa impuestos copartic'!D9)/0.5666+45.8*12)/0.85</f>
        <v>22243.9387886464</v>
      </c>
      <c r="I9" s="28" t="n">
        <f aca="false">'Cálculo masa impuestos copartic'!H9*0.15*1000</f>
        <v>3336590.81829696</v>
      </c>
      <c r="K9" s="550" t="n">
        <v>3611341.30398252</v>
      </c>
      <c r="L9" s="543" t="n">
        <f aca="false">'Cálculo masa impuestos copartic'!L8+1</f>
        <v>1997</v>
      </c>
      <c r="M9" s="544" t="n">
        <v>10062.3</v>
      </c>
      <c r="N9" s="544" t="n">
        <v>4.4</v>
      </c>
      <c r="O9" s="544" t="n">
        <v>0</v>
      </c>
      <c r="P9" s="544" t="n">
        <v>1318</v>
      </c>
      <c r="Q9" s="544" t="n">
        <v>549.6</v>
      </c>
      <c r="R9" s="544" t="n">
        <v>210</v>
      </c>
      <c r="S9" s="544" t="n">
        <f aca="false">((SUM('Cálculo masa impuestos copartic'!M9:R9)-'Cálculo masa impuestos copartic'!Q9-'Cálculo masa impuestos copartic'!N9-'Cálculo masa impuestos copartic'!R9)/(0.5666+0.007)+'Cálculo masa impuestos copartic'!Q9)/0.85</f>
        <v>23987.9205841332</v>
      </c>
      <c r="T9" s="544"/>
      <c r="U9" s="544" t="n">
        <f aca="false">'Cálculo masa impuestos copartic'!S9*0.15</f>
        <v>3598.18808761998</v>
      </c>
      <c r="V9" s="544"/>
      <c r="W9" s="544"/>
      <c r="X9" s="544" t="n">
        <f aca="false">'Cálculo masa impuestos copartic'!U9</f>
        <v>3598.18808761998</v>
      </c>
      <c r="Y9" s="545" t="n">
        <v>4254.603114</v>
      </c>
    </row>
    <row r="10" customFormat="false" ht="15" hidden="false" customHeight="false" outlineLevel="0" collapsed="false">
      <c r="B10" s="1" t="n">
        <f aca="false">'Cálculo masa impuestos copartic'!B9+1</f>
        <v>2000</v>
      </c>
      <c r="C10" s="1" t="n">
        <v>10615.4</v>
      </c>
      <c r="H10" s="312" t="n">
        <f aca="false">(('Cálculo masa impuestos copartic'!C10+'Cálculo masa impuestos copartic'!D10)/0.5666+45.8*12)/0.85</f>
        <v>22688.0740848404</v>
      </c>
      <c r="I10" s="28" t="n">
        <f aca="false">'Cálculo masa impuestos copartic'!H10*0.15*1000</f>
        <v>3403211.11272606</v>
      </c>
      <c r="K10" s="546" t="n">
        <v>3825019.25377315</v>
      </c>
      <c r="L10" s="547" t="n">
        <f aca="false">'Cálculo masa impuestos copartic'!L9+1</f>
        <v>1998</v>
      </c>
      <c r="M10" s="548" t="n">
        <v>10710.6</v>
      </c>
      <c r="N10" s="548" t="n">
        <v>0</v>
      </c>
      <c r="O10" s="548" t="n">
        <v>0</v>
      </c>
      <c r="P10" s="548" t="n">
        <v>1318</v>
      </c>
      <c r="Q10" s="548" t="n">
        <v>549.6</v>
      </c>
      <c r="R10" s="548" t="n">
        <v>6</v>
      </c>
      <c r="S10" s="548" t="n">
        <f aca="false">((SUM('Cálculo masa impuestos copartic'!M10:R10)-'Cálculo masa impuestos copartic'!Q10-'Cálculo masa impuestos copartic'!N10-'Cálculo masa impuestos copartic'!R10)/(0.5666+0.007)+'Cálculo masa impuestos copartic'!Q10)/0.85</f>
        <v>25317.6030847485</v>
      </c>
      <c r="T10" s="548"/>
      <c r="U10" s="548" t="n">
        <f aca="false">'Cálculo masa impuestos copartic'!S10*0.15</f>
        <v>3797.64046271228</v>
      </c>
      <c r="V10" s="548"/>
      <c r="W10" s="548"/>
      <c r="X10" s="548" t="n">
        <f aca="false">'Cálculo masa impuestos copartic'!U10</f>
        <v>3797.64046271228</v>
      </c>
      <c r="Y10" s="549" t="n">
        <v>5469.30552074</v>
      </c>
    </row>
    <row r="11" customFormat="false" ht="15" hidden="false" customHeight="false" outlineLevel="0" collapsed="false">
      <c r="B11" s="1" t="n">
        <f aca="false">'Cálculo masa impuestos copartic'!B10+1</f>
        <v>2001</v>
      </c>
      <c r="C11" s="1" t="n">
        <v>9401.5</v>
      </c>
      <c r="H11" s="312" t="n">
        <f aca="false">(('Cálculo masa impuestos copartic'!C11+'Cálculo masa impuestos copartic'!D11)/0.5666+45.8*12)/0.85</f>
        <v>20167.5699424846</v>
      </c>
      <c r="I11" s="28" t="n">
        <f aca="false">'Cálculo masa impuestos copartic'!H11*0.15*1000</f>
        <v>3025135.49137269</v>
      </c>
      <c r="K11" s="550" t="n">
        <v>3436536.76548052</v>
      </c>
      <c r="L11" s="543" t="n">
        <f aca="false">'Cálculo masa impuestos copartic'!L10+1</f>
        <v>1999</v>
      </c>
      <c r="M11" s="544" t="n">
        <v>10401.5</v>
      </c>
      <c r="N11" s="544" t="n">
        <v>0</v>
      </c>
      <c r="O11" s="544" t="n">
        <v>0</v>
      </c>
      <c r="P11" s="544" t="n">
        <v>1318</v>
      </c>
      <c r="Q11" s="544" t="n">
        <v>549.6</v>
      </c>
      <c r="R11" s="544" t="n">
        <v>0</v>
      </c>
      <c r="S11" s="544" t="n">
        <f aca="false">((SUM('Cálculo masa impuestos copartic'!M11:R11)-'Cálculo masa impuestos copartic'!Q11-'Cálculo masa impuestos copartic'!N11)/(0.5666+0.007)+'Cálculo masa impuestos copartic'!Q11)/0.85</f>
        <v>24683.6298301747</v>
      </c>
      <c r="T11" s="544"/>
      <c r="U11" s="544" t="n">
        <f aca="false">'Cálculo masa impuestos copartic'!S11*0.15</f>
        <v>3702.54447452621</v>
      </c>
      <c r="V11" s="544"/>
      <c r="W11" s="544"/>
      <c r="X11" s="544" t="n">
        <f aca="false">'Cálculo masa impuestos copartic'!U11</f>
        <v>3702.54447452621</v>
      </c>
      <c r="Y11" s="545" t="n">
        <v>6958.966507</v>
      </c>
    </row>
    <row r="12" customFormat="false" ht="15" hidden="false" customHeight="false" outlineLevel="0" collapsed="false">
      <c r="B12" s="1" t="n">
        <f aca="false">'Cálculo masa impuestos copartic'!B11+1</f>
        <v>2002</v>
      </c>
      <c r="C12" s="1" t="n">
        <v>8581.5</v>
      </c>
      <c r="H12" s="312" t="n">
        <f aca="false">(('Cálculo masa impuestos copartic'!C12+'Cálculo masa impuestos copartic'!D12)/0.5666+45.8*12)/0.85</f>
        <v>18464.9474886319</v>
      </c>
      <c r="I12" s="28" t="n">
        <f aca="false">'Cálculo masa impuestos copartic'!H12*0.15*1000</f>
        <v>2769742.12329478</v>
      </c>
      <c r="K12" s="546" t="n">
        <v>3408322.47370633</v>
      </c>
      <c r="L12" s="547" t="n">
        <f aca="false">'Cálculo masa impuestos copartic'!L11+1</f>
        <v>2000</v>
      </c>
      <c r="M12" s="548" t="n">
        <v>10615.4</v>
      </c>
      <c r="N12" s="548" t="n">
        <v>0</v>
      </c>
      <c r="O12" s="548" t="n">
        <v>0</v>
      </c>
      <c r="P12" s="548" t="n">
        <v>1307.8</v>
      </c>
      <c r="Q12" s="548" t="n">
        <v>549.6</v>
      </c>
      <c r="R12" s="548" t="n">
        <v>0</v>
      </c>
      <c r="S12" s="548" t="n">
        <f aca="false">((SUM('Cálculo masa impuestos copartic'!M12:R12)-'Cálculo masa impuestos copartic'!Q12-'Cálculo masa impuestos copartic'!N12)/(0.5666+0.007)+'Cálculo masa impuestos copartic'!Q12)/0.85</f>
        <v>25101.4245631307</v>
      </c>
      <c r="T12" s="548"/>
      <c r="U12" s="548" t="n">
        <f aca="false">'Cálculo masa impuestos copartic'!S12*0.15</f>
        <v>3765.2136844696</v>
      </c>
      <c r="V12" s="548"/>
      <c r="W12" s="548"/>
      <c r="X12" s="548" t="n">
        <f aca="false">'Cálculo masa impuestos copartic'!U12</f>
        <v>3765.2136844696</v>
      </c>
      <c r="Y12" s="549" t="n">
        <v>6052.619336</v>
      </c>
    </row>
    <row r="13" customFormat="false" ht="15" hidden="false" customHeight="false" outlineLevel="0" collapsed="false">
      <c r="B13" s="1" t="n">
        <f aca="false">'Cálculo masa impuestos copartic'!B12+1</f>
        <v>2003</v>
      </c>
      <c r="C13" s="1" t="n">
        <v>13142.2</v>
      </c>
      <c r="H13" s="312" t="n">
        <f aca="false">(('Cálculo masa impuestos copartic'!C13+'Cálculo masa impuestos copartic'!D13)/0.5666+45.8*12)/0.85</f>
        <v>27934.6428853221</v>
      </c>
      <c r="I13" s="28" t="n">
        <f aca="false">'Cálculo masa impuestos copartic'!H13*0.15*1000</f>
        <v>4190196.43279832</v>
      </c>
      <c r="K13" s="550" t="n">
        <v>4976814.33645565</v>
      </c>
      <c r="L13" s="543" t="n">
        <f aca="false">'Cálculo masa impuestos copartic'!L12+1</f>
        <v>2001</v>
      </c>
      <c r="M13" s="544" t="n">
        <v>9401.5</v>
      </c>
      <c r="N13" s="544" t="n">
        <v>0</v>
      </c>
      <c r="O13" s="544" t="n">
        <v>0</v>
      </c>
      <c r="P13" s="544" t="n">
        <v>1152.4</v>
      </c>
      <c r="Q13" s="544" t="n">
        <v>549.6</v>
      </c>
      <c r="R13" s="544" t="n">
        <v>0</v>
      </c>
      <c r="S13" s="544" t="n">
        <f aca="false">((SUM('Cálculo masa impuestos copartic'!M13:R13)-'Cálculo masa impuestos copartic'!Q13-'Cálculo masa impuestos copartic'!N13)/(0.5666+0.007)+'Cálculo masa impuestos copartic'!Q13)/0.85</f>
        <v>22292.9497087538</v>
      </c>
      <c r="T13" s="544"/>
      <c r="U13" s="544" t="n">
        <f aca="false">'Cálculo masa impuestos copartic'!S13*0.15</f>
        <v>3343.94245631307</v>
      </c>
      <c r="V13" s="544"/>
      <c r="W13" s="544"/>
      <c r="X13" s="544" t="n">
        <f aca="false">'Cálculo masa impuestos copartic'!U13</f>
        <v>3343.94245631307</v>
      </c>
      <c r="Y13" s="545" t="n">
        <v>6487.130574</v>
      </c>
    </row>
    <row r="14" customFormat="false" ht="15" hidden="false" customHeight="false" outlineLevel="0" collapsed="false">
      <c r="B14" s="1" t="n">
        <f aca="false">'Cálculo masa impuestos copartic'!B13+1</f>
        <v>2004</v>
      </c>
      <c r="C14" s="1" t="n">
        <v>20390.1</v>
      </c>
      <c r="D14" s="458"/>
      <c r="E14" s="458"/>
      <c r="F14" s="458"/>
      <c r="H14" s="312" t="n">
        <f aca="false">(('Cálculo masa impuestos copartic'!C14+'Cálculo masa impuestos copartic'!D14)/0.5666+45.8*12)/0.85</f>
        <v>42983.9566454185</v>
      </c>
      <c r="I14" s="28" t="n">
        <f aca="false">'Cálculo masa impuestos copartic'!H14*0.15*1000</f>
        <v>6447593.49681277</v>
      </c>
      <c r="K14" s="546" t="n">
        <v>7221262.92633469</v>
      </c>
      <c r="L14" s="547" t="n">
        <f aca="false">'Cálculo masa impuestos copartic'!L13+1</f>
        <v>2002</v>
      </c>
      <c r="M14" s="548" t="n">
        <v>8581.5</v>
      </c>
      <c r="N14" s="548" t="n">
        <v>0</v>
      </c>
      <c r="O14" s="548" t="n">
        <v>0</v>
      </c>
      <c r="P14" s="548" t="n">
        <v>894.5</v>
      </c>
      <c r="Q14" s="548" t="n">
        <v>549.6</v>
      </c>
      <c r="R14" s="548" t="n">
        <v>0</v>
      </c>
      <c r="S14" s="548" t="n">
        <f aca="false">((SUM('Cálculo masa impuestos copartic'!M14:R14)-'Cálculo masa impuestos copartic'!Q14-'Cálculo masa impuestos copartic'!N14)/(0.5666+0.007)+'Cálculo masa impuestos copartic'!Q14)/0.85</f>
        <v>20082.1448847321</v>
      </c>
      <c r="T14" s="548"/>
      <c r="U14" s="548" t="n">
        <f aca="false">'Cálculo masa impuestos copartic'!S14*0.15</f>
        <v>3012.32173270982</v>
      </c>
      <c r="V14" s="548"/>
      <c r="W14" s="548"/>
      <c r="X14" s="548" t="n">
        <f aca="false">'Cálculo masa impuestos copartic'!U14</f>
        <v>3012.32173270982</v>
      </c>
      <c r="Y14" s="549" t="n">
        <v>7316.819886</v>
      </c>
    </row>
    <row r="15" customFormat="false" ht="15" hidden="false" customHeight="false" outlineLevel="0" collapsed="false">
      <c r="B15" s="1" t="n">
        <f aca="false">'Cálculo masa impuestos copartic'!B14+1</f>
        <v>2005</v>
      </c>
      <c r="C15" s="1" t="n">
        <v>25494.2</v>
      </c>
      <c r="H15" s="312" t="n">
        <f aca="false">(('Cálculo masa impuestos copartic'!C15+'Cálculo masa impuestos copartic'!D16)/0.5666+45.8*12)/0.85</f>
        <v>55569.2129731526</v>
      </c>
      <c r="I15" s="28" t="n">
        <f aca="false">'Cálculo masa impuestos copartic'!H15*0.15*1000</f>
        <v>8335381.94597288</v>
      </c>
      <c r="K15" s="550" t="n">
        <v>8716294.182713</v>
      </c>
      <c r="L15" s="543" t="n">
        <f aca="false">'Cálculo masa impuestos copartic'!L14+1</f>
        <v>2003</v>
      </c>
      <c r="M15" s="544" t="n">
        <v>13142.2</v>
      </c>
      <c r="N15" s="544" t="n">
        <v>0</v>
      </c>
      <c r="O15" s="544" t="n">
        <v>0</v>
      </c>
      <c r="P15" s="544" t="n">
        <v>1308</v>
      </c>
      <c r="Q15" s="544" t="n">
        <v>549.6</v>
      </c>
      <c r="R15" s="544" t="n">
        <v>0</v>
      </c>
      <c r="S15" s="544" t="n">
        <f aca="false">((SUM('Cálculo masa impuestos copartic'!M15:R15)-'Cálculo masa impuestos copartic'!Q15-'Cálculo masa impuestos copartic'!N15)/(0.5666+0.007+0.014)+'Cálculo masa impuestos copartic'!Q15)/0.85</f>
        <v>29578.2344131662</v>
      </c>
      <c r="T15" s="544"/>
      <c r="U15" s="544" t="n">
        <f aca="false">'Cálculo masa impuestos copartic'!S15*0.15</f>
        <v>4436.73516197493</v>
      </c>
      <c r="V15" s="544"/>
      <c r="W15" s="544"/>
      <c r="X15" s="544" t="n">
        <f aca="false">'Cálculo masa impuestos copartic'!U15</f>
        <v>4436.73516197493</v>
      </c>
      <c r="Y15" s="545" t="n">
        <v>7420.910727</v>
      </c>
    </row>
    <row r="16" customFormat="false" ht="15" hidden="false" customHeight="false" outlineLevel="0" collapsed="false">
      <c r="B16" s="1" t="n">
        <f aca="false">'Cálculo masa impuestos copartic'!B15+1</f>
        <v>2006</v>
      </c>
      <c r="C16" s="551" t="n">
        <v>31054.5</v>
      </c>
      <c r="D16" s="551" t="n">
        <v>957.0853</v>
      </c>
      <c r="E16" s="551"/>
      <c r="F16" s="551"/>
      <c r="H16" s="312" t="n">
        <f aca="false">(('Cálculo masa impuestos copartic'!C16+'Cálculo masa impuestos copartic'!D18)/0.5666+45.8*12)/0.85</f>
        <v>73094.2118311497</v>
      </c>
      <c r="I16" s="28" t="n">
        <f aca="false">'Cálculo masa impuestos copartic'!H16*0.15*1000</f>
        <v>10964131.7746725</v>
      </c>
      <c r="K16" s="546" t="n">
        <v>10791609.2709227</v>
      </c>
      <c r="L16" s="547" t="n">
        <f aca="false">'Cálculo masa impuestos copartic'!L15+1</f>
        <v>2004</v>
      </c>
      <c r="M16" s="548" t="n">
        <v>20390.1</v>
      </c>
      <c r="N16" s="548" t="n">
        <v>0</v>
      </c>
      <c r="O16" s="548" t="n">
        <v>0</v>
      </c>
      <c r="P16" s="548" t="n">
        <v>1307.9</v>
      </c>
      <c r="Q16" s="548" t="n">
        <v>549.6</v>
      </c>
      <c r="R16" s="548" t="n">
        <v>0</v>
      </c>
      <c r="S16" s="548" t="n">
        <f aca="false">((SUM('Cálculo masa impuestos copartic'!M16:R16)-'Cálculo masa impuestos copartic'!Q16-'Cálculo masa impuestos copartic'!N16)/(0.5666+0.007+0.014)+'Cálculo masa impuestos copartic'!Q16)/0.85</f>
        <v>44089.5065871141</v>
      </c>
      <c r="T16" s="548"/>
      <c r="U16" s="548" t="n">
        <f aca="false">'Cálculo masa impuestos copartic'!S16*0.15</f>
        <v>6613.42598806711</v>
      </c>
      <c r="V16" s="548"/>
      <c r="W16" s="548"/>
      <c r="X16" s="548" t="n">
        <f aca="false">'Cálculo masa impuestos copartic'!U16</f>
        <v>6613.42598806711</v>
      </c>
      <c r="Y16" s="549" t="n">
        <v>6463.812455</v>
      </c>
    </row>
    <row r="17" customFormat="false" ht="15" hidden="false" customHeight="false" outlineLevel="0" collapsed="false">
      <c r="B17" s="1" t="n">
        <f aca="false">'Cálculo masa impuestos copartic'!B16+1</f>
        <v>2007</v>
      </c>
      <c r="C17" s="551" t="n">
        <v>41060.5</v>
      </c>
      <c r="D17" s="551" t="n">
        <v>1856.055</v>
      </c>
      <c r="E17" s="551"/>
      <c r="F17" s="551"/>
      <c r="H17" s="312" t="n">
        <f aca="false">(('Cálculo masa impuestos copartic'!C17+'Cálculo masa impuestos copartic'!D17)/0.5666+45.8*12)/0.85</f>
        <v>89757.1860218849</v>
      </c>
      <c r="I17" s="28" t="n">
        <f aca="false">'Cálculo masa impuestos copartic'!H17*0.15*1000</f>
        <v>13463577.9032827</v>
      </c>
      <c r="K17" s="550" t="n">
        <v>14067286.4032445</v>
      </c>
      <c r="L17" s="543" t="n">
        <f aca="false">'Cálculo masa impuestos copartic'!L16+1</f>
        <v>2005</v>
      </c>
      <c r="M17" s="544" t="n">
        <v>25494.2</v>
      </c>
      <c r="N17" s="544" t="n">
        <v>0</v>
      </c>
      <c r="O17" s="544" t="n">
        <v>0</v>
      </c>
      <c r="P17" s="544" t="n">
        <v>1307.9</v>
      </c>
      <c r="Q17" s="544" t="n">
        <v>549.6</v>
      </c>
      <c r="R17" s="544" t="n">
        <v>0</v>
      </c>
      <c r="S17" s="544" t="n">
        <f aca="false">((SUM('Cálculo masa impuestos copartic'!M17:R17)-'Cálculo masa impuestos copartic'!Q17-'Cálculo masa impuestos copartic'!N17)/(0.5666+0.007+0.014)+'Cálculo masa impuestos copartic'!Q17)/0.85</f>
        <v>54308.7433628319</v>
      </c>
      <c r="T17" s="544"/>
      <c r="U17" s="544" t="n">
        <f aca="false">'Cálculo masa impuestos copartic'!S17*0.15</f>
        <v>8146.31150442478</v>
      </c>
      <c r="V17" s="544"/>
      <c r="W17" s="544"/>
      <c r="X17" s="544" t="n">
        <f aca="false">'Cálculo masa impuestos copartic'!U17</f>
        <v>8146.31150442478</v>
      </c>
      <c r="Y17" s="545" t="n">
        <v>8133.3</v>
      </c>
    </row>
    <row r="18" customFormat="false" ht="15" hidden="false" customHeight="false" outlineLevel="0" collapsed="false">
      <c r="B18" s="1" t="n">
        <f aca="false">'Cálculo masa impuestos copartic'!B17+1</f>
        <v>2008</v>
      </c>
      <c r="C18" s="551" t="n">
        <v>50341.6</v>
      </c>
      <c r="D18" s="551" t="n">
        <v>3837</v>
      </c>
      <c r="E18" s="551"/>
      <c r="F18" s="551"/>
      <c r="H18" s="312" t="n">
        <f aca="false">(('Cálculo masa impuestos copartic'!C18+'Cálculo masa impuestos copartic'!D18)/0.5666+45.8*12)/0.85</f>
        <v>113141.345403958</v>
      </c>
      <c r="I18" s="28" t="n">
        <f aca="false">'Cálculo masa impuestos copartic'!H18*0.15*1000</f>
        <v>16971201.8105936</v>
      </c>
      <c r="K18" s="546" t="n">
        <v>17745520.9942922</v>
      </c>
      <c r="L18" s="547" t="n">
        <f aca="false">'Cálculo masa impuestos copartic'!L17+1</f>
        <v>2006</v>
      </c>
      <c r="M18" s="548" t="n">
        <v>31054.5</v>
      </c>
      <c r="N18" s="548" t="n">
        <v>0</v>
      </c>
      <c r="O18" s="548" t="n">
        <v>957.1</v>
      </c>
      <c r="P18" s="548" t="n">
        <v>1307.9</v>
      </c>
      <c r="Q18" s="548" t="n">
        <v>549.6</v>
      </c>
      <c r="R18" s="548" t="n">
        <v>0</v>
      </c>
      <c r="S18" s="548" t="n">
        <f aca="false">((SUM('Cálculo masa impuestos copartic'!M18:R18)-'Cálculo masa impuestos copartic'!Q18-'Cálculo masa impuestos copartic'!N18)/(0.5666+0.007+0.014)+'Cálculo masa impuestos copartic'!Q18)/0.85</f>
        <v>67357.6361670604</v>
      </c>
      <c r="T18" s="552"/>
      <c r="U18" s="548" t="n">
        <f aca="false">'Cálculo masa impuestos copartic'!S18*0.15</f>
        <v>10103.6454250591</v>
      </c>
      <c r="V18" s="548"/>
      <c r="W18" s="548"/>
      <c r="X18" s="548" t="n">
        <f aca="false">'Cálculo masa impuestos copartic'!U18</f>
        <v>10103.6454250591</v>
      </c>
      <c r="Y18" s="549" t="n">
        <v>10149.4</v>
      </c>
    </row>
    <row r="19" customFormat="false" ht="15" hidden="false" customHeight="false" outlineLevel="0" collapsed="false">
      <c r="B19" s="1" t="n">
        <f aca="false">'Cálculo masa impuestos copartic'!B18+1</f>
        <v>2009</v>
      </c>
      <c r="C19" s="551" t="n">
        <v>52369</v>
      </c>
      <c r="D19" s="551" t="n">
        <v>6763</v>
      </c>
      <c r="E19" s="551"/>
      <c r="F19" s="551"/>
      <c r="H19" s="312" t="n">
        <f aca="false">(('Cálculo masa impuestos copartic'!C19+'Cálculo masa impuestos copartic'!D19)/0.5666+45.8*12)/0.85</f>
        <v>123426.430846536</v>
      </c>
      <c r="I19" s="28" t="n">
        <f aca="false">'Cálculo masa impuestos copartic'!H19*0.15*1000</f>
        <v>18513964.6269803</v>
      </c>
      <c r="K19" s="550" t="n">
        <v>19124532.2403075</v>
      </c>
      <c r="L19" s="543" t="n">
        <f aca="false">'Cálculo masa impuestos copartic'!L18+1</f>
        <v>2007</v>
      </c>
      <c r="M19" s="544" t="n">
        <v>41060.50407365</v>
      </c>
      <c r="N19" s="544" t="n">
        <v>0</v>
      </c>
      <c r="O19" s="544" t="n">
        <f aca="false">1856055027.57/1000000</f>
        <v>1856.05502757</v>
      </c>
      <c r="P19" s="544" t="n">
        <f aca="false">1276489000/1000000</f>
        <v>1276.489</v>
      </c>
      <c r="Q19" s="544" t="n">
        <v>549.6</v>
      </c>
      <c r="R19" s="544" t="n">
        <v>0</v>
      </c>
      <c r="S19" s="544" t="n">
        <f aca="false">((SUM('Cálculo masa impuestos copartic'!M19:R19)-'Cálculo masa impuestos copartic'!Q19-'Cálculo masa impuestos copartic'!N19)/(0.5666+0.007+0.014)+'Cálculo masa impuestos copartic'!Q19)/0.85</f>
        <v>89128.2446266368</v>
      </c>
      <c r="T19" s="544" t="n">
        <v>89143.6612763</v>
      </c>
      <c r="U19" s="544" t="n">
        <f aca="false">'Cálculo masa impuestos copartic'!S19*0.15</f>
        <v>13369.2366939955</v>
      </c>
      <c r="V19" s="544" t="n">
        <v>13371.54919129</v>
      </c>
      <c r="W19" s="544"/>
      <c r="X19" s="544" t="n">
        <f aca="false">'Cálculo masa impuestos copartic'!V19</f>
        <v>13371.54919129</v>
      </c>
      <c r="Y19" s="545" t="n">
        <v>13371.10830119</v>
      </c>
    </row>
    <row r="20" customFormat="false" ht="15" hidden="false" customHeight="false" outlineLevel="0" collapsed="false">
      <c r="B20" s="1" t="n">
        <f aca="false">'Cálculo masa impuestos copartic'!B19+1</f>
        <v>2010</v>
      </c>
      <c r="C20" s="551" t="n">
        <v>69368.6</v>
      </c>
      <c r="D20" s="551" t="n">
        <v>10605.3</v>
      </c>
      <c r="E20" s="551"/>
      <c r="F20" s="551"/>
      <c r="H20" s="312" t="n">
        <f aca="false">(('Cálculo masa impuestos copartic'!C20+'Cálculo masa impuestos copartic'!D20)/0.5666+45.8*12)/0.85</f>
        <v>166701.902701356</v>
      </c>
      <c r="I20" s="28" t="n">
        <f aca="false">'Cálculo masa impuestos copartic'!H20*0.15*1000</f>
        <v>25005285.4052034</v>
      </c>
      <c r="K20" s="546" t="n">
        <v>25807128.053235</v>
      </c>
      <c r="L20" s="547" t="n">
        <f aca="false">'Cálculo masa impuestos copartic'!L19+1</f>
        <v>2008</v>
      </c>
      <c r="M20" s="548" t="n">
        <f aca="false">(1119231229.38+49222400211.66)/1000000</f>
        <v>50341.63144104</v>
      </c>
      <c r="N20" s="548" t="n">
        <v>0</v>
      </c>
      <c r="O20" s="553" t="n">
        <v>3837.03998799</v>
      </c>
      <c r="P20" s="553" t="n">
        <v>1276.489</v>
      </c>
      <c r="Q20" s="548" t="n">
        <v>549.6</v>
      </c>
      <c r="R20" s="548" t="n">
        <v>0</v>
      </c>
      <c r="S20" s="548" t="n">
        <f aca="false">((SUM('Cálculo masa impuestos copartic'!M20:R20)-'Cálculo masa impuestos copartic'!Q20-'Cálculo masa impuestos copartic'!N20)/(0.5666+0.007+0.014)+'Cálculo masa impuestos copartic'!Q20)/0.85</f>
        <v>111676.821745545</v>
      </c>
      <c r="T20" s="554" t="n">
        <v>111692.23839615</v>
      </c>
      <c r="U20" s="548" t="n">
        <f aca="false">'Cálculo masa impuestos copartic'!S20*0.15</f>
        <v>16751.5232618318</v>
      </c>
      <c r="V20" s="548" t="n">
        <v>16753.8357595</v>
      </c>
      <c r="W20" s="548"/>
      <c r="X20" s="548" t="n">
        <f aca="false">'Cálculo masa impuestos copartic'!V20</f>
        <v>16753.8357595</v>
      </c>
      <c r="Y20" s="549" t="n">
        <v>17109.424246</v>
      </c>
    </row>
    <row r="21" customFormat="false" ht="15" hidden="false" customHeight="false" outlineLevel="0" collapsed="false">
      <c r="B21" s="1" t="n">
        <f aca="false">'Cálculo masa impuestos copartic'!B20+1</f>
        <v>2011</v>
      </c>
      <c r="C21" s="551" t="n">
        <v>106396.4139</v>
      </c>
      <c r="D21" s="551" t="n">
        <v>0</v>
      </c>
      <c r="E21" s="551"/>
      <c r="F21" s="551"/>
      <c r="H21" s="312" t="n">
        <f aca="false">(('Cálculo masa impuestos copartic'!C21+'Cálculo masa impuestos copartic'!D21)/0.5666+45.8*12)/0.85</f>
        <v>221564.787400594</v>
      </c>
      <c r="I21" s="28" t="n">
        <f aca="false">'Cálculo masa impuestos copartic'!H21*0.15*1000</f>
        <v>33234718.1100891</v>
      </c>
      <c r="K21" s="550" t="n">
        <v>34558958.2194375</v>
      </c>
      <c r="L21" s="543" t="n">
        <f aca="false">'Cálculo masa impuestos copartic'!L20+1</f>
        <v>2009</v>
      </c>
      <c r="M21" s="544" t="n">
        <f aca="false">(1078316308.66+51290676703.9)/1000000</f>
        <v>52368.99301256</v>
      </c>
      <c r="N21" s="544" t="n">
        <v>0</v>
      </c>
      <c r="O21" s="555" t="n">
        <f aca="false">6762974296.78/1000000</f>
        <v>6762.97429678</v>
      </c>
      <c r="P21" s="544" t="n">
        <f aca="false">(1284189004-7700000)/1000000</f>
        <v>1276.489004</v>
      </c>
      <c r="Q21" s="544" t="n">
        <v>549.6</v>
      </c>
      <c r="R21" s="544" t="n">
        <v>0</v>
      </c>
      <c r="S21" s="544" t="n">
        <f aca="false">((SUM('Cálculo masa impuestos copartic'!M21:R21)-'Cálculo masa impuestos copartic'!Q21-'Cálculo masa impuestos copartic'!N21)/(0.5666+0.007+0.014)+'Cálculo masa impuestos copartic'!Q21)/0.85</f>
        <v>121594.124200817</v>
      </c>
      <c r="T21" s="555" t="n">
        <f aca="false">121609540846.8/1000000</f>
        <v>121609.5408468</v>
      </c>
      <c r="U21" s="544" t="n">
        <f aca="false">'Cálculo masa impuestos copartic'!S21*0.15</f>
        <v>18239.1186301225</v>
      </c>
      <c r="V21" s="544" t="n">
        <v>18241.4311264</v>
      </c>
      <c r="W21" s="544"/>
      <c r="X21" s="544" t="n">
        <f aca="false">'Cálculo masa impuestos copartic'!V21</f>
        <v>18241.4311264</v>
      </c>
      <c r="Y21" s="545" t="n">
        <v>18708.52644</v>
      </c>
    </row>
    <row r="22" customFormat="false" ht="15" hidden="false" customHeight="false" outlineLevel="0" collapsed="false">
      <c r="A22" s="1" t="s">
        <v>750</v>
      </c>
      <c r="B22" s="1" t="n">
        <f aca="false">'Cálculo masa impuestos copartic'!B21+1</f>
        <v>2012</v>
      </c>
      <c r="C22" s="551" t="n">
        <v>135050</v>
      </c>
      <c r="D22" s="551"/>
      <c r="E22" s="551"/>
      <c r="F22" s="551"/>
      <c r="H22" s="312" t="n">
        <f aca="false">(('Cálculo masa impuestos copartic'!C22+'Cálculo masa impuestos copartic'!D22)/0.5666+45.8*12)/0.85</f>
        <v>281060.20090945</v>
      </c>
      <c r="I22" s="28" t="n">
        <f aca="false">'Cálculo masa impuestos copartic'!H22*0.15*1000</f>
        <v>42159030.1364174</v>
      </c>
      <c r="K22" s="546" t="n">
        <v>42934330.165519</v>
      </c>
      <c r="L22" s="547" t="n">
        <f aca="false">'Cálculo masa impuestos copartic'!L21+1</f>
        <v>2010</v>
      </c>
      <c r="M22" s="548" t="n">
        <f aca="false">(1376072192.69+67992521442.13)/1000000</f>
        <v>69368.59363482</v>
      </c>
      <c r="N22" s="548" t="n">
        <v>0</v>
      </c>
      <c r="O22" s="548" t="n">
        <f aca="false">(10605343118.02)/1000000</f>
        <v>10605.34311802</v>
      </c>
      <c r="P22" s="548" t="n">
        <f aca="false">(1284189000-7700000)/1000000</f>
        <v>1276.489</v>
      </c>
      <c r="Q22" s="548" t="n">
        <v>549.6</v>
      </c>
      <c r="R22" s="548" t="n">
        <v>0</v>
      </c>
      <c r="S22" s="548" t="n">
        <f aca="false">((SUM('Cálculo masa impuestos copartic'!M22:R22)-'Cálculo masa impuestos copartic'!Q22-'Cálculo masa impuestos copartic'!N22)/(0.5666+0.007+0.014)+'Cálculo masa impuestos copartic'!Q22)/0.85</f>
        <v>163323.130406519</v>
      </c>
      <c r="T22" s="554" t="n">
        <f aca="false">163338547056.21/1000000</f>
        <v>163338.54705621</v>
      </c>
      <c r="U22" s="548" t="n">
        <f aca="false">'Cálculo masa impuestos copartic'!S22*0.15</f>
        <v>24498.4695609779</v>
      </c>
      <c r="V22" s="548" t="n">
        <v>24500.78205837</v>
      </c>
      <c r="W22" s="548"/>
      <c r="X22" s="548" t="n">
        <f aca="false">'Cálculo masa impuestos copartic'!V22</f>
        <v>24500.78205837</v>
      </c>
      <c r="Y22" s="549" t="n">
        <v>24603.89696684</v>
      </c>
    </row>
    <row r="23" customFormat="false" ht="15" hidden="false" customHeight="false" outlineLevel="0" collapsed="false">
      <c r="B23" s="1" t="n">
        <f aca="false">'Cálculo masa impuestos copartic'!B22+1</f>
        <v>2013</v>
      </c>
      <c r="C23" s="551" t="n">
        <v>154184.021</v>
      </c>
      <c r="D23" s="551" t="n">
        <v>21642.5453</v>
      </c>
      <c r="E23" s="551"/>
      <c r="F23" s="551"/>
      <c r="H23" s="312" t="n">
        <f aca="false">(('Cálculo masa impuestos copartic'!C23+'Cálculo masa impuestos copartic'!D23)/0.5666+45.8*12)/0.85</f>
        <v>365727.392828222</v>
      </c>
      <c r="I23" s="28" t="n">
        <f aca="false">'Cálculo masa impuestos copartic'!H23*0.15*1000</f>
        <v>54859108.9242333</v>
      </c>
      <c r="J23" s="1" t="n">
        <v>1000</v>
      </c>
      <c r="L23" s="543" t="n">
        <f aca="false">'Cálculo masa impuestos copartic'!L22+1</f>
        <v>2011</v>
      </c>
      <c r="M23" s="544" t="n">
        <f aca="false">(2565569173+103830845126)/1000000</f>
        <v>106396.414299</v>
      </c>
      <c r="N23" s="544" t="n">
        <v>0</v>
      </c>
      <c r="O23" s="544" t="n">
        <v>0</v>
      </c>
      <c r="P23" s="544" t="n">
        <f aca="false">(1284189004-7700000)/1000000</f>
        <v>1276.489004</v>
      </c>
      <c r="Q23" s="544" t="n">
        <v>549.6</v>
      </c>
      <c r="R23" s="544" t="n">
        <v>0</v>
      </c>
      <c r="S23" s="544" t="n">
        <f aca="false">((SUM('Cálculo masa impuestos copartic'!M23:R23)-'Cálculo masa impuestos copartic'!Q23-'Cálculo masa impuestos copartic'!N23)/(0.5666+0.007+0.014)+'Cálculo masa impuestos copartic'!Q23)/0.85</f>
        <v>216225.219763344</v>
      </c>
      <c r="T23" s="544" t="n">
        <f aca="false">216240636399.93/1000000</f>
        <v>216240.63639993</v>
      </c>
      <c r="U23" s="544" t="n">
        <f aca="false">'Cálculo masa impuestos copartic'!S23*0.15</f>
        <v>32433.7829645017</v>
      </c>
      <c r="V23" s="544" t="n">
        <v>32436.09545798</v>
      </c>
      <c r="W23" s="544"/>
      <c r="X23" s="544" t="n">
        <f aca="false">'Cálculo masa impuestos copartic'!V23</f>
        <v>32436.09545798</v>
      </c>
      <c r="Y23" s="545" t="n">
        <v>35217.63412208</v>
      </c>
    </row>
    <row r="24" customFormat="false" ht="15" hidden="false" customHeight="false" outlineLevel="0" collapsed="false">
      <c r="A24" s="556" t="n">
        <v>175826.6</v>
      </c>
      <c r="B24" s="1" t="n">
        <f aca="false">'Cálculo masa impuestos copartic'!B23+1</f>
        <v>2014</v>
      </c>
      <c r="C24" s="551" t="n">
        <v>212879.2498</v>
      </c>
      <c r="D24" s="551" t="n">
        <v>27505.5364</v>
      </c>
      <c r="E24" s="551"/>
      <c r="F24" s="551"/>
      <c r="H24" s="312" t="n">
        <f aca="false">(('Cálculo masa impuestos copartic'!C24+'Cálculo masa impuestos copartic'!D24)/0.5666+45.8*12)/0.85</f>
        <v>499774.069392247</v>
      </c>
      <c r="I24" s="28" t="n">
        <f aca="false">'Cálculo masa impuestos copartic'!H24*0.15*1000</f>
        <v>74966110.408837</v>
      </c>
      <c r="L24" s="547" t="n">
        <f aca="false">'Cálculo masa impuestos copartic'!L23+1</f>
        <v>2012</v>
      </c>
      <c r="M24" s="548" t="n">
        <f aca="false">(115068430413.36+2300559351.09)/1000000</f>
        <v>117368.98976445</v>
      </c>
      <c r="N24" s="548" t="n">
        <v>0</v>
      </c>
      <c r="O24" s="548" t="n">
        <f aca="false">17681021007.41/1000000</f>
        <v>17681.02100741</v>
      </c>
      <c r="P24" s="548" t="n">
        <f aca="false">(1284189004-7700000)/1000000</f>
        <v>1276.489004</v>
      </c>
      <c r="Q24" s="548" t="n">
        <v>549.6</v>
      </c>
      <c r="R24" s="548" t="n">
        <v>0</v>
      </c>
      <c r="S24" s="548" t="n">
        <f aca="false">((SUM('Cálculo masa impuestos copartic'!M24:R24)-'Cálculo masa impuestos copartic'!Q24-'Cálculo masa impuestos copartic'!N24)/(0.5666+0.007+0.014)+'Cálculo masa impuestos copartic'!Q24)/0.85</f>
        <v>273594.371392824</v>
      </c>
      <c r="T24" s="548" t="n">
        <f aca="false">273609788034.89/1000000</f>
        <v>273609.78803489</v>
      </c>
      <c r="U24" s="548" t="n">
        <f aca="false">'Cálculo masa impuestos copartic'!S24*0.15</f>
        <v>41039.1557089236</v>
      </c>
      <c r="V24" s="548" t="n">
        <v>41041.46820529</v>
      </c>
      <c r="W24" s="548"/>
      <c r="X24" s="548" t="n">
        <f aca="false">'Cálculo masa impuestos copartic'!V24</f>
        <v>41041.46820529</v>
      </c>
      <c r="Y24" s="549" t="n">
        <v>42293.1454656</v>
      </c>
    </row>
    <row r="25" customFormat="false" ht="15" hidden="false" customHeight="false" outlineLevel="0" collapsed="false">
      <c r="B25" s="1" t="n">
        <f aca="false">'Cálculo masa impuestos copartic'!B24+1</f>
        <v>2015</v>
      </c>
      <c r="C25" s="551" t="n">
        <v>263540.932</v>
      </c>
      <c r="D25" s="551" t="n">
        <v>66412.044</v>
      </c>
      <c r="E25" s="551"/>
      <c r="F25" s="551"/>
      <c r="H25" s="312" t="n">
        <f aca="false">(('Cálculo masa impuestos copartic'!C25+'Cálculo masa impuestos copartic'!D25)/0.5666+45.8*12)/0.85</f>
        <v>685750.668300077</v>
      </c>
      <c r="I25" s="28" t="n">
        <f aca="false">'Cálculo masa impuestos copartic'!H25*0.15*1000</f>
        <v>102862600.245012</v>
      </c>
      <c r="L25" s="543" t="n">
        <f aca="false">'Cálculo masa impuestos copartic'!L24+1</f>
        <v>2013</v>
      </c>
      <c r="M25" s="544" t="n">
        <f aca="false">(151137253798.69+3046767402.7)/1000000</f>
        <v>154184.02120139</v>
      </c>
      <c r="N25" s="544" t="n">
        <v>0</v>
      </c>
      <c r="O25" s="544" t="n">
        <f aca="false">21642545276.31/1000000</f>
        <v>21642.54527631</v>
      </c>
      <c r="P25" s="544" t="n">
        <f aca="false">(1284189004-7700000)/1000000</f>
        <v>1276.489004</v>
      </c>
      <c r="Q25" s="544" t="n">
        <v>549.6</v>
      </c>
      <c r="R25" s="544" t="n">
        <v>0</v>
      </c>
      <c r="S25" s="544" t="n">
        <f aca="false">((SUM('Cálculo masa impuestos copartic'!M25:R25)-'Cálculo masa impuestos copartic'!Q25-'Cálculo masa impuestos copartic'!N25)/(0.5666+0.007+0.014)+'Cálculo masa impuestos copartic'!Q25)/0.85</f>
        <v>355235.655391222</v>
      </c>
      <c r="T25" s="544" t="n">
        <f aca="false">355251072032.98/1000000</f>
        <v>355251.07203298</v>
      </c>
      <c r="U25" s="544" t="n">
        <f aca="false">'Cálculo masa impuestos copartic'!S25*0.15</f>
        <v>53285.3483086834</v>
      </c>
      <c r="V25" s="544" t="n">
        <v>53287.66080492</v>
      </c>
      <c r="W25" s="544"/>
      <c r="X25" s="544" t="n">
        <f aca="false">'Cálculo masa impuestos copartic'!V25</f>
        <v>53287.66080492</v>
      </c>
      <c r="Y25" s="545" t="n">
        <v>57546.85763431</v>
      </c>
    </row>
    <row r="26" customFormat="false" ht="15" hidden="false" customHeight="false" outlineLevel="0" collapsed="false">
      <c r="B26" s="1" t="n">
        <f aca="false">'Cálculo masa impuestos copartic'!B25+1</f>
        <v>2016</v>
      </c>
      <c r="C26" s="551" t="n">
        <v>376998.2</v>
      </c>
      <c r="D26" s="551" t="n">
        <v>87144.4</v>
      </c>
      <c r="E26" s="551"/>
      <c r="F26" s="551"/>
      <c r="H26" s="312" t="n">
        <f aca="false">(('Cálculo masa impuestos copartic'!C26+'Cálculo masa impuestos copartic'!D26)/0.5666+45.8*12)/0.85</f>
        <v>964377.823051847</v>
      </c>
      <c r="I26" s="28" t="n">
        <f aca="false">'Cálculo masa impuestos copartic'!H26*0.15*1000</f>
        <v>144656673.457777</v>
      </c>
      <c r="L26" s="547" t="n">
        <f aca="false">'Cálculo masa impuestos copartic'!L25+1</f>
        <v>2014</v>
      </c>
      <c r="M26" s="548" t="n">
        <f aca="false">(208587354730.23+4291895094.88)/1000000</f>
        <v>212879.24982511</v>
      </c>
      <c r="N26" s="548" t="n">
        <v>0</v>
      </c>
      <c r="O26" s="554" t="n">
        <f aca="false">27505536402.69/1000000</f>
        <v>27505.53640269</v>
      </c>
      <c r="P26" s="548" t="n">
        <f aca="false">(1284188960-7700000)/1000000</f>
        <v>1276.48896</v>
      </c>
      <c r="Q26" s="554" t="n">
        <f aca="false">549599999.72/1000000</f>
        <v>549.59999972</v>
      </c>
      <c r="R26" s="548" t="n">
        <v>0</v>
      </c>
      <c r="S26" s="548" t="n">
        <f aca="false">((SUM('Cálculo masa impuestos copartic'!M26:R26)-'Cálculo masa impuestos copartic'!Q26-'Cálculo masa impuestos copartic'!N26)/(0.5666+0.007+0.014)+'Cálculo masa impuestos copartic'!Q26)/0.85</f>
        <v>484491.691321899</v>
      </c>
      <c r="T26" s="548" t="n">
        <f aca="false">484507108010.66/1000000</f>
        <v>484507.10801066</v>
      </c>
      <c r="U26" s="548" t="n">
        <f aca="false">'Cálculo masa impuestos copartic'!S26*0.15</f>
        <v>72673.7536982848</v>
      </c>
      <c r="V26" s="548" t="n">
        <v>72676.06620744</v>
      </c>
      <c r="W26" s="548"/>
      <c r="X26" s="548" t="n">
        <f aca="false">'Cálculo masa impuestos copartic'!V26</f>
        <v>72676.06620744</v>
      </c>
      <c r="Y26" s="549" t="n">
        <v>101131.55931548</v>
      </c>
    </row>
    <row r="27" customFormat="false" ht="17.25" hidden="false" customHeight="false" outlineLevel="0" collapsed="false">
      <c r="B27" s="1" t="n">
        <f aca="false">'Cálculo masa impuestos copartic'!B26+1</f>
        <v>2017</v>
      </c>
      <c r="C27" s="557" t="n">
        <v>490632.5</v>
      </c>
      <c r="D27" s="558" t="n">
        <v>100370.7</v>
      </c>
      <c r="E27" s="558"/>
      <c r="F27" s="558"/>
      <c r="H27" s="312" t="n">
        <f aca="false">(('Cálculo masa impuestos copartic'!C27+'Cálculo masa impuestos copartic'!D27)/0.5666+45.8*12)/0.85</f>
        <v>1227787.22069724</v>
      </c>
      <c r="I27" s="28" t="n">
        <f aca="false">'Cálculo masa impuestos copartic'!H27*0.15*1000</f>
        <v>184168083.104587</v>
      </c>
      <c r="L27" s="543" t="n">
        <f aca="false">'Cálculo masa impuestos copartic'!L26+1</f>
        <v>2015</v>
      </c>
      <c r="M27" s="544" t="n">
        <f aca="false">(259248647596.92+4292283967)/1000000</f>
        <v>263540.93156392</v>
      </c>
      <c r="N27" s="544" t="n">
        <v>0</v>
      </c>
      <c r="O27" s="544" t="n">
        <f aca="false">66412044005/1000000</f>
        <v>66412.044005</v>
      </c>
      <c r="P27" s="544" t="n">
        <f aca="false">(1284188976-7700000)/1000000</f>
        <v>1276.488976</v>
      </c>
      <c r="Q27" s="544" t="n">
        <v>549.600003</v>
      </c>
      <c r="R27" s="544" t="n">
        <v>0</v>
      </c>
      <c r="S27" s="544" t="n">
        <f aca="false">((SUM('Cálculo masa impuestos copartic'!M27:R27)-'Cálculo masa impuestos copartic'!Q27-'Cálculo masa impuestos copartic'!N27)/(0.5666+0.007+0.014)+'Cálculo masa impuestos copartic'!Q27)/0.85</f>
        <v>663821.746499585</v>
      </c>
      <c r="T27" s="559" t="n">
        <f aca="false">659074930503.16/1000000</f>
        <v>659074.93050316</v>
      </c>
      <c r="U27" s="544" t="n">
        <f aca="false">'Cálculo masa impuestos copartic'!S27*0.15</f>
        <v>99573.2619749378</v>
      </c>
      <c r="V27" s="544" t="n">
        <v>95600.31612798</v>
      </c>
      <c r="W27" s="544"/>
      <c r="X27" s="544" t="n">
        <f aca="false">'Cálculo masa impuestos copartic'!V27</f>
        <v>95600.31612798</v>
      </c>
      <c r="Y27" s="545" t="n">
        <f aca="false">(156468938.20796)/1000</f>
        <v>156468.93820796</v>
      </c>
    </row>
    <row r="28" customFormat="false" ht="15" hidden="false" customHeight="false" outlineLevel="0" collapsed="false">
      <c r="L28" s="547" t="n">
        <f aca="false">'Cálculo masa impuestos copartic'!L27+1</f>
        <v>2016</v>
      </c>
      <c r="M28" s="548" t="n">
        <f aca="false">(22187140265+326105120119)/1000000</f>
        <v>348292.260384</v>
      </c>
      <c r="N28" s="548" t="n">
        <v>0</v>
      </c>
      <c r="O28" s="548" t="n">
        <f aca="false">87144442342/1000000</f>
        <v>87144.442342</v>
      </c>
      <c r="P28" s="548" t="n">
        <f aca="false">(1284189000)/1000000</f>
        <v>1284.189</v>
      </c>
      <c r="Q28" s="548" t="n">
        <v>549.6</v>
      </c>
      <c r="R28" s="548" t="n">
        <v>0</v>
      </c>
      <c r="S28" s="548" t="n">
        <f aca="false">((SUM('Cálculo masa impuestos copartic'!M28:R28)-'Cálculo masa impuestos copartic'!Q28-'Cálculo masa impuestos copartic'!N28)/(0.5666+0.007+0.0375)+'Cálculo masa impuestos copartic'!Q28)/(1-0.15)</f>
        <v>841407.976524493</v>
      </c>
      <c r="T28" s="548" t="n">
        <f aca="false">843208681451/1000000</f>
        <v>843208.681451</v>
      </c>
      <c r="U28" s="548" t="n">
        <f aca="false">'Cálculo masa impuestos copartic'!S28*0.15</f>
        <v>126211.196478674</v>
      </c>
      <c r="V28" s="548" t="n">
        <v>94898.63949</v>
      </c>
      <c r="W28" s="560" t="n">
        <f aca="false">31300557634/1000000</f>
        <v>31300.557634</v>
      </c>
      <c r="X28" s="548" t="n">
        <f aca="false">'Cálculo masa impuestos copartic'!V28+'Cálculo masa impuestos copartic'!W28</f>
        <v>126199.197124</v>
      </c>
      <c r="Y28" s="549" t="n">
        <f aca="false">(292815889687.8/1000)/1000</f>
        <v>292815.8896878</v>
      </c>
      <c r="Z28" s="549"/>
      <c r="AA28" s="28"/>
    </row>
    <row r="29" customFormat="false" ht="15" hidden="false" customHeight="false" outlineLevel="0" collapsed="false">
      <c r="L29" s="543" t="n">
        <f aca="false">'Cálculo masa impuestos copartic'!L28+1</f>
        <v>2017</v>
      </c>
      <c r="M29" s="544" t="n">
        <f aca="false">(439921.109240854+29753.19313218)</f>
        <v>469674.302373034</v>
      </c>
      <c r="N29" s="544" t="n">
        <v>0</v>
      </c>
      <c r="O29" s="544" t="n">
        <v>105976.92626898</v>
      </c>
      <c r="P29" s="544" t="n">
        <f aca="false">(1284189004)/1000000</f>
        <v>1284.189004</v>
      </c>
      <c r="Q29" s="544" t="n">
        <v>549.6</v>
      </c>
      <c r="R29" s="544" t="n">
        <v>0</v>
      </c>
      <c r="S29" s="544" t="n">
        <f aca="false">((SUM('Cálculo masa impuestos copartic'!M29:R29)-'Cálculo masa impuestos copartic'!Q29-'Cálculo masa impuestos copartic'!N29)/(0.5666+0.007+0.0375)+'Cálculo masa impuestos copartic'!Q29)/0.85</f>
        <v>1111344.59211646</v>
      </c>
      <c r="T29" s="544" t="n">
        <f aca="false">1110264.73432374</f>
        <v>1110264.73432374</v>
      </c>
      <c r="U29" s="544" t="n">
        <f aca="false">'Cálculo masa impuestos copartic'!S29*0.15</f>
        <v>166701.688817469</v>
      </c>
      <c r="V29" s="544" t="n">
        <v>88483.6622354234</v>
      </c>
      <c r="W29" s="544" t="n">
        <f aca="false">77978.3298140266</f>
        <v>77978.3298140266</v>
      </c>
      <c r="X29" s="544" t="n">
        <f aca="false">'Cálculo masa impuestos copartic'!V29+'Cálculo masa impuestos copartic'!W29</f>
        <v>166461.99204945</v>
      </c>
      <c r="Y29" s="545" t="n">
        <f aca="false">'Cuenta Ahorro-Inversión-Financi'!AH33/1000</f>
        <v>377160.73908846</v>
      </c>
    </row>
    <row r="30" customFormat="false" ht="15" hidden="false" customHeight="false" outlineLevel="0" collapsed="false">
      <c r="L30" s="547" t="n">
        <f aca="false">'Cálculo masa impuestos copartic'!L29+1</f>
        <v>2018</v>
      </c>
      <c r="M30" s="548" t="n">
        <f aca="false">719793.8+44551.8</f>
        <v>764345.6</v>
      </c>
      <c r="N30" s="548" t="n">
        <v>0</v>
      </c>
      <c r="O30" s="548" t="n">
        <v>134383.2</v>
      </c>
      <c r="P30" s="548" t="n">
        <f aca="false">P29</f>
        <v>1284.189004</v>
      </c>
      <c r="Q30" s="548" t="n">
        <f aca="false">Q29</f>
        <v>549.6</v>
      </c>
      <c r="R30" s="548" t="n">
        <f aca="false">R29</f>
        <v>0</v>
      </c>
      <c r="S30" s="548" t="n">
        <f aca="false">((SUM('Cálculo masa impuestos copartic'!M30:R30)-'Cálculo masa impuestos copartic'!Q30-'Cálculo masa impuestos copartic'!N30)/(0.5666+0.007+0.0375)+'Cálculo masa impuestos copartic'!Q30)/0.85</f>
        <v>1733323.41787519</v>
      </c>
      <c r="T30" s="548" t="n">
        <v>1737873.8</v>
      </c>
      <c r="U30" s="548" t="n">
        <f aca="false">'Cálculo masa impuestos copartic'!S30*0.15</f>
        <v>259998.512681279</v>
      </c>
      <c r="V30" s="548" t="n">
        <v>92288.6</v>
      </c>
      <c r="W30" s="548" t="n">
        <v>168141.7</v>
      </c>
      <c r="X30" s="548" t="n">
        <f aca="false">'Cálculo masa impuestos copartic'!V30+'Cálculo masa impuestos copartic'!W30</f>
        <v>260430.3</v>
      </c>
      <c r="Y30" s="549" t="n">
        <f aca="false">'Cuenta Ahorro-Inversión-Financi'!AH34/1000</f>
        <v>382990.76633838</v>
      </c>
    </row>
    <row r="33" customFormat="false" ht="16.5" hidden="false" customHeight="false" outlineLevel="0" collapsed="false">
      <c r="N33" s="561"/>
      <c r="T33" s="562"/>
    </row>
    <row r="35" customFormat="false" ht="16.5" hidden="false" customHeight="false" outlineLevel="0" collapsed="false">
      <c r="N35" s="56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F218"/>
  <sheetViews>
    <sheetView showFormulas="false" showGridLines="true" showRowColHeaders="true" showZeros="true" rightToLeft="false" tabSelected="false" showOutlineSymbols="true" defaultGridColor="true" view="normal" topLeftCell="Q23" colorId="64" zoomScale="75" zoomScaleNormal="75" zoomScalePageLayoutView="100" workbookViewId="0">
      <selection pane="topLeft" activeCell="S68" activeCellId="0" sqref="S68"/>
    </sheetView>
  </sheetViews>
  <sheetFormatPr defaultColWidth="11.43359375" defaultRowHeight="15" zeroHeight="false" outlineLevelRow="0" outlineLevelCol="0"/>
  <cols>
    <col collapsed="false" customWidth="false" hidden="false" outlineLevel="0" max="5" min="1" style="1" width="11.42"/>
    <col collapsed="false" customWidth="true" hidden="false" outlineLevel="0" max="6" min="6" style="1" width="24"/>
    <col collapsed="false" customWidth="true" hidden="false" outlineLevel="0" max="7" min="7" style="1" width="18.42"/>
    <col collapsed="false" customWidth="true" hidden="false" outlineLevel="0" max="8" min="8" style="1" width="19.85"/>
    <col collapsed="false" customWidth="true" hidden="false" outlineLevel="0" max="9" min="9" style="1" width="15.42"/>
    <col collapsed="false" customWidth="true" hidden="false" outlineLevel="0" max="10" min="10" style="1" width="14.7"/>
    <col collapsed="false" customWidth="true" hidden="false" outlineLevel="0" max="11" min="11" style="1" width="12.86"/>
    <col collapsed="false" customWidth="true" hidden="false" outlineLevel="0" max="12" min="12" style="1" width="27"/>
    <col collapsed="false" customWidth="true" hidden="false" outlineLevel="0" max="13" min="13" style="1" width="26"/>
    <col collapsed="false" customWidth="true" hidden="false" outlineLevel="0" max="14" min="14" style="1" width="15.29"/>
    <col collapsed="false" customWidth="true" hidden="false" outlineLevel="0" max="15" min="15" style="1" width="17.86"/>
    <col collapsed="false" customWidth="true" hidden="false" outlineLevel="0" max="16" min="16" style="1" width="16.42"/>
    <col collapsed="false" customWidth="true" hidden="false" outlineLevel="0" max="17" min="17" style="1" width="15"/>
    <col collapsed="false" customWidth="true" hidden="false" outlineLevel="0" max="18" min="18" style="1" width="13.43"/>
    <col collapsed="false" customWidth="true" hidden="false" outlineLevel="0" max="19" min="19" style="1" width="24"/>
    <col collapsed="false" customWidth="true" hidden="false" outlineLevel="0" max="20" min="20" style="1" width="15.15"/>
    <col collapsed="false" customWidth="true" hidden="false" outlineLevel="0" max="21" min="21" style="1" width="15.86"/>
    <col collapsed="false" customWidth="true" hidden="false" outlineLevel="0" max="23" min="22" style="1" width="18.71"/>
    <col collapsed="false" customWidth="true" hidden="false" outlineLevel="0" max="24" min="24" style="1" width="16.71"/>
    <col collapsed="false" customWidth="true" hidden="false" outlineLevel="0" max="25" min="25" style="1" width="17.42"/>
    <col collapsed="false" customWidth="true" hidden="false" outlineLevel="0" max="26" min="26" style="1" width="19.71"/>
    <col collapsed="false" customWidth="true" hidden="false" outlineLevel="0" max="27" min="27" style="1" width="14.7"/>
    <col collapsed="false" customWidth="true" hidden="false" outlineLevel="0" max="28" min="28" style="1" width="19.14"/>
    <col collapsed="false" customWidth="true" hidden="false" outlineLevel="0" max="29" min="29" style="1" width="21.71"/>
    <col collapsed="false" customWidth="true" hidden="false" outlineLevel="0" max="30" min="30" style="1" width="16.86"/>
    <col collapsed="false" customWidth="true" hidden="false" outlineLevel="0" max="31" min="31" style="1" width="14.7"/>
    <col collapsed="false" customWidth="true" hidden="false" outlineLevel="0" max="32" min="32" style="1" width="22.43"/>
    <col collapsed="false" customWidth="true" hidden="false" outlineLevel="0" max="33" min="33" style="1" width="26"/>
    <col collapsed="false" customWidth="true" hidden="false" outlineLevel="0" max="34" min="34" style="1" width="34.71"/>
    <col collapsed="false" customWidth="true" hidden="false" outlineLevel="0" max="35" min="35" style="1" width="23.86"/>
    <col collapsed="false" customWidth="true" hidden="false" outlineLevel="0" max="36" min="36" style="1" width="16.42"/>
    <col collapsed="false" customWidth="true" hidden="false" outlineLevel="0" max="37" min="37" style="1" width="11.99"/>
    <col collapsed="false" customWidth="true" hidden="false" outlineLevel="0" max="38" min="38" style="1" width="14.43"/>
    <col collapsed="false" customWidth="true" hidden="false" outlineLevel="0" max="39" min="39" style="1" width="16"/>
    <col collapsed="false" customWidth="true" hidden="false" outlineLevel="0" max="40" min="40" style="1" width="14.28"/>
    <col collapsed="false" customWidth="true" hidden="false" outlineLevel="0" max="41" min="41" style="1" width="15.42"/>
    <col collapsed="false" customWidth="true" hidden="false" outlineLevel="0" max="42" min="42" style="1" width="27.29"/>
    <col collapsed="false" customWidth="true" hidden="false" outlineLevel="0" max="43" min="43" style="1" width="15.86"/>
    <col collapsed="false" customWidth="true" hidden="false" outlineLevel="0" max="44" min="44" style="1" width="33.14"/>
    <col collapsed="false" customWidth="true" hidden="false" outlineLevel="0" max="45" min="45" style="1" width="18.29"/>
    <col collapsed="false" customWidth="true" hidden="false" outlineLevel="0" max="46" min="46" style="1" width="19.85"/>
    <col collapsed="false" customWidth="true" hidden="false" outlineLevel="0" max="47" min="47" style="1" width="19.42"/>
    <col collapsed="false" customWidth="true" hidden="false" outlineLevel="0" max="48" min="48" style="1" width="21.29"/>
    <col collapsed="false" customWidth="true" hidden="false" outlineLevel="0" max="49" min="49" style="1" width="27"/>
    <col collapsed="false" customWidth="true" hidden="false" outlineLevel="0" max="50" min="50" style="1" width="18.29"/>
    <col collapsed="false" customWidth="true" hidden="false" outlineLevel="0" max="51" min="51" style="1" width="22.43"/>
    <col collapsed="false" customWidth="true" hidden="false" outlineLevel="0" max="52" min="52" style="1" width="18.85"/>
    <col collapsed="false" customWidth="true" hidden="false" outlineLevel="0" max="53" min="53" style="1" width="14.7"/>
    <col collapsed="false" customWidth="true" hidden="false" outlineLevel="0" max="54" min="54" style="1" width="20.14"/>
    <col collapsed="false" customWidth="true" hidden="false" outlineLevel="0" max="55" min="55" style="1" width="15.15"/>
    <col collapsed="false" customWidth="true" hidden="false" outlineLevel="0" max="56" min="56" style="1" width="24.15"/>
    <col collapsed="false" customWidth="true" hidden="false" outlineLevel="0" max="57" min="57" style="1" width="15.71"/>
    <col collapsed="false" customWidth="true" hidden="false" outlineLevel="0" max="58" min="58" style="1" width="15.29"/>
    <col collapsed="false" customWidth="true" hidden="false" outlineLevel="0" max="59" min="59" style="1" width="16.71"/>
    <col collapsed="false" customWidth="true" hidden="false" outlineLevel="0" max="60" min="60" style="1" width="15.15"/>
    <col collapsed="false" customWidth="true" hidden="false" outlineLevel="0" max="61" min="61" style="1" width="15.29"/>
    <col collapsed="false" customWidth="true" hidden="false" outlineLevel="0" max="62" min="62" style="1" width="22.43"/>
    <col collapsed="false" customWidth="true" hidden="false" outlineLevel="0" max="63" min="63" style="1" width="18.85"/>
    <col collapsed="false" customWidth="true" hidden="false" outlineLevel="0" max="64" min="64" style="1" width="25"/>
    <col collapsed="false" customWidth="true" hidden="false" outlineLevel="0" max="65" min="65" style="1" width="26.14"/>
    <col collapsed="false" customWidth="true" hidden="false" outlineLevel="0" max="67" min="66" style="1" width="24.15"/>
    <col collapsed="false" customWidth="true" hidden="false" outlineLevel="0" max="68" min="68" style="1" width="23.15"/>
    <col collapsed="false" customWidth="true" hidden="false" outlineLevel="0" max="82" min="69" style="1" width="16.14"/>
    <col collapsed="false" customWidth="true" hidden="false" outlineLevel="0" max="83" min="83" style="1" width="37.29"/>
    <col collapsed="false" customWidth="true" hidden="false" outlineLevel="0" max="84" min="84" style="1" width="28.86"/>
    <col collapsed="false" customWidth="true" hidden="false" outlineLevel="0" max="86" min="85" style="1" width="15.29"/>
    <col collapsed="false" customWidth="true" hidden="false" outlineLevel="0" max="87" min="87" style="1" width="16.86"/>
    <col collapsed="false" customWidth="true" hidden="false" outlineLevel="0" max="88" min="88" style="1" width="25.42"/>
    <col collapsed="false" customWidth="true" hidden="false" outlineLevel="0" max="89" min="89" style="1" width="14.43"/>
    <col collapsed="false" customWidth="true" hidden="false" outlineLevel="0" max="90" min="90" style="1" width="18"/>
    <col collapsed="false" customWidth="true" hidden="false" outlineLevel="0" max="94" min="91" style="1" width="13.29"/>
    <col collapsed="false" customWidth="true" hidden="false" outlineLevel="0" max="95" min="95" style="1" width="14.43"/>
    <col collapsed="false" customWidth="true" hidden="false" outlineLevel="0" max="96" min="96" style="1" width="13.29"/>
    <col collapsed="false" customWidth="true" hidden="false" outlineLevel="0" max="97" min="97" style="1" width="14.28"/>
    <col collapsed="false" customWidth="true" hidden="false" outlineLevel="0" max="98" min="98" style="1" width="14.7"/>
    <col collapsed="false" customWidth="true" hidden="false" outlineLevel="0" max="99" min="99" style="1" width="13.29"/>
    <col collapsed="false" customWidth="true" hidden="false" outlineLevel="0" max="102" min="100" style="1" width="13.86"/>
    <col collapsed="false" customWidth="true" hidden="false" outlineLevel="0" max="103" min="103" style="1" width="15.86"/>
    <col collapsed="false" customWidth="true" hidden="false" outlineLevel="0" max="104" min="104" style="1" width="14.28"/>
    <col collapsed="false" customWidth="true" hidden="false" outlineLevel="0" max="105" min="105" style="1" width="15"/>
    <col collapsed="false" customWidth="true" hidden="false" outlineLevel="0" max="107" min="106" style="1" width="14.28"/>
    <col collapsed="false" customWidth="true" hidden="false" outlineLevel="0" max="109" min="108" style="1" width="16.42"/>
    <col collapsed="false" customWidth="true" hidden="false" outlineLevel="0" max="110" min="110" style="1" width="19.42"/>
    <col collapsed="false" customWidth="false" hidden="false" outlineLevel="0" max="115" min="111" style="1" width="11.42"/>
    <col collapsed="false" customWidth="true" hidden="false" outlineLevel="0" max="116" min="116" style="1" width="19.85"/>
    <col collapsed="false" customWidth="false" hidden="false" outlineLevel="0" max="262" min="117" style="1" width="11.42"/>
    <col collapsed="false" customWidth="true" hidden="false" outlineLevel="0" max="263" min="263" style="1" width="18.71"/>
    <col collapsed="false" customWidth="true" hidden="false" outlineLevel="0" max="264" min="264" style="1" width="14.7"/>
    <col collapsed="false" customWidth="true" hidden="false" outlineLevel="0" max="265" min="265" style="1" width="19.85"/>
    <col collapsed="false" customWidth="true" hidden="false" outlineLevel="0" max="266" min="266" style="1" width="15.42"/>
    <col collapsed="false" customWidth="true" hidden="false" outlineLevel="0" max="267" min="267" style="1" width="14.7"/>
    <col collapsed="false" customWidth="true" hidden="false" outlineLevel="0" max="268" min="268" style="1" width="12.86"/>
    <col collapsed="false" customWidth="true" hidden="false" outlineLevel="0" max="269" min="269" style="1" width="27"/>
    <col collapsed="false" customWidth="true" hidden="false" outlineLevel="0" max="270" min="270" style="1" width="26"/>
    <col collapsed="false" customWidth="true" hidden="false" outlineLevel="0" max="271" min="271" style="1" width="15.29"/>
    <col collapsed="false" customWidth="true" hidden="false" outlineLevel="0" max="272" min="272" style="1" width="17.86"/>
    <col collapsed="false" customWidth="true" hidden="false" outlineLevel="0" max="273" min="273" style="1" width="16.42"/>
    <col collapsed="false" customWidth="true" hidden="false" outlineLevel="0" max="274" min="274" style="1" width="15"/>
    <col collapsed="false" customWidth="true" hidden="false" outlineLevel="0" max="275" min="275" style="1" width="13.43"/>
    <col collapsed="false" customWidth="true" hidden="false" outlineLevel="0" max="276" min="276" style="1" width="24"/>
    <col collapsed="false" customWidth="true" hidden="false" outlineLevel="0" max="277" min="277" style="1" width="15.15"/>
    <col collapsed="false" customWidth="true" hidden="false" outlineLevel="0" max="278" min="278" style="1" width="15.86"/>
    <col collapsed="false" customWidth="true" hidden="false" outlineLevel="0" max="280" min="279" style="1" width="18.71"/>
    <col collapsed="false" customWidth="true" hidden="false" outlineLevel="0" max="281" min="281" style="1" width="15.29"/>
    <col collapsed="false" customWidth="true" hidden="false" outlineLevel="0" max="282" min="282" style="1" width="17.42"/>
    <col collapsed="false" customWidth="true" hidden="false" outlineLevel="0" max="283" min="283" style="1" width="19.71"/>
    <col collapsed="false" customWidth="true" hidden="false" outlineLevel="0" max="284" min="284" style="1" width="14.7"/>
    <col collapsed="false" customWidth="true" hidden="false" outlineLevel="0" max="285" min="285" style="1" width="19.14"/>
    <col collapsed="false" customWidth="true" hidden="false" outlineLevel="0" max="286" min="286" style="1" width="21.71"/>
    <col collapsed="false" customWidth="true" hidden="false" outlineLevel="0" max="287" min="287" style="1" width="16.86"/>
    <col collapsed="false" customWidth="true" hidden="false" outlineLevel="0" max="288" min="288" style="1" width="14.7"/>
    <col collapsed="false" customWidth="true" hidden="false" outlineLevel="0" max="289" min="289" style="1" width="22.43"/>
    <col collapsed="false" customWidth="true" hidden="false" outlineLevel="0" max="290" min="290" style="1" width="26"/>
    <col collapsed="false" customWidth="true" hidden="false" outlineLevel="0" max="291" min="291" style="1" width="34.71"/>
    <col collapsed="false" customWidth="true" hidden="false" outlineLevel="0" max="292" min="292" style="1" width="23.86"/>
    <col collapsed="false" customWidth="true" hidden="false" outlineLevel="0" max="294" min="293" style="1" width="11.99"/>
    <col collapsed="false" customWidth="true" hidden="false" outlineLevel="0" max="295" min="295" style="1" width="14.43"/>
    <col collapsed="false" customWidth="true" hidden="false" outlineLevel="0" max="296" min="296" style="1" width="16"/>
    <col collapsed="false" customWidth="true" hidden="false" outlineLevel="0" max="297" min="297" style="1" width="14.28"/>
    <col collapsed="false" customWidth="true" hidden="false" outlineLevel="0" max="298" min="298" style="1" width="15.42"/>
    <col collapsed="false" customWidth="true" hidden="false" outlineLevel="0" max="299" min="299" style="1" width="27.29"/>
    <col collapsed="false" customWidth="true" hidden="false" outlineLevel="0" max="300" min="300" style="1" width="15.86"/>
    <col collapsed="false" customWidth="true" hidden="false" outlineLevel="0" max="301" min="301" style="1" width="14.86"/>
    <col collapsed="false" customWidth="true" hidden="false" outlineLevel="0" max="302" min="302" style="1" width="18.29"/>
    <col collapsed="false" customWidth="true" hidden="false" outlineLevel="0" max="303" min="303" style="1" width="19.85"/>
    <col collapsed="false" customWidth="true" hidden="false" outlineLevel="0" max="304" min="304" style="1" width="19.42"/>
    <col collapsed="false" customWidth="true" hidden="false" outlineLevel="0" max="305" min="305" style="1" width="21.29"/>
    <col collapsed="false" customWidth="true" hidden="false" outlineLevel="0" max="306" min="306" style="1" width="17.86"/>
    <col collapsed="false" customWidth="true" hidden="false" outlineLevel="0" max="307" min="307" style="1" width="18.29"/>
    <col collapsed="false" customWidth="true" hidden="false" outlineLevel="0" max="309" min="308" style="1" width="18.85"/>
    <col collapsed="false" customWidth="true" hidden="false" outlineLevel="0" max="310" min="310" style="1" width="14.7"/>
    <col collapsed="false" customWidth="true" hidden="false" outlineLevel="0" max="311" min="311" style="1" width="20.14"/>
    <col collapsed="false" customWidth="true" hidden="false" outlineLevel="0" max="312" min="312" style="1" width="15.15"/>
    <col collapsed="false" customWidth="true" hidden="false" outlineLevel="0" max="313" min="313" style="1" width="24.15"/>
    <col collapsed="false" customWidth="true" hidden="false" outlineLevel="0" max="314" min="314" style="1" width="14.86"/>
    <col collapsed="false" customWidth="true" hidden="false" outlineLevel="0" max="315" min="315" style="1" width="15.29"/>
    <col collapsed="false" customWidth="true" hidden="false" outlineLevel="0" max="316" min="316" style="1" width="16.71"/>
    <col collapsed="false" customWidth="true" hidden="false" outlineLevel="0" max="317" min="317" style="1" width="15.15"/>
    <col collapsed="false" customWidth="true" hidden="false" outlineLevel="0" max="318" min="318" style="1" width="15.29"/>
    <col collapsed="false" customWidth="true" hidden="false" outlineLevel="0" max="319" min="319" style="1" width="22.43"/>
    <col collapsed="false" customWidth="true" hidden="false" outlineLevel="0" max="320" min="320" style="1" width="18.85"/>
    <col collapsed="false" customWidth="true" hidden="false" outlineLevel="0" max="321" min="321" style="1" width="25"/>
    <col collapsed="false" customWidth="true" hidden="false" outlineLevel="0" max="322" min="322" style="1" width="26.14"/>
    <col collapsed="false" customWidth="true" hidden="false" outlineLevel="0" max="324" min="323" style="1" width="24.15"/>
    <col collapsed="false" customWidth="true" hidden="false" outlineLevel="0" max="325" min="325" style="1" width="23.15"/>
    <col collapsed="false" customWidth="true" hidden="false" outlineLevel="0" max="339" min="326" style="1" width="16.14"/>
    <col collapsed="false" customWidth="true" hidden="false" outlineLevel="0" max="340" min="340" style="1" width="37.29"/>
    <col collapsed="false" customWidth="true" hidden="false" outlineLevel="0" max="341" min="341" style="1" width="28.86"/>
    <col collapsed="false" customWidth="true" hidden="false" outlineLevel="0" max="343" min="342" style="1" width="15.29"/>
    <col collapsed="false" customWidth="true" hidden="false" outlineLevel="0" max="344" min="344" style="1" width="14.01"/>
    <col collapsed="false" customWidth="true" hidden="false" outlineLevel="0" max="345" min="345" style="1" width="14.43"/>
    <col collapsed="false" customWidth="true" hidden="false" outlineLevel="0" max="350" min="346" style="1" width="13.29"/>
    <col collapsed="false" customWidth="true" hidden="false" outlineLevel="0" max="351" min="351" style="1" width="14.43"/>
    <col collapsed="false" customWidth="true" hidden="false" outlineLevel="0" max="352" min="352" style="1" width="13.29"/>
    <col collapsed="false" customWidth="true" hidden="false" outlineLevel="0" max="353" min="353" style="1" width="14.28"/>
    <col collapsed="false" customWidth="true" hidden="false" outlineLevel="0" max="354" min="354" style="1" width="14.7"/>
    <col collapsed="false" customWidth="true" hidden="false" outlineLevel="0" max="355" min="355" style="1" width="13.29"/>
    <col collapsed="false" customWidth="true" hidden="false" outlineLevel="0" max="358" min="356" style="1" width="13.86"/>
    <col collapsed="false" customWidth="true" hidden="false" outlineLevel="0" max="359" min="359" style="1" width="15.86"/>
    <col collapsed="false" customWidth="true" hidden="false" outlineLevel="0" max="360" min="360" style="1" width="14.28"/>
    <col collapsed="false" customWidth="true" hidden="false" outlineLevel="0" max="361" min="361" style="1" width="15"/>
    <col collapsed="false" customWidth="true" hidden="false" outlineLevel="0" max="363" min="362" style="1" width="14.28"/>
    <col collapsed="false" customWidth="true" hidden="false" outlineLevel="0" max="365" min="364" style="1" width="16.42"/>
    <col collapsed="false" customWidth="false" hidden="false" outlineLevel="0" max="371" min="366" style="1" width="11.42"/>
    <col collapsed="false" customWidth="true" hidden="false" outlineLevel="0" max="372" min="372" style="1" width="19.85"/>
    <col collapsed="false" customWidth="false" hidden="false" outlineLevel="0" max="518" min="373" style="1" width="11.42"/>
    <col collapsed="false" customWidth="true" hidden="false" outlineLevel="0" max="519" min="519" style="1" width="18.71"/>
    <col collapsed="false" customWidth="true" hidden="false" outlineLevel="0" max="520" min="520" style="1" width="14.7"/>
    <col collapsed="false" customWidth="true" hidden="false" outlineLevel="0" max="521" min="521" style="1" width="19.85"/>
    <col collapsed="false" customWidth="true" hidden="false" outlineLevel="0" max="522" min="522" style="1" width="15.42"/>
    <col collapsed="false" customWidth="true" hidden="false" outlineLevel="0" max="523" min="523" style="1" width="14.7"/>
    <col collapsed="false" customWidth="true" hidden="false" outlineLevel="0" max="524" min="524" style="1" width="12.86"/>
    <col collapsed="false" customWidth="true" hidden="false" outlineLevel="0" max="525" min="525" style="1" width="27"/>
    <col collapsed="false" customWidth="true" hidden="false" outlineLevel="0" max="526" min="526" style="1" width="26"/>
    <col collapsed="false" customWidth="true" hidden="false" outlineLevel="0" max="527" min="527" style="1" width="15.29"/>
    <col collapsed="false" customWidth="true" hidden="false" outlineLevel="0" max="528" min="528" style="1" width="17.86"/>
    <col collapsed="false" customWidth="true" hidden="false" outlineLevel="0" max="529" min="529" style="1" width="16.42"/>
    <col collapsed="false" customWidth="true" hidden="false" outlineLevel="0" max="530" min="530" style="1" width="15"/>
    <col collapsed="false" customWidth="true" hidden="false" outlineLevel="0" max="531" min="531" style="1" width="13.43"/>
    <col collapsed="false" customWidth="true" hidden="false" outlineLevel="0" max="532" min="532" style="1" width="24"/>
    <col collapsed="false" customWidth="true" hidden="false" outlineLevel="0" max="533" min="533" style="1" width="15.15"/>
    <col collapsed="false" customWidth="true" hidden="false" outlineLevel="0" max="534" min="534" style="1" width="15.86"/>
    <col collapsed="false" customWidth="true" hidden="false" outlineLevel="0" max="536" min="535" style="1" width="18.71"/>
    <col collapsed="false" customWidth="true" hidden="false" outlineLevel="0" max="537" min="537" style="1" width="15.29"/>
    <col collapsed="false" customWidth="true" hidden="false" outlineLevel="0" max="538" min="538" style="1" width="17.42"/>
    <col collapsed="false" customWidth="true" hidden="false" outlineLevel="0" max="539" min="539" style="1" width="19.71"/>
    <col collapsed="false" customWidth="true" hidden="false" outlineLevel="0" max="540" min="540" style="1" width="14.7"/>
    <col collapsed="false" customWidth="true" hidden="false" outlineLevel="0" max="541" min="541" style="1" width="19.14"/>
    <col collapsed="false" customWidth="true" hidden="false" outlineLevel="0" max="542" min="542" style="1" width="21.71"/>
    <col collapsed="false" customWidth="true" hidden="false" outlineLevel="0" max="543" min="543" style="1" width="16.86"/>
    <col collapsed="false" customWidth="true" hidden="false" outlineLevel="0" max="544" min="544" style="1" width="14.7"/>
    <col collapsed="false" customWidth="true" hidden="false" outlineLevel="0" max="545" min="545" style="1" width="22.43"/>
    <col collapsed="false" customWidth="true" hidden="false" outlineLevel="0" max="546" min="546" style="1" width="26"/>
    <col collapsed="false" customWidth="true" hidden="false" outlineLevel="0" max="547" min="547" style="1" width="34.71"/>
    <col collapsed="false" customWidth="true" hidden="false" outlineLevel="0" max="548" min="548" style="1" width="23.86"/>
    <col collapsed="false" customWidth="true" hidden="false" outlineLevel="0" max="550" min="549" style="1" width="11.99"/>
    <col collapsed="false" customWidth="true" hidden="false" outlineLevel="0" max="551" min="551" style="1" width="14.43"/>
    <col collapsed="false" customWidth="true" hidden="false" outlineLevel="0" max="552" min="552" style="1" width="16"/>
    <col collapsed="false" customWidth="true" hidden="false" outlineLevel="0" max="553" min="553" style="1" width="14.28"/>
    <col collapsed="false" customWidth="true" hidden="false" outlineLevel="0" max="554" min="554" style="1" width="15.42"/>
    <col collapsed="false" customWidth="true" hidden="false" outlineLevel="0" max="555" min="555" style="1" width="27.29"/>
    <col collapsed="false" customWidth="true" hidden="false" outlineLevel="0" max="556" min="556" style="1" width="15.86"/>
    <col collapsed="false" customWidth="true" hidden="false" outlineLevel="0" max="557" min="557" style="1" width="14.86"/>
    <col collapsed="false" customWidth="true" hidden="false" outlineLevel="0" max="558" min="558" style="1" width="18.29"/>
    <col collapsed="false" customWidth="true" hidden="false" outlineLevel="0" max="559" min="559" style="1" width="19.85"/>
    <col collapsed="false" customWidth="true" hidden="false" outlineLevel="0" max="560" min="560" style="1" width="19.42"/>
    <col collapsed="false" customWidth="true" hidden="false" outlineLevel="0" max="561" min="561" style="1" width="21.29"/>
    <col collapsed="false" customWidth="true" hidden="false" outlineLevel="0" max="562" min="562" style="1" width="17.86"/>
    <col collapsed="false" customWidth="true" hidden="false" outlineLevel="0" max="563" min="563" style="1" width="18.29"/>
    <col collapsed="false" customWidth="true" hidden="false" outlineLevel="0" max="565" min="564" style="1" width="18.85"/>
    <col collapsed="false" customWidth="true" hidden="false" outlineLevel="0" max="566" min="566" style="1" width="14.7"/>
    <col collapsed="false" customWidth="true" hidden="false" outlineLevel="0" max="567" min="567" style="1" width="20.14"/>
    <col collapsed="false" customWidth="true" hidden="false" outlineLevel="0" max="568" min="568" style="1" width="15.15"/>
    <col collapsed="false" customWidth="true" hidden="false" outlineLevel="0" max="569" min="569" style="1" width="24.15"/>
    <col collapsed="false" customWidth="true" hidden="false" outlineLevel="0" max="570" min="570" style="1" width="14.86"/>
    <col collapsed="false" customWidth="true" hidden="false" outlineLevel="0" max="571" min="571" style="1" width="15.29"/>
    <col collapsed="false" customWidth="true" hidden="false" outlineLevel="0" max="572" min="572" style="1" width="16.71"/>
    <col collapsed="false" customWidth="true" hidden="false" outlineLevel="0" max="573" min="573" style="1" width="15.15"/>
    <col collapsed="false" customWidth="true" hidden="false" outlineLevel="0" max="574" min="574" style="1" width="15.29"/>
    <col collapsed="false" customWidth="true" hidden="false" outlineLevel="0" max="575" min="575" style="1" width="22.43"/>
    <col collapsed="false" customWidth="true" hidden="false" outlineLevel="0" max="576" min="576" style="1" width="18.85"/>
    <col collapsed="false" customWidth="true" hidden="false" outlineLevel="0" max="577" min="577" style="1" width="25"/>
    <col collapsed="false" customWidth="true" hidden="false" outlineLevel="0" max="578" min="578" style="1" width="26.14"/>
    <col collapsed="false" customWidth="true" hidden="false" outlineLevel="0" max="580" min="579" style="1" width="24.15"/>
    <col collapsed="false" customWidth="true" hidden="false" outlineLevel="0" max="581" min="581" style="1" width="23.15"/>
    <col collapsed="false" customWidth="true" hidden="false" outlineLevel="0" max="595" min="582" style="1" width="16.14"/>
    <col collapsed="false" customWidth="true" hidden="false" outlineLevel="0" max="596" min="596" style="1" width="37.29"/>
    <col collapsed="false" customWidth="true" hidden="false" outlineLevel="0" max="597" min="597" style="1" width="28.86"/>
    <col collapsed="false" customWidth="true" hidden="false" outlineLevel="0" max="599" min="598" style="1" width="15.29"/>
    <col collapsed="false" customWidth="true" hidden="false" outlineLevel="0" max="600" min="600" style="1" width="14.01"/>
    <col collapsed="false" customWidth="true" hidden="false" outlineLevel="0" max="601" min="601" style="1" width="14.43"/>
    <col collapsed="false" customWidth="true" hidden="false" outlineLevel="0" max="606" min="602" style="1" width="13.29"/>
    <col collapsed="false" customWidth="true" hidden="false" outlineLevel="0" max="607" min="607" style="1" width="14.43"/>
    <col collapsed="false" customWidth="true" hidden="false" outlineLevel="0" max="608" min="608" style="1" width="13.29"/>
    <col collapsed="false" customWidth="true" hidden="false" outlineLevel="0" max="609" min="609" style="1" width="14.28"/>
    <col collapsed="false" customWidth="true" hidden="false" outlineLevel="0" max="610" min="610" style="1" width="14.7"/>
    <col collapsed="false" customWidth="true" hidden="false" outlineLevel="0" max="611" min="611" style="1" width="13.29"/>
    <col collapsed="false" customWidth="true" hidden="false" outlineLevel="0" max="614" min="612" style="1" width="13.86"/>
    <col collapsed="false" customWidth="true" hidden="false" outlineLevel="0" max="615" min="615" style="1" width="15.86"/>
    <col collapsed="false" customWidth="true" hidden="false" outlineLevel="0" max="616" min="616" style="1" width="14.28"/>
    <col collapsed="false" customWidth="true" hidden="false" outlineLevel="0" max="617" min="617" style="1" width="15"/>
    <col collapsed="false" customWidth="true" hidden="false" outlineLevel="0" max="619" min="618" style="1" width="14.28"/>
    <col collapsed="false" customWidth="true" hidden="false" outlineLevel="0" max="621" min="620" style="1" width="16.42"/>
    <col collapsed="false" customWidth="false" hidden="false" outlineLevel="0" max="627" min="622" style="1" width="11.42"/>
    <col collapsed="false" customWidth="true" hidden="false" outlineLevel="0" max="628" min="628" style="1" width="19.85"/>
    <col collapsed="false" customWidth="false" hidden="false" outlineLevel="0" max="774" min="629" style="1" width="11.42"/>
    <col collapsed="false" customWidth="true" hidden="false" outlineLevel="0" max="775" min="775" style="1" width="18.71"/>
    <col collapsed="false" customWidth="true" hidden="false" outlineLevel="0" max="776" min="776" style="1" width="14.7"/>
    <col collapsed="false" customWidth="true" hidden="false" outlineLevel="0" max="777" min="777" style="1" width="19.85"/>
    <col collapsed="false" customWidth="true" hidden="false" outlineLevel="0" max="778" min="778" style="1" width="15.42"/>
    <col collapsed="false" customWidth="true" hidden="false" outlineLevel="0" max="779" min="779" style="1" width="14.7"/>
    <col collapsed="false" customWidth="true" hidden="false" outlineLevel="0" max="780" min="780" style="1" width="12.86"/>
    <col collapsed="false" customWidth="true" hidden="false" outlineLevel="0" max="781" min="781" style="1" width="27"/>
    <col collapsed="false" customWidth="true" hidden="false" outlineLevel="0" max="782" min="782" style="1" width="26"/>
    <col collapsed="false" customWidth="true" hidden="false" outlineLevel="0" max="783" min="783" style="1" width="15.29"/>
    <col collapsed="false" customWidth="true" hidden="false" outlineLevel="0" max="784" min="784" style="1" width="17.86"/>
    <col collapsed="false" customWidth="true" hidden="false" outlineLevel="0" max="785" min="785" style="1" width="16.42"/>
    <col collapsed="false" customWidth="true" hidden="false" outlineLevel="0" max="786" min="786" style="1" width="15"/>
    <col collapsed="false" customWidth="true" hidden="false" outlineLevel="0" max="787" min="787" style="1" width="13.43"/>
    <col collapsed="false" customWidth="true" hidden="false" outlineLevel="0" max="788" min="788" style="1" width="24"/>
    <col collapsed="false" customWidth="true" hidden="false" outlineLevel="0" max="789" min="789" style="1" width="15.15"/>
    <col collapsed="false" customWidth="true" hidden="false" outlineLevel="0" max="790" min="790" style="1" width="15.86"/>
    <col collapsed="false" customWidth="true" hidden="false" outlineLevel="0" max="792" min="791" style="1" width="18.71"/>
    <col collapsed="false" customWidth="true" hidden="false" outlineLevel="0" max="793" min="793" style="1" width="15.29"/>
    <col collapsed="false" customWidth="true" hidden="false" outlineLevel="0" max="794" min="794" style="1" width="17.42"/>
    <col collapsed="false" customWidth="true" hidden="false" outlineLevel="0" max="795" min="795" style="1" width="19.71"/>
    <col collapsed="false" customWidth="true" hidden="false" outlineLevel="0" max="796" min="796" style="1" width="14.7"/>
    <col collapsed="false" customWidth="true" hidden="false" outlineLevel="0" max="797" min="797" style="1" width="19.14"/>
    <col collapsed="false" customWidth="true" hidden="false" outlineLevel="0" max="798" min="798" style="1" width="21.71"/>
    <col collapsed="false" customWidth="true" hidden="false" outlineLevel="0" max="799" min="799" style="1" width="16.86"/>
    <col collapsed="false" customWidth="true" hidden="false" outlineLevel="0" max="800" min="800" style="1" width="14.7"/>
    <col collapsed="false" customWidth="true" hidden="false" outlineLevel="0" max="801" min="801" style="1" width="22.43"/>
    <col collapsed="false" customWidth="true" hidden="false" outlineLevel="0" max="802" min="802" style="1" width="26"/>
    <col collapsed="false" customWidth="true" hidden="false" outlineLevel="0" max="803" min="803" style="1" width="34.71"/>
    <col collapsed="false" customWidth="true" hidden="false" outlineLevel="0" max="804" min="804" style="1" width="23.86"/>
    <col collapsed="false" customWidth="true" hidden="false" outlineLevel="0" max="806" min="805" style="1" width="11.99"/>
    <col collapsed="false" customWidth="true" hidden="false" outlineLevel="0" max="807" min="807" style="1" width="14.43"/>
    <col collapsed="false" customWidth="true" hidden="false" outlineLevel="0" max="808" min="808" style="1" width="16"/>
    <col collapsed="false" customWidth="true" hidden="false" outlineLevel="0" max="809" min="809" style="1" width="14.28"/>
    <col collapsed="false" customWidth="true" hidden="false" outlineLevel="0" max="810" min="810" style="1" width="15.42"/>
    <col collapsed="false" customWidth="true" hidden="false" outlineLevel="0" max="811" min="811" style="1" width="27.29"/>
    <col collapsed="false" customWidth="true" hidden="false" outlineLevel="0" max="812" min="812" style="1" width="15.86"/>
    <col collapsed="false" customWidth="true" hidden="false" outlineLevel="0" max="813" min="813" style="1" width="14.86"/>
    <col collapsed="false" customWidth="true" hidden="false" outlineLevel="0" max="814" min="814" style="1" width="18.29"/>
    <col collapsed="false" customWidth="true" hidden="false" outlineLevel="0" max="815" min="815" style="1" width="19.85"/>
    <col collapsed="false" customWidth="true" hidden="false" outlineLevel="0" max="816" min="816" style="1" width="19.42"/>
    <col collapsed="false" customWidth="true" hidden="false" outlineLevel="0" max="817" min="817" style="1" width="21.29"/>
    <col collapsed="false" customWidth="true" hidden="false" outlineLevel="0" max="818" min="818" style="1" width="17.86"/>
    <col collapsed="false" customWidth="true" hidden="false" outlineLevel="0" max="819" min="819" style="1" width="18.29"/>
    <col collapsed="false" customWidth="true" hidden="false" outlineLevel="0" max="821" min="820" style="1" width="18.85"/>
    <col collapsed="false" customWidth="true" hidden="false" outlineLevel="0" max="822" min="822" style="1" width="14.7"/>
    <col collapsed="false" customWidth="true" hidden="false" outlineLevel="0" max="823" min="823" style="1" width="20.14"/>
    <col collapsed="false" customWidth="true" hidden="false" outlineLevel="0" max="824" min="824" style="1" width="15.15"/>
    <col collapsed="false" customWidth="true" hidden="false" outlineLevel="0" max="825" min="825" style="1" width="24.15"/>
    <col collapsed="false" customWidth="true" hidden="false" outlineLevel="0" max="826" min="826" style="1" width="14.86"/>
    <col collapsed="false" customWidth="true" hidden="false" outlineLevel="0" max="827" min="827" style="1" width="15.29"/>
    <col collapsed="false" customWidth="true" hidden="false" outlineLevel="0" max="828" min="828" style="1" width="16.71"/>
    <col collapsed="false" customWidth="true" hidden="false" outlineLevel="0" max="829" min="829" style="1" width="15.15"/>
    <col collapsed="false" customWidth="true" hidden="false" outlineLevel="0" max="830" min="830" style="1" width="15.29"/>
    <col collapsed="false" customWidth="true" hidden="false" outlineLevel="0" max="831" min="831" style="1" width="22.43"/>
    <col collapsed="false" customWidth="true" hidden="false" outlineLevel="0" max="832" min="832" style="1" width="18.85"/>
    <col collapsed="false" customWidth="true" hidden="false" outlineLevel="0" max="833" min="833" style="1" width="25"/>
    <col collapsed="false" customWidth="true" hidden="false" outlineLevel="0" max="834" min="834" style="1" width="26.14"/>
    <col collapsed="false" customWidth="true" hidden="false" outlineLevel="0" max="836" min="835" style="1" width="24.15"/>
    <col collapsed="false" customWidth="true" hidden="false" outlineLevel="0" max="837" min="837" style="1" width="23.15"/>
    <col collapsed="false" customWidth="true" hidden="false" outlineLevel="0" max="851" min="838" style="1" width="16.14"/>
    <col collapsed="false" customWidth="true" hidden="false" outlineLevel="0" max="852" min="852" style="1" width="37.29"/>
    <col collapsed="false" customWidth="true" hidden="false" outlineLevel="0" max="853" min="853" style="1" width="28.86"/>
    <col collapsed="false" customWidth="true" hidden="false" outlineLevel="0" max="855" min="854" style="1" width="15.29"/>
    <col collapsed="false" customWidth="true" hidden="false" outlineLevel="0" max="856" min="856" style="1" width="14.01"/>
    <col collapsed="false" customWidth="true" hidden="false" outlineLevel="0" max="857" min="857" style="1" width="14.43"/>
    <col collapsed="false" customWidth="true" hidden="false" outlineLevel="0" max="862" min="858" style="1" width="13.29"/>
    <col collapsed="false" customWidth="true" hidden="false" outlineLevel="0" max="863" min="863" style="1" width="14.43"/>
    <col collapsed="false" customWidth="true" hidden="false" outlineLevel="0" max="864" min="864" style="1" width="13.29"/>
    <col collapsed="false" customWidth="true" hidden="false" outlineLevel="0" max="865" min="865" style="1" width="14.28"/>
    <col collapsed="false" customWidth="true" hidden="false" outlineLevel="0" max="866" min="866" style="1" width="14.7"/>
    <col collapsed="false" customWidth="true" hidden="false" outlineLevel="0" max="867" min="867" style="1" width="13.29"/>
    <col collapsed="false" customWidth="true" hidden="false" outlineLevel="0" max="870" min="868" style="1" width="13.86"/>
    <col collapsed="false" customWidth="true" hidden="false" outlineLevel="0" max="871" min="871" style="1" width="15.86"/>
    <col collapsed="false" customWidth="true" hidden="false" outlineLevel="0" max="872" min="872" style="1" width="14.28"/>
    <col collapsed="false" customWidth="true" hidden="false" outlineLevel="0" max="873" min="873" style="1" width="15"/>
    <col collapsed="false" customWidth="true" hidden="false" outlineLevel="0" max="875" min="874" style="1" width="14.28"/>
    <col collapsed="false" customWidth="true" hidden="false" outlineLevel="0" max="877" min="876" style="1" width="16.42"/>
    <col collapsed="false" customWidth="false" hidden="false" outlineLevel="0" max="883" min="878" style="1" width="11.42"/>
    <col collapsed="false" customWidth="true" hidden="false" outlineLevel="0" max="884" min="884" style="1" width="19.85"/>
    <col collapsed="false" customWidth="false" hidden="false" outlineLevel="0" max="1025" min="885" style="1" width="11.42"/>
  </cols>
  <sheetData>
    <row r="1" customFormat="false" ht="14.45" hidden="false" customHeight="true" outlineLevel="0" collapsed="false">
      <c r="Y1" s="1" t="s">
        <v>751</v>
      </c>
    </row>
    <row r="2" customFormat="false" ht="51.75" hidden="false" customHeight="true" outlineLevel="0" collapsed="false">
      <c r="F2" s="563" t="s">
        <v>752</v>
      </c>
      <c r="G2" s="563"/>
      <c r="H2" s="563"/>
      <c r="I2" s="563"/>
      <c r="J2" s="563"/>
      <c r="K2" s="563"/>
      <c r="L2" s="563"/>
      <c r="M2" s="563"/>
      <c r="N2" s="563"/>
      <c r="O2" s="563"/>
      <c r="P2" s="563"/>
      <c r="Q2" s="563"/>
      <c r="X2" s="1" t="s">
        <v>753</v>
      </c>
      <c r="Y2" s="564" t="s">
        <v>754</v>
      </c>
      <c r="BC2" s="565"/>
      <c r="BD2" s="566" t="n">
        <f aca="false">BN11/BF11</f>
        <v>0.0998399252540591</v>
      </c>
      <c r="CU2" s="567" t="s">
        <v>755</v>
      </c>
      <c r="CV2" s="567"/>
      <c r="CW2" s="567"/>
      <c r="CX2" s="567"/>
      <c r="CY2" s="567"/>
      <c r="CZ2" s="568" t="s">
        <v>756</v>
      </c>
      <c r="DA2" s="569"/>
      <c r="DB2" s="570"/>
      <c r="DC2" s="571" t="s">
        <v>757</v>
      </c>
      <c r="DD2" s="571"/>
      <c r="DE2" s="571"/>
    </row>
    <row r="3" customFormat="false" ht="15.75" hidden="false" customHeight="true" outlineLevel="0" collapsed="false">
      <c r="F3" s="1" t="s">
        <v>758</v>
      </c>
      <c r="W3" s="455" t="s">
        <v>759</v>
      </c>
      <c r="X3" s="1" t="s">
        <v>760</v>
      </c>
      <c r="Y3" s="564" t="s">
        <v>761</v>
      </c>
      <c r="AX3" s="565"/>
      <c r="BB3" s="572" t="n">
        <v>440721</v>
      </c>
      <c r="BC3" s="565"/>
      <c r="BH3" s="573"/>
      <c r="BQ3" s="574"/>
      <c r="CU3" s="567"/>
      <c r="CV3" s="567"/>
      <c r="CW3" s="567"/>
      <c r="CX3" s="567"/>
      <c r="CY3" s="567"/>
      <c r="CZ3" s="575"/>
      <c r="DA3" s="576"/>
      <c r="DB3" s="577"/>
      <c r="DC3" s="571"/>
      <c r="DD3" s="571"/>
      <c r="DE3" s="571"/>
    </row>
    <row r="4" customFormat="false" ht="15.75" hidden="false" customHeight="true" outlineLevel="0" collapsed="false">
      <c r="F4" s="578" t="s">
        <v>762</v>
      </c>
      <c r="AN4" s="1" t="s">
        <v>763</v>
      </c>
      <c r="AX4" s="565"/>
      <c r="BB4" s="579" t="n">
        <v>14330739</v>
      </c>
      <c r="BC4" s="1" t="n">
        <f aca="false">BN9/BF9</f>
        <v>0.221180597078084</v>
      </c>
      <c r="BD4" s="1" t="n">
        <f aca="false">BC5</f>
        <v>0.220245239989573</v>
      </c>
      <c r="CU4" s="567"/>
      <c r="CV4" s="567"/>
      <c r="CW4" s="567"/>
      <c r="CX4" s="567"/>
      <c r="CY4" s="567"/>
      <c r="CZ4" s="580" t="s">
        <v>764</v>
      </c>
      <c r="DA4" s="576"/>
      <c r="DB4" s="577"/>
      <c r="DC4" s="571"/>
      <c r="DD4" s="571"/>
      <c r="DE4" s="571"/>
    </row>
    <row r="5" customFormat="false" ht="14.45" hidden="false" customHeight="true" outlineLevel="0" collapsed="false">
      <c r="M5" s="1" t="n">
        <v>1000</v>
      </c>
      <c r="AN5" s="1" t="s">
        <v>765</v>
      </c>
      <c r="BB5" s="581" t="n">
        <f aca="false">BB4+BB3</f>
        <v>14771460</v>
      </c>
      <c r="BC5" s="1" t="n">
        <f aca="false">BN10/BF10</f>
        <v>0.220245239989573</v>
      </c>
      <c r="CU5" s="582"/>
      <c r="CV5" s="17"/>
      <c r="CW5" s="17"/>
      <c r="CX5" s="17" t="s">
        <v>766</v>
      </c>
      <c r="CY5" s="17"/>
      <c r="CZ5" s="575"/>
      <c r="DA5" s="576"/>
      <c r="DB5" s="577"/>
      <c r="DC5" s="577" t="s">
        <v>767</v>
      </c>
      <c r="DD5" s="577"/>
      <c r="DE5" s="583"/>
    </row>
    <row r="6" customFormat="false" ht="14.45" hidden="false" customHeight="true" outlineLevel="0" collapsed="false">
      <c r="S6" s="1" t="s">
        <v>768</v>
      </c>
      <c r="BD6" s="1" t="s">
        <v>769</v>
      </c>
      <c r="BY6" s="1" t="s">
        <v>770</v>
      </c>
      <c r="CI6" s="1" t="s">
        <v>771</v>
      </c>
      <c r="CJ6" s="1" t="s">
        <v>772</v>
      </c>
      <c r="CK6" s="1" t="s">
        <v>773</v>
      </c>
      <c r="CU6" s="582"/>
      <c r="CV6" s="17"/>
      <c r="CW6" s="17"/>
      <c r="CX6" s="17"/>
      <c r="CY6" s="17"/>
      <c r="CZ6" s="575"/>
      <c r="DA6" s="576"/>
      <c r="DB6" s="577"/>
      <c r="DC6" s="577"/>
      <c r="DD6" s="577"/>
      <c r="DE6" s="583"/>
      <c r="DU6" s="1" t="s">
        <v>774</v>
      </c>
    </row>
    <row r="7" customFormat="false" ht="14.45" hidden="false" customHeight="true" outlineLevel="0" collapsed="false">
      <c r="E7" s="584" t="s">
        <v>775</v>
      </c>
      <c r="F7" s="585" t="s">
        <v>776</v>
      </c>
      <c r="G7" s="586" t="s">
        <v>777</v>
      </c>
      <c r="H7" s="587" t="s">
        <v>778</v>
      </c>
      <c r="I7" s="587" t="s">
        <v>779</v>
      </c>
      <c r="J7" s="587" t="s">
        <v>780</v>
      </c>
      <c r="K7" s="586" t="s">
        <v>781</v>
      </c>
      <c r="L7" s="588" t="s">
        <v>782</v>
      </c>
      <c r="M7" s="586" t="s">
        <v>783</v>
      </c>
      <c r="N7" s="586" t="s">
        <v>784</v>
      </c>
      <c r="O7" s="586" t="s">
        <v>785</v>
      </c>
      <c r="P7" s="587" t="s">
        <v>786</v>
      </c>
      <c r="Q7" s="586" t="s">
        <v>787</v>
      </c>
      <c r="R7" s="587" t="s">
        <v>788</v>
      </c>
      <c r="S7" s="586" t="s">
        <v>789</v>
      </c>
      <c r="T7" s="589" t="s">
        <v>790</v>
      </c>
      <c r="U7" s="587" t="s">
        <v>791</v>
      </c>
      <c r="V7" s="587" t="s">
        <v>792</v>
      </c>
      <c r="W7" s="587" t="s">
        <v>793</v>
      </c>
      <c r="X7" s="586" t="s">
        <v>794</v>
      </c>
      <c r="Y7" s="587" t="s">
        <v>795</v>
      </c>
      <c r="Z7" s="587" t="s">
        <v>796</v>
      </c>
      <c r="AA7" s="586" t="s">
        <v>797</v>
      </c>
      <c r="AB7" s="587" t="s">
        <v>798</v>
      </c>
      <c r="AC7" s="587" t="s">
        <v>799</v>
      </c>
      <c r="AD7" s="585" t="s">
        <v>800</v>
      </c>
      <c r="AE7" s="586" t="s">
        <v>801</v>
      </c>
      <c r="AF7" s="586" t="s">
        <v>802</v>
      </c>
      <c r="AG7" s="585" t="s">
        <v>803</v>
      </c>
      <c r="AH7" s="585" t="s">
        <v>804</v>
      </c>
      <c r="AI7" s="586" t="s">
        <v>805</v>
      </c>
      <c r="AJ7" s="590" t="s">
        <v>806</v>
      </c>
      <c r="AK7" s="586" t="s">
        <v>807</v>
      </c>
      <c r="AL7" s="586" t="s">
        <v>808</v>
      </c>
      <c r="AM7" s="586" t="s">
        <v>809</v>
      </c>
      <c r="AN7" s="586" t="s">
        <v>810</v>
      </c>
      <c r="AO7" s="586" t="s">
        <v>811</v>
      </c>
      <c r="AP7" s="586" t="s">
        <v>812</v>
      </c>
      <c r="AQ7" s="587" t="s">
        <v>813</v>
      </c>
      <c r="AR7" s="587"/>
      <c r="AS7" s="587"/>
      <c r="AW7" s="591" t="s">
        <v>775</v>
      </c>
      <c r="AX7" s="592" t="s">
        <v>814</v>
      </c>
      <c r="AY7" s="593" t="s">
        <v>815</v>
      </c>
      <c r="AZ7" s="594" t="s">
        <v>816</v>
      </c>
      <c r="BA7" s="594" t="s">
        <v>817</v>
      </c>
      <c r="BB7" s="594" t="s">
        <v>818</v>
      </c>
      <c r="BC7" s="593" t="s">
        <v>794</v>
      </c>
      <c r="BD7" s="595" t="s">
        <v>819</v>
      </c>
      <c r="BE7" s="595" t="s">
        <v>820</v>
      </c>
      <c r="BF7" s="596" t="s">
        <v>821</v>
      </c>
      <c r="BG7" s="597" t="s">
        <v>822</v>
      </c>
      <c r="BH7" s="597" t="s">
        <v>823</v>
      </c>
      <c r="BI7" s="594" t="s">
        <v>824</v>
      </c>
      <c r="BJ7" s="594" t="s">
        <v>825</v>
      </c>
      <c r="BK7" s="594" t="s">
        <v>826</v>
      </c>
      <c r="BL7" s="594" t="s">
        <v>827</v>
      </c>
      <c r="BM7" s="593" t="s">
        <v>828</v>
      </c>
      <c r="BN7" s="593" t="s">
        <v>829</v>
      </c>
      <c r="BO7" s="594" t="s">
        <v>830</v>
      </c>
      <c r="BP7" s="594" t="s">
        <v>831</v>
      </c>
      <c r="BQ7" s="594" t="s">
        <v>832</v>
      </c>
      <c r="BR7" s="594" t="s">
        <v>833</v>
      </c>
      <c r="BS7" s="594" t="s">
        <v>834</v>
      </c>
      <c r="BT7" s="594" t="s">
        <v>835</v>
      </c>
      <c r="BU7" s="594" t="s">
        <v>836</v>
      </c>
      <c r="BV7" s="594" t="s">
        <v>837</v>
      </c>
      <c r="BW7" s="594" t="s">
        <v>838</v>
      </c>
      <c r="BX7" s="594" t="s">
        <v>839</v>
      </c>
      <c r="BY7" s="594" t="s">
        <v>840</v>
      </c>
      <c r="BZ7" s="592" t="s">
        <v>841</v>
      </c>
      <c r="CA7" s="593" t="s">
        <v>842</v>
      </c>
      <c r="CB7" s="593" t="s">
        <v>843</v>
      </c>
      <c r="CC7" s="594" t="s">
        <v>830</v>
      </c>
      <c r="CD7" s="594" t="s">
        <v>831</v>
      </c>
      <c r="CE7" s="594" t="s">
        <v>832</v>
      </c>
      <c r="CF7" s="593" t="s">
        <v>844</v>
      </c>
      <c r="CG7" s="592" t="s">
        <v>845</v>
      </c>
      <c r="CH7" s="592" t="s">
        <v>846</v>
      </c>
      <c r="CI7" s="592" t="s">
        <v>847</v>
      </c>
      <c r="CJ7" s="596" t="s">
        <v>848</v>
      </c>
      <c r="CK7" s="596" t="s">
        <v>849</v>
      </c>
      <c r="CL7" s="596" t="s">
        <v>850</v>
      </c>
      <c r="CM7" s="598" t="s">
        <v>851</v>
      </c>
      <c r="CN7" s="598" t="s">
        <v>852</v>
      </c>
      <c r="CO7" s="594" t="s">
        <v>853</v>
      </c>
      <c r="CP7" s="594" t="s">
        <v>854</v>
      </c>
      <c r="CQ7" s="594" t="s">
        <v>855</v>
      </c>
      <c r="CR7" s="594" t="s">
        <v>856</v>
      </c>
      <c r="CS7" s="599" t="s">
        <v>857</v>
      </c>
      <c r="CT7" s="595" t="s">
        <v>813</v>
      </c>
      <c r="CU7" s="594"/>
      <c r="CW7" s="600" t="s">
        <v>32</v>
      </c>
      <c r="CX7" s="601" t="s">
        <v>858</v>
      </c>
      <c r="CY7" s="601" t="s">
        <v>859</v>
      </c>
      <c r="CZ7" s="601" t="s">
        <v>860</v>
      </c>
      <c r="DA7" s="601" t="s">
        <v>861</v>
      </c>
      <c r="DB7" s="602" t="s">
        <v>862</v>
      </c>
      <c r="DC7" s="603" t="s">
        <v>858</v>
      </c>
      <c r="DD7" s="547" t="s">
        <v>859</v>
      </c>
      <c r="DE7" s="547" t="s">
        <v>860</v>
      </c>
      <c r="DF7" s="547" t="s">
        <v>861</v>
      </c>
      <c r="DG7" s="580" t="s">
        <v>862</v>
      </c>
      <c r="DJ7" s="1" t="s">
        <v>863</v>
      </c>
      <c r="DP7" s="604" t="s">
        <v>775</v>
      </c>
      <c r="DQ7" s="604"/>
      <c r="DR7" s="604" t="s">
        <v>864</v>
      </c>
      <c r="DS7" s="604"/>
    </row>
    <row r="8" customFormat="false" ht="30" hidden="false" customHeight="true" outlineLevel="0" collapsed="false">
      <c r="E8" s="584"/>
      <c r="F8" s="585"/>
      <c r="G8" s="586"/>
      <c r="H8" s="587"/>
      <c r="I8" s="587"/>
      <c r="J8" s="587"/>
      <c r="K8" s="587"/>
      <c r="L8" s="587"/>
      <c r="M8" s="586"/>
      <c r="N8" s="586"/>
      <c r="O8" s="586"/>
      <c r="P8" s="587"/>
      <c r="Q8" s="587"/>
      <c r="R8" s="587"/>
      <c r="S8" s="586"/>
      <c r="T8" s="589"/>
      <c r="U8" s="589"/>
      <c r="V8" s="589"/>
      <c r="W8" s="587"/>
      <c r="X8" s="587"/>
      <c r="Y8" s="587"/>
      <c r="Z8" s="587"/>
      <c r="AA8" s="587"/>
      <c r="AB8" s="587"/>
      <c r="AC8" s="587"/>
      <c r="AD8" s="587"/>
      <c r="AE8" s="586"/>
      <c r="AF8" s="586"/>
      <c r="AG8" s="585"/>
      <c r="AH8" s="585"/>
      <c r="AI8" s="585"/>
      <c r="AJ8" s="590"/>
      <c r="AK8" s="586"/>
      <c r="AL8" s="586"/>
      <c r="AM8" s="586"/>
      <c r="AN8" s="586"/>
      <c r="AO8" s="586"/>
      <c r="AP8" s="586"/>
      <c r="AQ8" s="587"/>
      <c r="AR8" s="587"/>
      <c r="AS8" s="587"/>
      <c r="AW8" s="591"/>
      <c r="AX8" s="592"/>
      <c r="AY8" s="592"/>
      <c r="AZ8" s="594"/>
      <c r="BA8" s="594"/>
      <c r="BB8" s="594"/>
      <c r="BC8" s="593"/>
      <c r="BD8" s="595"/>
      <c r="BE8" s="595"/>
      <c r="BF8" s="596"/>
      <c r="BG8" s="597"/>
      <c r="BH8" s="597"/>
      <c r="BI8" s="594"/>
      <c r="BJ8" s="594"/>
      <c r="BK8" s="594"/>
      <c r="BL8" s="594"/>
      <c r="BM8" s="594"/>
      <c r="BN8" s="593"/>
      <c r="BO8" s="594"/>
      <c r="BP8" s="594"/>
      <c r="BQ8" s="594"/>
      <c r="BR8" s="594"/>
      <c r="BS8" s="594"/>
      <c r="BT8" s="594"/>
      <c r="BU8" s="594"/>
      <c r="BV8" s="594"/>
      <c r="BW8" s="594"/>
      <c r="BX8" s="594"/>
      <c r="BY8" s="594"/>
      <c r="BZ8" s="592"/>
      <c r="CA8" s="593"/>
      <c r="CB8" s="593"/>
      <c r="CC8" s="594"/>
      <c r="CD8" s="594"/>
      <c r="CE8" s="594"/>
      <c r="CF8" s="594"/>
      <c r="CG8" s="592"/>
      <c r="CH8" s="592"/>
      <c r="CI8" s="592"/>
      <c r="CJ8" s="592"/>
      <c r="CK8" s="592"/>
      <c r="CL8" s="592"/>
      <c r="CM8" s="598"/>
      <c r="CN8" s="598"/>
      <c r="CO8" s="594"/>
      <c r="CP8" s="594"/>
      <c r="CQ8" s="594"/>
      <c r="CR8" s="594"/>
      <c r="CS8" s="599"/>
      <c r="CT8" s="595"/>
      <c r="CU8" s="595"/>
      <c r="CW8" s="600" t="n">
        <v>1993</v>
      </c>
      <c r="CX8" s="605" t="n">
        <f aca="false">'PIB corriente base 1993'!V41*1000</f>
        <v>212626894.104702</v>
      </c>
      <c r="CY8" s="605" t="n">
        <f aca="false">'PIB corriente base 1993'!V42*1000</f>
        <v>241255279.238847</v>
      </c>
      <c r="CZ8" s="605" t="n">
        <f aca="false">'PIB corriente base 1993'!V43*1000</f>
        <v>243494229.649487</v>
      </c>
      <c r="DA8" s="605" t="n">
        <f aca="false">'PIB corriente base 1993'!V44*1000</f>
        <v>248643519.498031</v>
      </c>
      <c r="DB8" s="606" t="n">
        <f aca="false">'PIB corriente base 1993'!V8*1000</f>
        <v>236504980.622767</v>
      </c>
      <c r="DC8" s="607"/>
      <c r="DD8" s="605"/>
      <c r="DE8" s="605"/>
      <c r="DF8" s="605"/>
      <c r="DG8" s="608"/>
      <c r="DI8" s="1" t="n">
        <v>2001</v>
      </c>
      <c r="DJ8" s="453" t="n">
        <v>2933082</v>
      </c>
      <c r="DK8" s="456" t="n">
        <f aca="false">'Cuenta Ahorro-Inversión-Financi'!DJ8/'PIB corriente base 1993'!V16/1000</f>
        <v>0.0109159580432705</v>
      </c>
      <c r="DL8" s="28" t="n">
        <v>1994592.07047</v>
      </c>
      <c r="DM8" s="456" t="n">
        <f aca="false">'Cuenta Ahorro-Inversión-Financi'!DL8/'PIB corriente base 1993'!V16/1000</f>
        <v>0.00742320990503864</v>
      </c>
      <c r="DP8" s="1" t="s">
        <v>865</v>
      </c>
      <c r="DQ8" s="1" t="s">
        <v>866</v>
      </c>
      <c r="DR8" s="1" t="s">
        <v>865</v>
      </c>
      <c r="DS8" s="1" t="s">
        <v>866</v>
      </c>
      <c r="DT8" s="1" t="s">
        <v>867</v>
      </c>
    </row>
    <row r="9" customFormat="false" ht="15.75" hidden="false" customHeight="true" outlineLevel="0" collapsed="false">
      <c r="B9" s="456" t="n">
        <f aca="false">'Cuenta Ahorro-Inversión-Financi'!G9/'Cuenta Ahorro-Inversión-Financi'!F9</f>
        <v>0.17511212301232</v>
      </c>
      <c r="C9" s="456" t="n">
        <f aca="false">'Cuenta Ahorro-Inversión-Financi'!T9/'Cuenta Ahorro-Inversión-Financi'!F9</f>
        <v>0.804002972953642</v>
      </c>
      <c r="E9" s="609" t="n">
        <v>1993</v>
      </c>
      <c r="F9" s="610" t="n">
        <f aca="false">'Cuenta Ahorro-Inversión-Financi'!G9+'Cuenta Ahorro-Inversión-Financi'!S9+'Cuenta Ahorro-Inversión-Financi'!T9+'Cuenta Ahorro-Inversión-Financi'!X9</f>
        <v>15423637.84842</v>
      </c>
      <c r="G9" s="611" t="n">
        <f aca="false">'Cuenta Ahorro-Inversión-Financi'!H9+'Cuenta Ahorro-Inversión-Financi'!I9+'Cuenta Ahorro-Inversión-Financi'!J9</f>
        <v>2700865.96821</v>
      </c>
      <c r="H9" s="612" t="n">
        <v>853307.6</v>
      </c>
      <c r="I9" s="612" t="n">
        <v>135553.05229</v>
      </c>
      <c r="J9" s="612" t="n">
        <v>1712005.31592</v>
      </c>
      <c r="K9" s="613"/>
      <c r="L9" s="613"/>
      <c r="M9" s="612"/>
      <c r="N9" s="612"/>
      <c r="O9" s="612"/>
      <c r="P9" s="612"/>
      <c r="Q9" s="612"/>
      <c r="R9" s="612"/>
      <c r="S9" s="612" t="n">
        <v>1477.4717</v>
      </c>
      <c r="T9" s="610" t="n">
        <f aca="false">'Cuenta Ahorro-Inversión-Financi'!U9+'Cuenta Ahorro-Inversión-Financi'!V9+'Cuenta Ahorro-Inversión-Financi'!W9</f>
        <v>12400650.68389</v>
      </c>
      <c r="U9" s="612" t="n">
        <v>10726170.86917</v>
      </c>
      <c r="V9" s="612" t="n">
        <v>1674479.81472</v>
      </c>
      <c r="W9" s="612"/>
      <c r="X9" s="612" t="n">
        <f aca="false">'Cuenta Ahorro-Inversión-Financi'!Y9+'Cuenta Ahorro-Inversión-Financi'!Z9</f>
        <v>320643.72462</v>
      </c>
      <c r="Y9" s="612" t="n">
        <v>320643.72462</v>
      </c>
      <c r="Z9" s="612"/>
      <c r="AA9" s="612"/>
      <c r="AB9" s="612"/>
      <c r="AC9" s="612"/>
      <c r="AD9" s="610" t="n">
        <f aca="false">'Cuenta Ahorro-Inversión-Financi'!AE9</f>
        <v>177005.26151</v>
      </c>
      <c r="AE9" s="612" t="n">
        <v>177005.26151</v>
      </c>
      <c r="AF9" s="612"/>
      <c r="AG9" s="610" t="n">
        <f aca="false">'Cuenta Ahorro-Inversión-Financi'!AD9+'Cuenta Ahorro-Inversión-Financi'!F9</f>
        <v>15600643.10993</v>
      </c>
      <c r="AH9" s="610" t="n">
        <v>2950900</v>
      </c>
      <c r="AI9" s="613" t="n">
        <f aca="false">'Cálculo masa impuestos copartic'!U5*1000</f>
        <v>3015865.81949566</v>
      </c>
      <c r="AJ9" s="613"/>
      <c r="AK9" s="613"/>
      <c r="AL9" s="613"/>
      <c r="AM9" s="613"/>
      <c r="AN9" s="612" t="n">
        <f aca="false">'Cuenta Ahorro-Inversión-Financi'!AH9-('Cuenta Ahorro-Inversión-Financi'!AI9+'Cuenta Ahorro-Inversión-Financi'!AK9+'Cuenta Ahorro-Inversión-Financi'!AL9+'Cuenta Ahorro-Inversión-Financi'!AM9)</f>
        <v>-64965.8194956575</v>
      </c>
      <c r="AO9" s="612" t="n">
        <f aca="false">'Cuenta Ahorro-Inversión-Financi'!AH9-'Cuenta Ahorro-Inversión-Financi'!CH9</f>
        <v>1700113.01095</v>
      </c>
      <c r="AP9" s="612" t="n">
        <f aca="false">'Cuenta Ahorro-Inversión-Financi'!AO9</f>
        <v>1700113.01095</v>
      </c>
      <c r="AQ9" s="612" t="s">
        <v>868</v>
      </c>
      <c r="AR9" s="614" t="s">
        <v>869</v>
      </c>
      <c r="AS9" s="612"/>
      <c r="AT9" s="615"/>
      <c r="AU9" s="615"/>
      <c r="AV9" s="615"/>
      <c r="AW9" s="616" t="n">
        <v>1993</v>
      </c>
      <c r="AX9" s="617" t="n">
        <f aca="false">'Cuenta Ahorro-Inversión-Financi'!AY9+'Cuenta Ahorro-Inversión-Financi'!BC9+'Cuenta Ahorro-Inversión-Financi'!BF9+'Cuenta Ahorro-Inversión-Financi'!BX9</f>
        <v>15554768.65</v>
      </c>
      <c r="AY9" s="618" t="n">
        <v>352371.13373</v>
      </c>
      <c r="AZ9" s="618" t="n">
        <v>229221.33837</v>
      </c>
      <c r="BA9" s="618" t="n">
        <f aca="false">(3753925.53+119395869.83)/1000</f>
        <v>123149.79536</v>
      </c>
      <c r="BB9" s="618"/>
      <c r="BC9" s="618"/>
      <c r="BD9" s="618"/>
      <c r="BE9" s="618"/>
      <c r="BF9" s="617" t="n">
        <v>12448934.70519</v>
      </c>
      <c r="BG9" s="617"/>
      <c r="BH9" s="617"/>
      <c r="BI9" s="617"/>
      <c r="BJ9" s="617"/>
      <c r="BK9" s="617"/>
      <c r="BL9" s="617"/>
      <c r="BM9" s="618"/>
      <c r="BN9" s="618" t="n">
        <v>2753462.81108</v>
      </c>
      <c r="BO9" s="619" t="n">
        <v>2462801.27717</v>
      </c>
      <c r="BP9" s="619" t="n">
        <v>290572.36635</v>
      </c>
      <c r="BQ9" s="619" t="n">
        <v>89.16756</v>
      </c>
      <c r="BR9" s="619" t="n">
        <f aca="false">'Cuenta Ahorro-Inversión-Financi'!BN9</f>
        <v>2753462.81108</v>
      </c>
      <c r="BS9" s="618"/>
      <c r="BT9" s="618"/>
      <c r="BU9" s="618"/>
      <c r="BV9" s="618"/>
      <c r="BW9" s="618"/>
      <c r="BX9" s="618" t="n">
        <f aca="false">'Cuenta Ahorro-Inversión-Financi'!BN9-'Cuenta Ahorro-Inversión-Financi'!BV9-'Cuenta Ahorro-Inversión-Financi'!BW9</f>
        <v>2753462.81108</v>
      </c>
      <c r="BY9" s="618"/>
      <c r="BZ9" s="617" t="n">
        <f aca="false">'Cuenta Ahorro-Inversión-Financi'!CA9+'Cuenta Ahorro-Inversión-Financi'!CB9</f>
        <v>11358.69103</v>
      </c>
      <c r="CA9" s="618" t="n">
        <v>9091.93885</v>
      </c>
      <c r="CB9" s="618" t="n">
        <v>2266.75218</v>
      </c>
      <c r="CC9" s="618" t="n">
        <v>1933.79418</v>
      </c>
      <c r="CD9" s="618" t="n">
        <v>332.958</v>
      </c>
      <c r="CE9" s="618"/>
      <c r="CF9" s="618"/>
      <c r="CG9" s="617" t="n">
        <f aca="false">'Cuenta Ahorro-Inversión-Financi'!BZ9+'Cuenta Ahorro-Inversión-Financi'!AX9</f>
        <v>15566127.34103</v>
      </c>
      <c r="CH9" s="617" t="n">
        <v>1250786.98905</v>
      </c>
      <c r="CI9" s="617"/>
      <c r="CJ9" s="620" t="n">
        <v>1036245.35282</v>
      </c>
      <c r="CK9" s="620"/>
      <c r="CL9" s="620" t="n">
        <v>214541.63623</v>
      </c>
      <c r="CM9" s="617"/>
      <c r="CN9" s="617"/>
      <c r="CO9" s="617" t="n">
        <f aca="false">'Cuenta Ahorro-Inversión-Financi'!F9-'Cuenta Ahorro-Inversión-Financi'!AX9</f>
        <v>-131130.801579999</v>
      </c>
      <c r="CP9" s="618" t="n">
        <f aca="false">'Cuenta Ahorro-Inversión-Financi'!CO9+'Cuenta Ahorro-Inversión-Financi'!AD9-'Cuenta Ahorro-Inversión-Financi'!BZ9</f>
        <v>34515.7689000012</v>
      </c>
      <c r="CQ9" s="618" t="n">
        <f aca="false">'Cuenta Ahorro-Inversión-Financi'!T9-'Cuenta Ahorro-Inversión-Financi'!BF9-'Cuenta Ahorro-Inversión-Financi'!BR9</f>
        <v>-2801746.83238</v>
      </c>
      <c r="CR9" s="618" t="n">
        <f aca="false">'Cuenta Ahorro-Inversión-Financi'!F9-'Cuenta Ahorro-Inversión-Financi'!BF9-'Cuenta Ahorro-Inversión-Financi'!BR9-'Cuenta Ahorro-Inversión-Financi'!X9</f>
        <v>-99403.3924699994</v>
      </c>
      <c r="CS9" s="618"/>
      <c r="CT9" s="621" t="s">
        <v>870</v>
      </c>
      <c r="CU9" s="621"/>
      <c r="CW9" s="600" t="n">
        <v>1994</v>
      </c>
      <c r="CX9" s="98" t="n">
        <f aca="false">'PIB corriente base 1993'!V45*1000</f>
        <v>235083114.797091</v>
      </c>
      <c r="CY9" s="98" t="n">
        <f aca="false">'PIB corriente base 1993'!V46*1000</f>
        <v>263684413.350474</v>
      </c>
      <c r="CZ9" s="98" t="n">
        <f aca="false">'PIB corriente base 1993'!V47*1000</f>
        <v>260869631.11863</v>
      </c>
      <c r="DA9" s="98" t="n">
        <f aca="false">'PIB corriente base 1993'!V48*1000</f>
        <v>270122678.162221</v>
      </c>
      <c r="DB9" s="622" t="n">
        <f aca="false">'PIB corriente base 1993'!V9*1000</f>
        <v>257439959.357104</v>
      </c>
      <c r="DC9" s="623"/>
      <c r="DD9" s="98"/>
      <c r="DE9" s="98"/>
      <c r="DF9" s="98"/>
      <c r="DG9" s="624"/>
      <c r="DI9" s="1" t="n">
        <v>2002</v>
      </c>
      <c r="DJ9" s="453" t="n">
        <v>4857335</v>
      </c>
      <c r="DK9" s="456" t="n">
        <f aca="false">'Cuenta Ahorro-Inversión-Financi'!DJ9/'PIB corriente base 1993'!V17/1000</f>
        <v>0.0155394867377431</v>
      </c>
      <c r="DL9" s="28" t="n">
        <v>1721480.99196</v>
      </c>
      <c r="DM9" s="456" t="n">
        <f aca="false">'Cuenta Ahorro-Inversión-Financi'!DL9/'PIB corriente base 1993'!V17/1000</f>
        <v>0.00550732676330524</v>
      </c>
      <c r="DO9" s="1" t="n">
        <v>2008</v>
      </c>
      <c r="DP9" s="1" t="n">
        <v>98224000</v>
      </c>
      <c r="DQ9" s="28" t="n">
        <f aca="false">X24</f>
        <v>1117433.63985</v>
      </c>
      <c r="DR9" s="456" t="n">
        <f aca="false">DP9/DG23</f>
        <v>0.0854384673722807</v>
      </c>
      <c r="DS9" s="456" t="n">
        <f aca="false">DQ9/DG23</f>
        <v>0.000971980550364606</v>
      </c>
      <c r="DV9" s="456" t="n">
        <f aca="false">DP9/DF23</f>
        <v>0.0840489864437777</v>
      </c>
      <c r="DW9" s="456" t="n">
        <f aca="false">DQ9/DF23</f>
        <v>0.000956173286035733</v>
      </c>
    </row>
    <row r="10" customFormat="false" ht="15.75" hidden="false" customHeight="true" outlineLevel="0" collapsed="false">
      <c r="B10" s="456" t="n">
        <f aca="false">'Cuenta Ahorro-Inversión-Financi'!G10/'Cuenta Ahorro-Inversión-Financi'!F10</f>
        <v>0.191431986351368</v>
      </c>
      <c r="C10" s="456" t="n">
        <f aca="false">'Cuenta Ahorro-Inversión-Financi'!T10/'Cuenta Ahorro-Inversión-Financi'!F10</f>
        <v>0.806715429646667</v>
      </c>
      <c r="E10" s="609" t="n">
        <v>1994</v>
      </c>
      <c r="F10" s="625" t="n">
        <f aca="false">'Cuenta Ahorro-Inversión-Financi'!G10+'Cuenta Ahorro-Inversión-Financi'!S10+'Cuenta Ahorro-Inversión-Financi'!T10+'Cuenta Ahorro-Inversión-Financi'!X10</f>
        <v>16225790.15478</v>
      </c>
      <c r="G10" s="626" t="n">
        <f aca="false">'Cuenta Ahorro-Inversión-Financi'!H10+'Cuenta Ahorro-Inversión-Financi'!I10+'Cuenta Ahorro-Inversión-Financi'!J10</f>
        <v>3106135.23945</v>
      </c>
      <c r="H10" s="627" t="n">
        <v>1164662.22</v>
      </c>
      <c r="I10" s="627" t="n">
        <v>156377.44889</v>
      </c>
      <c r="J10" s="627" t="n">
        <v>1785095.57056</v>
      </c>
      <c r="K10" s="628"/>
      <c r="L10" s="628"/>
      <c r="M10" s="627"/>
      <c r="N10" s="627"/>
      <c r="O10" s="627"/>
      <c r="P10" s="627"/>
      <c r="Q10" s="627"/>
      <c r="R10" s="627"/>
      <c r="S10" s="627" t="n">
        <v>5520.58856</v>
      </c>
      <c r="T10" s="625" t="n">
        <f aca="false">'Cuenta Ahorro-Inversión-Financi'!U10+'Cuenta Ahorro-Inversión-Financi'!V10</f>
        <v>13089595.27607</v>
      </c>
      <c r="U10" s="627" t="n">
        <v>10616988.96096</v>
      </c>
      <c r="V10" s="627" t="n">
        <v>2472606.31511</v>
      </c>
      <c r="W10" s="627"/>
      <c r="X10" s="627" t="n">
        <f aca="false">'Cuenta Ahorro-Inversión-Financi'!Y10+'Cuenta Ahorro-Inversión-Financi'!Z10</f>
        <v>24539.0507</v>
      </c>
      <c r="Y10" s="627" t="n">
        <v>24539.0507</v>
      </c>
      <c r="Z10" s="627"/>
      <c r="AA10" s="627"/>
      <c r="AB10" s="627"/>
      <c r="AC10" s="627"/>
      <c r="AD10" s="625" t="n">
        <f aca="false">'Cuenta Ahorro-Inversión-Financi'!AE10</f>
        <v>402913.46401</v>
      </c>
      <c r="AE10" s="627" t="n">
        <v>402913.46401</v>
      </c>
      <c r="AF10" s="627"/>
      <c r="AG10" s="625" t="n">
        <f aca="false">'Cuenta Ahorro-Inversión-Financi'!AD10+'Cuenta Ahorro-Inversión-Financi'!F10</f>
        <v>16628703.61879</v>
      </c>
      <c r="AH10" s="629" t="n">
        <v>2655185.68941</v>
      </c>
      <c r="AI10" s="628" t="n">
        <f aca="false">'Cálculo masa impuestos copartic'!U6*1000</f>
        <v>3226509.52498154</v>
      </c>
      <c r="AJ10" s="628"/>
      <c r="AK10" s="628"/>
      <c r="AL10" s="628"/>
      <c r="AM10" s="628"/>
      <c r="AN10" s="627" t="n">
        <f aca="false">'Cuenta Ahorro-Inversión-Financi'!AH10-('Cuenta Ahorro-Inversión-Financi'!AI10+'Cuenta Ahorro-Inversión-Financi'!AK10+'Cuenta Ahorro-Inversión-Financi'!AL10+'Cuenta Ahorro-Inversión-Financi'!AM10)</f>
        <v>-571323.835571541</v>
      </c>
      <c r="AO10" s="627" t="n">
        <f aca="false">'Cuenta Ahorro-Inversión-Financi'!AH10-'Cuenta Ahorro-Inversión-Financi'!CH10</f>
        <v>910950.44945</v>
      </c>
      <c r="AP10" s="627" t="n">
        <f aca="false">'Cuenta Ahorro-Inversión-Financi'!AO10</f>
        <v>910950.44945</v>
      </c>
      <c r="AQ10" s="630" t="s">
        <v>871</v>
      </c>
      <c r="AR10" s="630"/>
      <c r="AS10" s="630"/>
      <c r="AT10" s="615"/>
      <c r="AU10" s="615"/>
      <c r="AV10" s="615"/>
      <c r="AW10" s="631" t="n">
        <v>1994</v>
      </c>
      <c r="AX10" s="625" t="n">
        <f aca="false">'Cuenta Ahorro-Inversión-Financi'!AY10+'Cuenta Ahorro-Inversión-Financi'!BC10+'Cuenta Ahorro-Inversión-Financi'!BF10+'Cuenta Ahorro-Inversión-Financi'!BX10</f>
        <v>18032820.97375</v>
      </c>
      <c r="AY10" s="627" t="n">
        <f aca="false">'Cuenta Ahorro-Inversión-Financi'!AZ10+'Cuenta Ahorro-Inversión-Financi'!BA10</f>
        <v>293763.12069</v>
      </c>
      <c r="AZ10" s="627" t="n">
        <f aca="false">169191444.92/1000</f>
        <v>169191.44492</v>
      </c>
      <c r="BA10" s="627" t="n">
        <f aca="false">(120986031.79+3585643.98)/1000</f>
        <v>124571.67577</v>
      </c>
      <c r="BB10" s="627"/>
      <c r="BC10" s="627" t="n">
        <v>1329.49425</v>
      </c>
      <c r="BD10" s="627" t="n">
        <v>1329.49425</v>
      </c>
      <c r="BE10" s="630"/>
      <c r="BF10" s="625" t="n">
        <f aca="false">14536199591.29/1000</f>
        <v>14536199.59129</v>
      </c>
      <c r="BG10" s="625"/>
      <c r="BH10" s="625"/>
      <c r="BI10" s="625"/>
      <c r="BJ10" s="625"/>
      <c r="BK10" s="625"/>
      <c r="BL10" s="625"/>
      <c r="BM10" s="630"/>
      <c r="BN10" s="632" t="n">
        <v>3201528.76752</v>
      </c>
      <c r="BO10" s="633" t="n">
        <v>2919812.93848</v>
      </c>
      <c r="BP10" s="633" t="n">
        <v>280840.91688</v>
      </c>
      <c r="BQ10" s="633" t="n">
        <v>874.91216</v>
      </c>
      <c r="BR10" s="633" t="n">
        <f aca="false">'Cuenta Ahorro-Inversión-Financi'!BN10</f>
        <v>3201528.76752</v>
      </c>
      <c r="BS10" s="632"/>
      <c r="BT10" s="632"/>
      <c r="BU10" s="632"/>
      <c r="BV10" s="632"/>
      <c r="BW10" s="632"/>
      <c r="BX10" s="632" t="n">
        <f aca="false">'Cuenta Ahorro-Inversión-Financi'!BN10-'Cuenta Ahorro-Inversión-Financi'!BV10-'Cuenta Ahorro-Inversión-Financi'!BW10</f>
        <v>3201528.76752</v>
      </c>
      <c r="BY10" s="632"/>
      <c r="BZ10" s="625" t="n">
        <f aca="false">'Cuenta Ahorro-Inversión-Financi'!CA10+'Cuenta Ahorro-Inversión-Financi'!CB10</f>
        <v>6602.16148</v>
      </c>
      <c r="CA10" s="627" t="n">
        <f aca="false">5285361.48/1000</f>
        <v>5285.36148</v>
      </c>
      <c r="CB10" s="627" t="n">
        <v>1316.8</v>
      </c>
      <c r="CC10" s="627" t="n">
        <v>1316.8</v>
      </c>
      <c r="CD10" s="630"/>
      <c r="CE10" s="630"/>
      <c r="CF10" s="630"/>
      <c r="CG10" s="625" t="n">
        <f aca="false">'Cuenta Ahorro-Inversión-Financi'!BZ10+'Cuenta Ahorro-Inversión-Financi'!AX10</f>
        <v>18039423.13523</v>
      </c>
      <c r="CH10" s="625" t="n">
        <v>1744235.23996</v>
      </c>
      <c r="CI10" s="625"/>
      <c r="CJ10" s="625" t="n">
        <v>1287640.9398</v>
      </c>
      <c r="CK10" s="625"/>
      <c r="CL10" s="625" t="n">
        <f aca="false">272255.70016+184338.6</f>
        <v>456594.30016</v>
      </c>
      <c r="CM10" s="625"/>
      <c r="CN10" s="625"/>
      <c r="CO10" s="625" t="n">
        <f aca="false">'Cuenta Ahorro-Inversión-Financi'!F10-'Cuenta Ahorro-Inversión-Financi'!AX10</f>
        <v>-1807030.81897</v>
      </c>
      <c r="CP10" s="627" t="n">
        <f aca="false">'Cuenta Ahorro-Inversión-Financi'!CO10+'Cuenta Ahorro-Inversión-Financi'!AD10-'Cuenta Ahorro-Inversión-Financi'!BZ10</f>
        <v>-1410719.51644</v>
      </c>
      <c r="CQ10" s="627" t="n">
        <f aca="false">'Cuenta Ahorro-Inversión-Financi'!T10-'Cuenta Ahorro-Inversión-Financi'!BF10-'Cuenta Ahorro-Inversión-Financi'!BR10</f>
        <v>-4648133.08274</v>
      </c>
      <c r="CR10" s="627" t="n">
        <f aca="false">'Cuenta Ahorro-Inversión-Financi'!F10-'Cuenta Ahorro-Inversión-Financi'!BF10-'Cuenta Ahorro-Inversión-Financi'!BR10-'Cuenta Ahorro-Inversión-Financi'!X10</f>
        <v>-1536477.25473</v>
      </c>
      <c r="CS10" s="627"/>
      <c r="CT10" s="634" t="s">
        <v>872</v>
      </c>
      <c r="CU10" s="634" t="s">
        <v>873</v>
      </c>
      <c r="CW10" s="600" t="n">
        <v>1995</v>
      </c>
      <c r="CX10" s="605" t="n">
        <f aca="false">'PIB corriente base 1993'!V49*1000</f>
        <v>250405946.238777</v>
      </c>
      <c r="CY10" s="605" t="n">
        <f aca="false">'PIB corriente base 1993'!V50*1000</f>
        <v>261602918.007641</v>
      </c>
      <c r="CZ10" s="605" t="n">
        <f aca="false">'PIB corriente base 1993'!V51*1000</f>
        <v>256868339.734697</v>
      </c>
      <c r="DA10" s="605" t="n">
        <f aca="false">'PIB corriente base 1993'!V52*1000</f>
        <v>263250336.152224</v>
      </c>
      <c r="DB10" s="606" t="n">
        <f aca="false">'PIB corriente base 1993'!V10*1000</f>
        <v>258031885.033335</v>
      </c>
      <c r="DC10" s="607"/>
      <c r="DD10" s="605"/>
      <c r="DE10" s="605"/>
      <c r="DF10" s="605"/>
      <c r="DG10" s="608"/>
      <c r="DI10" s="1" t="n">
        <v>2003</v>
      </c>
      <c r="DJ10" s="453" t="n">
        <v>5900237</v>
      </c>
      <c r="DK10" s="456" t="n">
        <f aca="false">'Cuenta Ahorro-Inversión-Financi'!DJ10/'PIB corriente base 1993'!V18/1000</f>
        <v>0.0156959033371192</v>
      </c>
      <c r="DL10" s="28" t="n">
        <v>2926862.80533</v>
      </c>
      <c r="DM10" s="456" t="n">
        <f aca="false">'Cuenta Ahorro-Inversión-Financi'!DL10/'PIB corriente base 1993'!V18/1000</f>
        <v>0.00778608650355386</v>
      </c>
      <c r="DO10" s="1" t="n">
        <f aca="false">DO9+1</f>
        <v>2009</v>
      </c>
      <c r="DP10" s="1" t="n">
        <v>135692700</v>
      </c>
      <c r="DQ10" s="28" t="n">
        <f aca="false">X25</f>
        <v>8487113.30096</v>
      </c>
      <c r="DR10" s="456" t="n">
        <f aca="false">DP10/DG24</f>
        <v>0.108734287574557</v>
      </c>
      <c r="DS10" s="456" t="n">
        <f aca="false">DQ10/DG24</f>
        <v>0.00680095700317286</v>
      </c>
      <c r="DT10" s="456" t="n">
        <f aca="false">DQ10/DP9</f>
        <v>0.0864056982098062</v>
      </c>
      <c r="DV10" s="456" t="n">
        <f aca="false">DP10/DF24</f>
        <v>0.0999055290371173</v>
      </c>
      <c r="DW10" s="456" t="n">
        <f aca="false">DQ10/DF24</f>
        <v>0.0062487484170509</v>
      </c>
      <c r="DX10" s="456" t="n">
        <f aca="false">(DF24-DF23)/DF23</f>
        <v>0.162202552063792</v>
      </c>
      <c r="DY10" s="456" t="n">
        <f aca="false">(DP10-DP9)/DP9</f>
        <v>0.381461760873106</v>
      </c>
    </row>
    <row r="11" customFormat="false" ht="15.75" hidden="false" customHeight="true" outlineLevel="0" collapsed="false">
      <c r="B11" s="456" t="n">
        <f aca="false">'Cuenta Ahorro-Inversión-Financi'!G11/'Cuenta Ahorro-Inversión-Financi'!F11</f>
        <v>0.21067072369967</v>
      </c>
      <c r="C11" s="456" t="n">
        <f aca="false">'Cuenta Ahorro-Inversión-Financi'!T11/'Cuenta Ahorro-Inversión-Financi'!F11</f>
        <v>0.788492496193586</v>
      </c>
      <c r="E11" s="609" t="n">
        <v>1995</v>
      </c>
      <c r="F11" s="610" t="n">
        <f aca="false">'Cuenta Ahorro-Inversión-Financi'!G11+'Cuenta Ahorro-Inversión-Financi'!S11+'Cuenta Ahorro-Inversión-Financi'!T11+'Cuenta Ahorro-Inversión-Financi'!X11</f>
        <v>14815118.1297</v>
      </c>
      <c r="G11" s="611" t="n">
        <f aca="false">'Cuenta Ahorro-Inversión-Financi'!H11+'Cuenta Ahorro-Inversión-Financi'!I11+'Cuenta Ahorro-Inversión-Financi'!J11</f>
        <v>3121111.65808</v>
      </c>
      <c r="H11" s="612" t="n">
        <v>1243225.6</v>
      </c>
      <c r="I11" s="612" t="n">
        <v>282228.71495</v>
      </c>
      <c r="J11" s="612" t="n">
        <v>1595657.34313</v>
      </c>
      <c r="K11" s="613"/>
      <c r="L11" s="613"/>
      <c r="M11" s="612"/>
      <c r="N11" s="612"/>
      <c r="O11" s="612"/>
      <c r="P11" s="612"/>
      <c r="Q11" s="612"/>
      <c r="R11" s="612"/>
      <c r="S11" s="612" t="n">
        <v>4218.02512</v>
      </c>
      <c r="T11" s="610" t="n">
        <f aca="false">'Cuenta Ahorro-Inversión-Financi'!U11+'Cuenta Ahorro-Inversión-Financi'!V11</f>
        <v>11681609.47549</v>
      </c>
      <c r="U11" s="612" t="n">
        <v>9473972.03033</v>
      </c>
      <c r="V11" s="612" t="n">
        <v>2207637.44516</v>
      </c>
      <c r="W11" s="635"/>
      <c r="X11" s="612" t="n">
        <f aca="false">'Cuenta Ahorro-Inversión-Financi'!Y11+'Cuenta Ahorro-Inversión-Financi'!Z11</f>
        <v>8178.97101</v>
      </c>
      <c r="Y11" s="612" t="n">
        <v>8178.97101</v>
      </c>
      <c r="Z11" s="612"/>
      <c r="AA11" s="612"/>
      <c r="AB11" s="612"/>
      <c r="AC11" s="612"/>
      <c r="AD11" s="610" t="n">
        <f aca="false">'Cuenta Ahorro-Inversión-Financi'!AE11</f>
        <v>343912.63891</v>
      </c>
      <c r="AE11" s="612" t="n">
        <v>343912.63891</v>
      </c>
      <c r="AF11" s="635"/>
      <c r="AG11" s="610" t="n">
        <f aca="false">'Cuenta Ahorro-Inversión-Financi'!AD11+'Cuenta Ahorro-Inversión-Financi'!F11</f>
        <v>15159030.76861</v>
      </c>
      <c r="AH11" s="610" t="n">
        <f aca="false">3218608826.88/1000</f>
        <v>3218608.82688</v>
      </c>
      <c r="AI11" s="613" t="n">
        <f aca="false">'Cálculo masa impuestos copartic'!U7*1000</f>
        <v>2990988.48141767</v>
      </c>
      <c r="AJ11" s="613"/>
      <c r="AK11" s="613"/>
      <c r="AL11" s="613"/>
      <c r="AM11" s="613"/>
      <c r="AN11" s="612" t="n">
        <f aca="false">'Cuenta Ahorro-Inversión-Financi'!AH11-('Cuenta Ahorro-Inversión-Financi'!AI11+'Cuenta Ahorro-Inversión-Financi'!AK11+'Cuenta Ahorro-Inversión-Financi'!AL11+'Cuenta Ahorro-Inversión-Financi'!AM11)</f>
        <v>227620.345462328</v>
      </c>
      <c r="AO11" s="612" t="n">
        <f aca="false">'Cuenta Ahorro-Inversión-Financi'!AH11-'Cuenta Ahorro-Inversión-Financi'!CH11</f>
        <v>1505700.82252</v>
      </c>
      <c r="AP11" s="612" t="n">
        <f aca="false">'Cuenta Ahorro-Inversión-Financi'!AO11</f>
        <v>1505700.82252</v>
      </c>
      <c r="AQ11" s="635" t="s">
        <v>874</v>
      </c>
      <c r="AR11" s="635"/>
      <c r="AS11" s="635"/>
      <c r="AT11" s="615"/>
      <c r="AU11" s="615"/>
      <c r="AV11" s="615"/>
      <c r="AW11" s="631" t="n">
        <v>1995</v>
      </c>
      <c r="AX11" s="617" t="n">
        <f aca="false">'Cuenta Ahorro-Inversión-Financi'!AY11+'Cuenta Ahorro-Inversión-Financi'!BC11+'Cuenta Ahorro-Inversión-Financi'!BF11+'Cuenta Ahorro-Inversión-Financi'!BX11</f>
        <v>15531636.76355</v>
      </c>
      <c r="AY11" s="618" t="n">
        <v>296927.9492</v>
      </c>
      <c r="AZ11" s="618" t="n">
        <v>168650.78216</v>
      </c>
      <c r="BA11" s="618" t="n">
        <f aca="false">(4900839.87+123376327.17)/1000</f>
        <v>128277.16704</v>
      </c>
      <c r="BB11" s="618"/>
      <c r="BC11" s="618" t="n">
        <v>10685.60689</v>
      </c>
      <c r="BD11" s="618" t="n">
        <v>10685.60689</v>
      </c>
      <c r="BE11" s="618"/>
      <c r="BF11" s="617" t="n">
        <v>13842035.42524</v>
      </c>
      <c r="BG11" s="617"/>
      <c r="BH11" s="617"/>
      <c r="BI11" s="617"/>
      <c r="BJ11" s="617"/>
      <c r="BK11" s="617"/>
      <c r="BL11" s="617"/>
      <c r="BM11" s="618"/>
      <c r="BN11" s="618" t="n">
        <v>1381987.78222</v>
      </c>
      <c r="BO11" s="619"/>
      <c r="BP11" s="619"/>
      <c r="BQ11" s="618"/>
      <c r="BR11" s="619" t="n">
        <f aca="false">'Cuenta Ahorro-Inversión-Financi'!BN11</f>
        <v>1381987.78222</v>
      </c>
      <c r="BS11" s="618"/>
      <c r="BT11" s="618"/>
      <c r="BU11" s="618"/>
      <c r="BV11" s="618"/>
      <c r="BW11" s="618"/>
      <c r="BX11" s="618" t="n">
        <f aca="false">'Cuenta Ahorro-Inversión-Financi'!BN11-'Cuenta Ahorro-Inversión-Financi'!BV11-'Cuenta Ahorro-Inversión-Financi'!BW11</f>
        <v>1381987.78222</v>
      </c>
      <c r="BY11" s="618"/>
      <c r="BZ11" s="617" t="n">
        <f aca="false">'Cuenta Ahorro-Inversión-Financi'!CA11+'Cuenta Ahorro-Inversión-Financi'!CB11</f>
        <v>3224.0181</v>
      </c>
      <c r="CA11" s="618" t="n">
        <v>3224.0181</v>
      </c>
      <c r="CB11" s="636"/>
      <c r="CC11" s="636"/>
      <c r="CD11" s="636"/>
      <c r="CE11" s="636"/>
      <c r="CF11" s="636"/>
      <c r="CG11" s="617" t="n">
        <f aca="false">'Cuenta Ahorro-Inversión-Financi'!BZ11+'Cuenta Ahorro-Inversión-Financi'!AX11</f>
        <v>15534860.78165</v>
      </c>
      <c r="CH11" s="617" t="n">
        <f aca="false">'Cuenta Ahorro-Inversión-Financi'!CI11-2566535.788</f>
        <v>1712908.00436</v>
      </c>
      <c r="CI11" s="617" t="n">
        <v>4279443.79236</v>
      </c>
      <c r="CJ11" s="617" t="n">
        <f aca="false">2400-2566535.788+3752061.7223</f>
        <v>1187925.9343</v>
      </c>
      <c r="CK11" s="617"/>
      <c r="CL11" s="617" t="n">
        <f aca="false">340248.51506+184733.555</f>
        <v>524982.07006</v>
      </c>
      <c r="CM11" s="617"/>
      <c r="CN11" s="617"/>
      <c r="CO11" s="617" t="n">
        <f aca="false">'Cuenta Ahorro-Inversión-Financi'!F11-'Cuenta Ahorro-Inversión-Financi'!AX11</f>
        <v>-716518.633850001</v>
      </c>
      <c r="CP11" s="618" t="n">
        <f aca="false">'Cuenta Ahorro-Inversión-Financi'!CO11+'Cuenta Ahorro-Inversión-Financi'!AD11-'Cuenta Ahorro-Inversión-Financi'!BZ11</f>
        <v>-375830.013040001</v>
      </c>
      <c r="CQ11" s="618" t="n">
        <f aca="false">'Cuenta Ahorro-Inversión-Financi'!T11-'Cuenta Ahorro-Inversión-Financi'!BF11-'Cuenta Ahorro-Inversión-Financi'!BR11</f>
        <v>-3542413.73197</v>
      </c>
      <c r="CR11" s="618" t="n">
        <f aca="false">'Cuenta Ahorro-Inversión-Financi'!F11-'Cuenta Ahorro-Inversión-Financi'!BF11-'Cuenta Ahorro-Inversión-Financi'!BR11-'Cuenta Ahorro-Inversión-Financi'!X11</f>
        <v>-417084.048770001</v>
      </c>
      <c r="CS11" s="618"/>
      <c r="CT11" s="637" t="s">
        <v>875</v>
      </c>
      <c r="CU11" s="637"/>
      <c r="CW11" s="600" t="n">
        <v>1996</v>
      </c>
      <c r="CX11" s="98" t="n">
        <f aca="false">'PIB corriente base 1993'!V53*1000</f>
        <v>251199988.676488</v>
      </c>
      <c r="CY11" s="98" t="n">
        <f aca="false">'PIB corriente base 1993'!V54*1000</f>
        <v>280167136.445746</v>
      </c>
      <c r="CZ11" s="98" t="n">
        <f aca="false">'PIB corriente base 1993'!V55*1000</f>
        <v>274502346.767011</v>
      </c>
      <c r="DA11" s="98" t="n">
        <f aca="false">'PIB corriente base 1993'!V56*1000</f>
        <v>282729559.355978</v>
      </c>
      <c r="DB11" s="622" t="n">
        <f aca="false">'PIB corriente base 1993'!V11*1000</f>
        <v>272149757.811306</v>
      </c>
      <c r="DC11" s="623"/>
      <c r="DD11" s="98"/>
      <c r="DE11" s="98"/>
      <c r="DF11" s="98"/>
      <c r="DG11" s="624"/>
      <c r="DI11" s="1" t="n">
        <v>2004</v>
      </c>
      <c r="DJ11" s="453" t="n">
        <v>7681862</v>
      </c>
      <c r="DK11" s="456" t="n">
        <f aca="false">'Cuenta Ahorro-Inversión-Financi'!DJ11/1000/'PIB corriente base 2004'!X8</f>
        <v>0.015835129642473</v>
      </c>
      <c r="DL11" s="28" t="n">
        <v>4445674.9968</v>
      </c>
      <c r="DM11" s="456" t="n">
        <f aca="false">'Cuenta Ahorro-Inversión-Financi'!DL11/1000/'PIB corriente base 2004'!X8</f>
        <v>0.0091641635742257</v>
      </c>
      <c r="DO11" s="1" t="n">
        <f aca="false">DO10+1</f>
        <v>2010</v>
      </c>
      <c r="DP11" s="1" t="n">
        <v>178016000</v>
      </c>
      <c r="DQ11" s="28" t="n">
        <f aca="false">X26</f>
        <v>8714727.55017</v>
      </c>
      <c r="DR11" s="456" t="n">
        <f aca="false">DP11/DG25</f>
        <v>0.107127494888355</v>
      </c>
      <c r="DS11" s="456" t="n">
        <f aca="false">DQ11/DG25</f>
        <v>0.00524439899269864</v>
      </c>
      <c r="DT11" s="456" t="n">
        <f aca="false">DQ11/DP10</f>
        <v>0.0642239969443456</v>
      </c>
      <c r="DV11" s="456" t="n">
        <f aca="false">DP11/DF25</f>
        <v>0.0973230768546964</v>
      </c>
      <c r="DW11" s="456" t="n">
        <f aca="false">DQ11/DF25</f>
        <v>0.00476442622647928</v>
      </c>
      <c r="DX11" s="456" t="n">
        <f aca="false">(DF25-DF24)/DF24</f>
        <v>0.346716705558995</v>
      </c>
      <c r="DY11" s="456" t="n">
        <f aca="false">(DP11-DP10)/DP10</f>
        <v>0.311905504128078</v>
      </c>
    </row>
    <row r="12" customFormat="false" ht="15.75" hidden="false" customHeight="true" outlineLevel="0" collapsed="false">
      <c r="B12" s="456" t="n">
        <f aca="false">'Cuenta Ahorro-Inversión-Financi'!G12/'Cuenta Ahorro-Inversión-Financi'!F12</f>
        <v>0.286301865657118</v>
      </c>
      <c r="C12" s="456" t="n">
        <f aca="false">'Cuenta Ahorro-Inversión-Financi'!T12/'Cuenta Ahorro-Inversión-Financi'!F12</f>
        <v>0.710980760745126</v>
      </c>
      <c r="E12" s="609" t="n">
        <v>1996</v>
      </c>
      <c r="F12" s="625" t="n">
        <f aca="false">'Cuenta Ahorro-Inversión-Financi'!G12+'Cuenta Ahorro-Inversión-Financi'!S12+'Cuenta Ahorro-Inversión-Financi'!T12+'Cuenta Ahorro-Inversión-Financi'!X12</f>
        <v>13927353.983</v>
      </c>
      <c r="G12" s="638" t="n">
        <f aca="false">3987427429/1000</f>
        <v>3987427.429</v>
      </c>
      <c r="H12" s="639" t="n">
        <v>1456325.4</v>
      </c>
      <c r="I12" s="630"/>
      <c r="J12" s="630"/>
      <c r="K12" s="640" t="n">
        <f aca="false">IVA!AU26</f>
        <v>1903838.651715</v>
      </c>
      <c r="L12" s="640" t="n">
        <f aca="false">'Cuenta Ahorro-Inversión-Financi'!M12+'Cuenta Ahorro-Inversión-Financi'!N12</f>
        <v>516954.41</v>
      </c>
      <c r="M12" s="628" t="n">
        <f aca="false">IVA!AU111</f>
        <v>138530</v>
      </c>
      <c r="N12" s="628" t="n">
        <f aca="false">IVA!AU145</f>
        <v>378424.41</v>
      </c>
      <c r="O12" s="628"/>
      <c r="P12" s="630"/>
      <c r="Q12" s="627" t="n">
        <f aca="false">IVA!AU94</f>
        <v>172304</v>
      </c>
      <c r="R12" s="627" t="n">
        <f aca="false">IVA!AU162*0.7</f>
        <v>0</v>
      </c>
      <c r="S12" s="632" t="n">
        <v>6134.043</v>
      </c>
      <c r="T12" s="629" t="n">
        <v>9902080.73</v>
      </c>
      <c r="U12" s="630"/>
      <c r="V12" s="630"/>
      <c r="W12" s="630"/>
      <c r="X12" s="632" t="n">
        <f aca="false">31711781/1000</f>
        <v>31711.781</v>
      </c>
      <c r="Y12" s="632"/>
      <c r="Z12" s="632"/>
      <c r="AA12" s="632"/>
      <c r="AB12" s="632"/>
      <c r="AC12" s="632"/>
      <c r="AD12" s="625" t="n">
        <f aca="false">'Cuenta Ahorro-Inversión-Financi'!AE12+'Cuenta Ahorro-Inversión-Financi'!AF12</f>
        <v>98838.677</v>
      </c>
      <c r="AE12" s="632" t="n">
        <f aca="false">98835554/1000</f>
        <v>98835.554</v>
      </c>
      <c r="AF12" s="632" t="n">
        <v>3.123</v>
      </c>
      <c r="AG12" s="625" t="n">
        <f aca="false">'Cuenta Ahorro-Inversión-Financi'!AD12+'Cuenta Ahorro-Inversión-Financi'!F12</f>
        <v>14026192.66</v>
      </c>
      <c r="AH12" s="629" t="n">
        <f aca="false">6027771273/1000</f>
        <v>6027771.273</v>
      </c>
      <c r="AI12" s="628" t="n">
        <f aca="false">'Cálculo masa impuestos copartic'!U8*1000</f>
        <v>3231346.71425055</v>
      </c>
      <c r="AJ12" s="628"/>
      <c r="AK12" s="628"/>
      <c r="AL12" s="628"/>
      <c r="AM12" s="628"/>
      <c r="AN12" s="627" t="n">
        <f aca="false">'Cuenta Ahorro-Inversión-Financi'!AH12-('Cuenta Ahorro-Inversión-Financi'!AI12+'Cuenta Ahorro-Inversión-Financi'!AK12+'Cuenta Ahorro-Inversión-Financi'!AL12+'Cuenta Ahorro-Inversión-Financi'!AM12)</f>
        <v>2796424.55874945</v>
      </c>
      <c r="AO12" s="627" t="n">
        <f aca="false">'Cuenta Ahorro-Inversión-Financi'!AI12-'Cuenta Ahorro-Inversión-Financi'!CH12</f>
        <v>1200902.96404055</v>
      </c>
      <c r="AP12" s="627" t="n">
        <f aca="false">'Cuenta Ahorro-Inversión-Financi'!AO12</f>
        <v>1200902.96404055</v>
      </c>
      <c r="AQ12" s="630" t="s">
        <v>876</v>
      </c>
      <c r="AR12" s="630"/>
      <c r="AS12" s="630"/>
      <c r="AT12" s="615"/>
      <c r="AU12" s="615"/>
      <c r="AV12" s="615"/>
      <c r="AW12" s="631" t="n">
        <v>1996</v>
      </c>
      <c r="AX12" s="625" t="n">
        <f aca="false">'Cuenta Ahorro-Inversión-Financi'!AY12+'Cuenta Ahorro-Inversión-Financi'!BC12+'Cuenta Ahorro-Inversión-Financi'!BF12+'Cuenta Ahorro-Inversión-Financi'!BX12</f>
        <v>16567195.649</v>
      </c>
      <c r="AY12" s="627" t="n">
        <v>330883.704</v>
      </c>
      <c r="AZ12" s="627"/>
      <c r="BA12" s="627"/>
      <c r="BB12" s="627"/>
      <c r="BC12" s="627" t="n">
        <v>134577.688</v>
      </c>
      <c r="BD12" s="627"/>
      <c r="BE12" s="627"/>
      <c r="BF12" s="625" t="n">
        <v>14468094.187</v>
      </c>
      <c r="BG12" s="625"/>
      <c r="BH12" s="625"/>
      <c r="BI12" s="625"/>
      <c r="BJ12" s="625"/>
      <c r="BK12" s="625"/>
      <c r="BL12" s="625"/>
      <c r="BM12" s="627"/>
      <c r="BN12" s="627" t="n">
        <v>1633640.07</v>
      </c>
      <c r="BO12" s="628"/>
      <c r="BP12" s="628"/>
      <c r="BQ12" s="627"/>
      <c r="BR12" s="628"/>
      <c r="BS12" s="627"/>
      <c r="BT12" s="627"/>
      <c r="BU12" s="627"/>
      <c r="BV12" s="627"/>
      <c r="BW12" s="627"/>
      <c r="BX12" s="627" t="n">
        <f aca="false">'Cuenta Ahorro-Inversión-Financi'!BN12-'Cuenta Ahorro-Inversión-Financi'!BV12-'Cuenta Ahorro-Inversión-Financi'!BW12</f>
        <v>1633640.07</v>
      </c>
      <c r="BY12" s="627"/>
      <c r="BZ12" s="625" t="n">
        <f aca="false">'Cuenta Ahorro-Inversión-Financi'!CA12+'Cuenta Ahorro-Inversión-Financi'!CB12</f>
        <v>7389.67</v>
      </c>
      <c r="CA12" s="627" t="n">
        <v>7389.67</v>
      </c>
      <c r="CB12" s="627"/>
      <c r="CC12" s="627"/>
      <c r="CD12" s="627"/>
      <c r="CE12" s="627"/>
      <c r="CF12" s="627"/>
      <c r="CG12" s="625" t="n">
        <f aca="false">'Cuenta Ahorro-Inversión-Financi'!BZ12+'Cuenta Ahorro-Inversión-Financi'!AX12</f>
        <v>16574585.319</v>
      </c>
      <c r="CH12" s="625" t="n">
        <f aca="false">'Cuenta Ahorro-Inversión-Financi'!CI12-2491204.07079-233300</f>
        <v>2030443.75021</v>
      </c>
      <c r="CI12" s="625" t="n">
        <v>4754947.821</v>
      </c>
      <c r="CJ12" s="625" t="n">
        <f aca="false">225182.67637+3510646.16297-2491204.07079-233300</f>
        <v>1011324.76855</v>
      </c>
      <c r="CK12" s="625" t="n">
        <v>536454.52933</v>
      </c>
      <c r="CL12" s="625" t="n">
        <f aca="false">843279.20165+175800+39.78-CK12</f>
        <v>482664.45232</v>
      </c>
      <c r="CM12" s="625"/>
      <c r="CN12" s="625"/>
      <c r="CO12" s="625" t="n">
        <f aca="false">'Cuenta Ahorro-Inversión-Financi'!F12-'Cuenta Ahorro-Inversión-Financi'!AX12</f>
        <v>-2639841.666</v>
      </c>
      <c r="CP12" s="627" t="n">
        <f aca="false">'Cuenta Ahorro-Inversión-Financi'!CO12+'Cuenta Ahorro-Inversión-Financi'!AD12-'Cuenta Ahorro-Inversión-Financi'!BZ12</f>
        <v>-2548392.659</v>
      </c>
      <c r="CQ12" s="627" t="n">
        <f aca="false">'Cuenta Ahorro-Inversión-Financi'!T12-'Cuenta Ahorro-Inversión-Financi'!BF12-'Cuenta Ahorro-Inversión-Financi'!BN12</f>
        <v>-6199653.527</v>
      </c>
      <c r="CR12" s="627" t="n">
        <f aca="false">'Cuenta Ahorro-Inversión-Financi'!F12-'Cuenta Ahorro-Inversión-Financi'!BF12-'Cuenta Ahorro-Inversión-Financi'!BN12-'Cuenta Ahorro-Inversión-Financi'!X12</f>
        <v>-2206092.055</v>
      </c>
      <c r="CS12" s="627"/>
      <c r="CT12" s="634" t="s">
        <v>877</v>
      </c>
      <c r="CU12" s="634"/>
      <c r="CW12" s="600" t="n">
        <v>1997</v>
      </c>
      <c r="CX12" s="605" t="n">
        <f aca="false">'PIB corriente base 1993'!V57*1000</f>
        <v>271260456.309178</v>
      </c>
      <c r="CY12" s="605" t="n">
        <f aca="false">'PIB corriente base 1993'!V58*1000</f>
        <v>299872538.771224</v>
      </c>
      <c r="CZ12" s="605" t="n">
        <f aca="false">'PIB corriente base 1993'!V59*1000</f>
        <v>298264991.508642</v>
      </c>
      <c r="DA12" s="605" t="n">
        <f aca="false">'PIB corriente base 1993'!V60*1000</f>
        <v>302037522.729126</v>
      </c>
      <c r="DB12" s="606" t="n">
        <f aca="false">'PIB corriente base 1993'!V12*1000</f>
        <v>292858877.329543</v>
      </c>
      <c r="DC12" s="607"/>
      <c r="DD12" s="605"/>
      <c r="DE12" s="605"/>
      <c r="DF12" s="605"/>
      <c r="DG12" s="608"/>
      <c r="DI12" s="1" t="n">
        <v>2005</v>
      </c>
      <c r="DJ12" s="453" t="n">
        <v>9434291</v>
      </c>
      <c r="DK12" s="456" t="n">
        <f aca="false">'Cuenta Ahorro-Inversión-Financi'!DJ12/1000/'PIB corriente base 2004'!X9</f>
        <v>0.0161951464097716</v>
      </c>
      <c r="DL12" s="28" t="n">
        <v>5603319.4768</v>
      </c>
      <c r="DM12" s="456" t="n">
        <f aca="false">'Cuenta Ahorro-Inversión-Financi'!DL12/1000/'PIB corriente base 2004'!X9</f>
        <v>0.00961880222981258</v>
      </c>
      <c r="DO12" s="1" t="n">
        <f aca="false">DO11+1</f>
        <v>2011</v>
      </c>
      <c r="DP12" s="1" t="n">
        <v>199490000</v>
      </c>
      <c r="DQ12" s="28" t="n">
        <f aca="false">X27</f>
        <v>11038679.15411</v>
      </c>
      <c r="DR12" s="456" t="n">
        <f aca="false">DP12/DG26</f>
        <v>0.0915501575533753</v>
      </c>
      <c r="DS12" s="456" t="n">
        <f aca="false">DQ12/DG26</f>
        <v>0.00506588207799855</v>
      </c>
      <c r="DT12" s="456" t="n">
        <f aca="false">DQ12/DP11</f>
        <v>0.0620094775419625</v>
      </c>
      <c r="DV12" s="456" t="n">
        <f aca="false">DP12/DF26</f>
        <v>0.0852645925437724</v>
      </c>
      <c r="DW12" s="456" t="n">
        <f aca="false">DQ12/DF26</f>
        <v>0.00471807348887976</v>
      </c>
      <c r="DX12" s="456" t="n">
        <f aca="false">(DF26-DF25)/DF25</f>
        <v>0.279113850761342</v>
      </c>
      <c r="DY12" s="456" t="n">
        <f aca="false">(DP12-DP11)/DP11</f>
        <v>0.120629606327521</v>
      </c>
    </row>
    <row r="13" customFormat="false" ht="15.75" hidden="false" customHeight="true" outlineLevel="0" collapsed="false">
      <c r="B13" s="456" t="n">
        <f aca="false">'Cuenta Ahorro-Inversión-Financi'!G13/'Cuenta Ahorro-Inversión-Financi'!F13</f>
        <v>0.363987999705586</v>
      </c>
      <c r="C13" s="456" t="n">
        <f aca="false">'Cuenta Ahorro-Inversión-Financi'!T13/'Cuenta Ahorro-Inversión-Financi'!F13</f>
        <v>0.63385280000017</v>
      </c>
      <c r="E13" s="609" t="n">
        <v>1997</v>
      </c>
      <c r="F13" s="610" t="n">
        <f aca="false">'Cuenta Ahorro-Inversión-Financi'!G13+'Cuenta Ahorro-Inversión-Financi'!S13+'Cuenta Ahorro-Inversión-Financi'!T13+'Cuenta Ahorro-Inversión-Financi'!X13</f>
        <v>16151711.38267</v>
      </c>
      <c r="G13" s="611" t="n">
        <f aca="false">'Cuenta Ahorro-Inversión-Financi'!H13+'Cuenta Ahorro-Inversión-Financi'!I13+'Cuenta Ahorro-Inversión-Financi'!J13</f>
        <v>5879029.118</v>
      </c>
      <c r="H13" s="612" t="n">
        <v>1669177.74063</v>
      </c>
      <c r="I13" s="612" t="n">
        <v>29549.1178</v>
      </c>
      <c r="J13" s="612" t="n">
        <v>4180302.25957</v>
      </c>
      <c r="K13" s="613" t="n">
        <f aca="false">IVA!AU27</f>
        <v>2043538.989492</v>
      </c>
      <c r="L13" s="613" t="n">
        <f aca="false">'Cuenta Ahorro-Inversión-Financi'!M13+'Cuenta Ahorro-Inversión-Financi'!N13</f>
        <v>1986806.99</v>
      </c>
      <c r="M13" s="613" t="n">
        <f aca="false">IVA!AU112</f>
        <v>1473605</v>
      </c>
      <c r="N13" s="613" t="n">
        <f aca="false">IVA!AU146</f>
        <v>513201.99</v>
      </c>
      <c r="O13" s="613"/>
      <c r="P13" s="612"/>
      <c r="Q13" s="612" t="n">
        <f aca="false">IVA!AU95</f>
        <v>193825</v>
      </c>
      <c r="R13" s="612" t="n">
        <f aca="false">IVA!AU163*0.7</f>
        <v>0</v>
      </c>
      <c r="S13" s="612" t="n">
        <v>3157.02127</v>
      </c>
      <c r="T13" s="610" t="n">
        <f aca="false">'Cuenta Ahorro-Inversión-Financi'!U13+'Cuenta Ahorro-Inversión-Financi'!V13+'Cuenta Ahorro-Inversión-Financi'!W13</f>
        <v>10237807.4847</v>
      </c>
      <c r="U13" s="612" t="n">
        <v>7573541.50233</v>
      </c>
      <c r="V13" s="612" t="n">
        <v>1984461.86394</v>
      </c>
      <c r="W13" s="612" t="n">
        <v>679804.11843</v>
      </c>
      <c r="X13" s="612" t="n">
        <f aca="false">'Cuenta Ahorro-Inversión-Financi'!Y13+'Cuenta Ahorro-Inversión-Financi'!Z13</f>
        <v>31717.7587</v>
      </c>
      <c r="Y13" s="612" t="n">
        <v>2254.85678</v>
      </c>
      <c r="Z13" s="612" t="n">
        <v>29462.90192</v>
      </c>
      <c r="AA13" s="612"/>
      <c r="AB13" s="612"/>
      <c r="AC13" s="612"/>
      <c r="AD13" s="610" t="n">
        <f aca="false">'Cuenta Ahorro-Inversión-Financi'!AE13+'Cuenta Ahorro-Inversión-Financi'!AF13</f>
        <v>208802.02321</v>
      </c>
      <c r="AE13" s="612" t="n">
        <v>208802.02321</v>
      </c>
      <c r="AF13" s="612"/>
      <c r="AG13" s="610" t="n">
        <f aca="false">'Cuenta Ahorro-Inversión-Financi'!AD13+'Cuenta Ahorro-Inversión-Financi'!F13</f>
        <v>16360513.40588</v>
      </c>
      <c r="AH13" s="610" t="n">
        <v>4254603.114</v>
      </c>
      <c r="AI13" s="613" t="n">
        <f aca="false">'Cálculo masa impuestos copartic'!U9*1000</f>
        <v>3598188.08761998</v>
      </c>
      <c r="AJ13" s="613"/>
      <c r="AK13" s="613"/>
      <c r="AL13" s="613"/>
      <c r="AM13" s="613"/>
      <c r="AN13" s="612" t="n">
        <f aca="false">'Cuenta Ahorro-Inversión-Financi'!AH13-('Cuenta Ahorro-Inversión-Financi'!AI13+'Cuenta Ahorro-Inversión-Financi'!AK13+'Cuenta Ahorro-Inversión-Financi'!AL13+'Cuenta Ahorro-Inversión-Financi'!AM13)</f>
        <v>656415.026380015</v>
      </c>
      <c r="AO13" s="612" t="n">
        <f aca="false">'Cuenta Ahorro-Inversión-Financi'!AI13-'Cuenta Ahorro-Inversión-Financi'!CH13</f>
        <v>1484490.82121999</v>
      </c>
      <c r="AP13" s="612" t="n">
        <f aca="false">'Cuenta Ahorro-Inversión-Financi'!AO13</f>
        <v>1484490.82121999</v>
      </c>
      <c r="AQ13" s="635" t="s">
        <v>878</v>
      </c>
      <c r="AR13" s="635"/>
      <c r="AS13" s="635"/>
      <c r="AT13" s="615"/>
      <c r="AU13" s="615"/>
      <c r="AV13" s="615"/>
      <c r="AW13" s="631" t="n">
        <v>1997</v>
      </c>
      <c r="AX13" s="617" t="n">
        <f aca="false">'Cuenta Ahorro-Inversión-Financi'!AY13+'Cuenta Ahorro-Inversión-Financi'!BC13+'Cuenta Ahorro-Inversión-Financi'!BF13+'Cuenta Ahorro-Inversión-Financi'!BX13</f>
        <v>16575986.93394</v>
      </c>
      <c r="AY13" s="620" t="n">
        <f aca="false">'Cuenta Ahorro-Inversión-Financi'!AZ13+'Cuenta Ahorro-Inversión-Financi'!BA13+'Cuenta Ahorro-Inversión-Financi'!BB13</f>
        <v>246102.79437</v>
      </c>
      <c r="AZ13" s="618" t="n">
        <v>146970.04983</v>
      </c>
      <c r="BA13" s="618" t="n">
        <f aca="false">4225.64075+87032.27746</f>
        <v>91257.91821</v>
      </c>
      <c r="BB13" s="618" t="n">
        <v>7874.82633</v>
      </c>
      <c r="BC13" s="618" t="n">
        <v>86467.45971</v>
      </c>
      <c r="BD13" s="618"/>
      <c r="BE13" s="618"/>
      <c r="BF13" s="617" t="n">
        <f aca="false">'Cuenta Ahorro-Inversión-Financi'!BI13+'Cuenta Ahorro-Inversión-Financi'!BK13</f>
        <v>14662262.7961</v>
      </c>
      <c r="BG13" s="617"/>
      <c r="BH13" s="617"/>
      <c r="BI13" s="618" t="n">
        <v>12697081.06917</v>
      </c>
      <c r="BJ13" s="618"/>
      <c r="BK13" s="618" t="n">
        <v>1965181.72693</v>
      </c>
      <c r="BL13" s="618"/>
      <c r="BM13" s="618" t="n">
        <v>471.80554</v>
      </c>
      <c r="BN13" s="618" t="n">
        <f aca="false">'Cuenta Ahorro-Inversión-Financi'!BR13+'Cuenta Ahorro-Inversión-Financi'!BT13</f>
        <v>1581153.88376</v>
      </c>
      <c r="BO13" s="619"/>
      <c r="BP13" s="619"/>
      <c r="BQ13" s="618"/>
      <c r="BR13" s="619" t="n">
        <v>1386027.1318</v>
      </c>
      <c r="BS13" s="619" t="n">
        <v>1834031.94926</v>
      </c>
      <c r="BT13" s="619" t="n">
        <v>195126.75196</v>
      </c>
      <c r="BU13" s="619" t="n">
        <v>316225.90165</v>
      </c>
      <c r="BV13" s="619"/>
      <c r="BW13" s="619"/>
      <c r="BX13" s="619" t="n">
        <f aca="false">'Cuenta Ahorro-Inversión-Financi'!BN13-'Cuenta Ahorro-Inversión-Financi'!BV13-'Cuenta Ahorro-Inversión-Financi'!BW13</f>
        <v>1581153.88376</v>
      </c>
      <c r="BY13" s="619" t="n">
        <v>362252.51751</v>
      </c>
      <c r="BZ13" s="617" t="n">
        <f aca="false">'Cuenta Ahorro-Inversión-Financi'!CA13+'Cuenta Ahorro-Inversión-Financi'!CB13</f>
        <v>8841.46136</v>
      </c>
      <c r="CA13" s="618" t="n">
        <v>8841.46136</v>
      </c>
      <c r="CB13" s="618"/>
      <c r="CC13" s="618"/>
      <c r="CD13" s="618"/>
      <c r="CE13" s="618"/>
      <c r="CF13" s="618"/>
      <c r="CG13" s="617" t="n">
        <f aca="false">'Cuenta Ahorro-Inversión-Financi'!BZ13+'Cuenta Ahorro-Inversión-Financi'!AX13</f>
        <v>16584828.3953</v>
      </c>
      <c r="CH13" s="617" t="n">
        <f aca="false">'Cuenta Ahorro-Inversión-Financi'!CI13-2636695.817</f>
        <v>2113697.2664</v>
      </c>
      <c r="CI13" s="617" t="n">
        <v>4750393.0834</v>
      </c>
      <c r="CJ13" s="617" t="n">
        <f aca="false">3450901.24005+288462.01752-2636695.817</f>
        <v>1102667.44057</v>
      </c>
      <c r="CK13" s="617" t="n">
        <v>546500.521</v>
      </c>
      <c r="CL13" s="617" t="n">
        <f aca="false">853623.47683+157406.349-CK13</f>
        <v>464529.30483</v>
      </c>
      <c r="CM13" s="617"/>
      <c r="CN13" s="617"/>
      <c r="CO13" s="617" t="n">
        <f aca="false">'Cuenta Ahorro-Inversión-Financi'!F13-'Cuenta Ahorro-Inversión-Financi'!AX13</f>
        <v>-424275.551269999</v>
      </c>
      <c r="CP13" s="618" t="n">
        <f aca="false">'Cuenta Ahorro-Inversión-Financi'!CO13+'Cuenta Ahorro-Inversión-Financi'!AD13-'Cuenta Ahorro-Inversión-Financi'!BZ13</f>
        <v>-224314.989419999</v>
      </c>
      <c r="CQ13" s="618" t="n">
        <f aca="false">'Cuenta Ahorro-Inversión-Financi'!T13-'Cuenta Ahorro-Inversión-Financi'!BF13-'Cuenta Ahorro-Inversión-Financi'!BR13-'Cuenta Ahorro-Inversión-Financi'!BT13</f>
        <v>-6005609.19516</v>
      </c>
      <c r="CR13" s="618" t="n">
        <f aca="false">'Cuenta Ahorro-Inversión-Financi'!F13-'Cuenta Ahorro-Inversión-Financi'!BF13-'Cuenta Ahorro-Inversión-Financi'!BR13-'Cuenta Ahorro-Inversión-Financi'!X13</f>
        <v>71703.6960700002</v>
      </c>
      <c r="CS13" s="618"/>
      <c r="CT13" s="637" t="s">
        <v>879</v>
      </c>
      <c r="CU13" s="637"/>
      <c r="CW13" s="600" t="n">
        <v>1998</v>
      </c>
      <c r="CX13" s="98" t="n">
        <f aca="false">'PIB corriente base 1993'!V61*1000</f>
        <v>282764232.298568</v>
      </c>
      <c r="CY13" s="98" t="n">
        <f aca="false">'PIB corriente base 1993'!V62*1000</f>
        <v>312129111.033039</v>
      </c>
      <c r="CZ13" s="98" t="n">
        <f aca="false">'PIB corriente base 1993'!V63*1000</f>
        <v>305474768.316651</v>
      </c>
      <c r="DA13" s="98" t="n">
        <f aca="false">'PIB corriente base 1993'!V64*1000</f>
        <v>295425322.568576</v>
      </c>
      <c r="DB13" s="622" t="n">
        <f aca="false">'PIB corriente base 1993'!V13*1000</f>
        <v>298948358.554208</v>
      </c>
      <c r="DC13" s="623"/>
      <c r="DD13" s="98"/>
      <c r="DE13" s="98"/>
      <c r="DF13" s="98"/>
      <c r="DG13" s="624"/>
      <c r="DI13" s="1" t="n">
        <v>2006</v>
      </c>
      <c r="DJ13" s="453" t="n">
        <v>11685685</v>
      </c>
      <c r="DK13" s="456" t="n">
        <f aca="false">'Cuenta Ahorro-Inversión-Financi'!DJ13/1000/'PIB corriente base 2004'!X10</f>
        <v>0.0163229714661409</v>
      </c>
      <c r="DL13" s="28" t="n">
        <v>6733513.05459</v>
      </c>
      <c r="DM13" s="456" t="n">
        <f aca="false">'Cuenta Ahorro-Inversión-Financi'!DL13/1000/'PIB corriente base 2004'!X10</f>
        <v>0.00940560535877528</v>
      </c>
      <c r="DO13" s="1" t="n">
        <f aca="false">DO12+1</f>
        <v>2012</v>
      </c>
      <c r="DP13" s="1" t="n">
        <v>244799000</v>
      </c>
      <c r="DQ13" s="28" t="n">
        <f aca="false">X28</f>
        <v>17349286.77895</v>
      </c>
      <c r="DR13" s="456" t="n">
        <f aca="false">DP13/DG27</f>
        <v>0.0928002255136563</v>
      </c>
      <c r="DS13" s="456" t="n">
        <f aca="false">DQ13/DG27</f>
        <v>0.00657689666047515</v>
      </c>
      <c r="DT13" s="456" t="n">
        <f aca="false">DQ13/DP12</f>
        <v>0.0869682028119204</v>
      </c>
      <c r="DV13" s="456" t="n">
        <f aca="false">DP13/DF27</f>
        <v>0.0858892569216934</v>
      </c>
      <c r="DW13" s="456" t="n">
        <f aca="false">DQ13/DF27</f>
        <v>0.00608710554195636</v>
      </c>
      <c r="DX13" s="456" t="n">
        <f aca="false">(DF27-DF26)/DF26</f>
        <v>0.218199409540601</v>
      </c>
      <c r="DY13" s="456" t="n">
        <f aca="false">(DP13-DP12)/DP12</f>
        <v>0.227124166624893</v>
      </c>
    </row>
    <row r="14" customFormat="false" ht="15.75" hidden="false" customHeight="true" outlineLevel="0" collapsed="false">
      <c r="B14" s="456" t="n">
        <f aca="false">'Cuenta Ahorro-Inversión-Financi'!G14/'Cuenta Ahorro-Inversión-Financi'!F14</f>
        <v>0.390007913922373</v>
      </c>
      <c r="C14" s="456" t="n">
        <f aca="false">'Cuenta Ahorro-Inversión-Financi'!T14/'Cuenta Ahorro-Inversión-Financi'!F14</f>
        <v>0.608877303777804</v>
      </c>
      <c r="E14" s="609" t="n">
        <v>1998</v>
      </c>
      <c r="F14" s="625" t="n">
        <f aca="false">'Cuenta Ahorro-Inversión-Financi'!G14+'Cuenta Ahorro-Inversión-Financi'!S14+'Cuenta Ahorro-Inversión-Financi'!T14+'Cuenta Ahorro-Inversión-Financi'!X14</f>
        <v>16285156.62914</v>
      </c>
      <c r="G14" s="626" t="n">
        <f aca="false">'Cuenta Ahorro-Inversión-Financi'!H14+'Cuenta Ahorro-Inversión-Financi'!I14+'Cuenta Ahorro-Inversión-Financi'!J14+'Cuenta Ahorro-Inversión-Financi'!P14</f>
        <v>6351339.96483</v>
      </c>
      <c r="H14" s="632" t="n">
        <v>1902253.64072</v>
      </c>
      <c r="I14" s="632" t="n">
        <v>48205.82926</v>
      </c>
      <c r="J14" s="632" t="n">
        <v>4334926.61748</v>
      </c>
      <c r="K14" s="633" t="n">
        <f aca="false">IVA!AU28</f>
        <v>2097707.449838</v>
      </c>
      <c r="L14" s="633" t="n">
        <f aca="false">'Cuenta Ahorro-Inversión-Financi'!M14+'Cuenta Ahorro-Inversión-Financi'!N14</f>
        <v>1855405.55</v>
      </c>
      <c r="M14" s="633" t="n">
        <f aca="false">IVA!AU113</f>
        <v>1367081</v>
      </c>
      <c r="N14" s="633" t="n">
        <f aca="false">IVA!AU147</f>
        <v>488324.55</v>
      </c>
      <c r="O14" s="633"/>
      <c r="P14" s="632" t="n">
        <v>65953.87737</v>
      </c>
      <c r="Q14" s="632" t="n">
        <f aca="false">IVA!AU96</f>
        <v>197766</v>
      </c>
      <c r="R14" s="632" t="n">
        <f aca="false">IVA!AU164*0.7</f>
        <v>43509.9</v>
      </c>
      <c r="S14" s="632" t="n">
        <v>3656.51354</v>
      </c>
      <c r="T14" s="625" t="n">
        <f aca="false">'Cuenta Ahorro-Inversión-Financi'!U14+'Cuenta Ahorro-Inversión-Financi'!V14</f>
        <v>9915662.25995</v>
      </c>
      <c r="U14" s="632" t="n">
        <v>7921091.73638</v>
      </c>
      <c r="V14" s="632" t="n">
        <v>1994570.52357</v>
      </c>
      <c r="W14" s="632"/>
      <c r="X14" s="632" t="n">
        <f aca="false">'Cuenta Ahorro-Inversión-Financi'!Y14+'Cuenta Ahorro-Inversión-Financi'!Z14</f>
        <v>14497.89082</v>
      </c>
      <c r="Y14" s="632" t="n">
        <v>654.42277</v>
      </c>
      <c r="Z14" s="632" t="n">
        <v>13843.46805</v>
      </c>
      <c r="AA14" s="632"/>
      <c r="AB14" s="632"/>
      <c r="AC14" s="632"/>
      <c r="AD14" s="625" t="n">
        <f aca="false">'Cuenta Ahorro-Inversión-Financi'!AE14+'Cuenta Ahorro-Inversión-Financi'!AF14</f>
        <v>87288.85525</v>
      </c>
      <c r="AE14" s="632" t="n">
        <v>87012.99737</v>
      </c>
      <c r="AF14" s="632" t="n">
        <v>275.85788</v>
      </c>
      <c r="AG14" s="625" t="n">
        <f aca="false">'Cuenta Ahorro-Inversión-Financi'!AD14+'Cuenta Ahorro-Inversión-Financi'!F14</f>
        <v>16372445.48439</v>
      </c>
      <c r="AH14" s="629" t="n">
        <v>5469305.52074</v>
      </c>
      <c r="AI14" s="628" t="n">
        <f aca="false">'Cálculo masa impuestos copartic'!U10*1000</f>
        <v>3797640.46271228</v>
      </c>
      <c r="AJ14" s="628"/>
      <c r="AK14" s="628"/>
      <c r="AL14" s="628"/>
      <c r="AM14" s="628"/>
      <c r="AN14" s="627" t="n">
        <f aca="false">'Cuenta Ahorro-Inversión-Financi'!AH14-('Cuenta Ahorro-Inversión-Financi'!AI14+'Cuenta Ahorro-Inversión-Financi'!AK14+'Cuenta Ahorro-Inversión-Financi'!AL14+'Cuenta Ahorro-Inversión-Financi'!AM14)</f>
        <v>1671665.05802772</v>
      </c>
      <c r="AO14" s="627" t="n">
        <f aca="false">'Cuenta Ahorro-Inversión-Financi'!AI14-'Cuenta Ahorro-Inversión-Financi'!CH14</f>
        <v>1352023.22908228</v>
      </c>
      <c r="AP14" s="627" t="n">
        <f aca="false">'Cuenta Ahorro-Inversión-Financi'!AO14</f>
        <v>1352023.22908228</v>
      </c>
      <c r="AQ14" s="630" t="s">
        <v>880</v>
      </c>
      <c r="AR14" s="630"/>
      <c r="AS14" s="630"/>
      <c r="AT14" s="615"/>
      <c r="AU14" s="615"/>
      <c r="AV14" s="615"/>
      <c r="AW14" s="631" t="n">
        <v>1998</v>
      </c>
      <c r="AX14" s="625" t="n">
        <f aca="false">'Cuenta Ahorro-Inversión-Financi'!AY14+'Cuenta Ahorro-Inversión-Financi'!BC14+'Cuenta Ahorro-Inversión-Financi'!BF14+'Cuenta Ahorro-Inversión-Financi'!BX14</f>
        <v>18824074.88225</v>
      </c>
      <c r="AY14" s="627" t="n">
        <f aca="false">'Cuenta Ahorro-Inversión-Financi'!AZ14+'Cuenta Ahorro-Inversión-Financi'!BA14</f>
        <v>231684.89787</v>
      </c>
      <c r="AZ14" s="627" t="n">
        <v>139297.26647</v>
      </c>
      <c r="BA14" s="627" t="n">
        <f aca="false">3576.85772+88810.77368</f>
        <v>92387.6314</v>
      </c>
      <c r="BB14" s="627"/>
      <c r="BC14" s="627" t="n">
        <v>74681.3132</v>
      </c>
      <c r="BD14" s="627"/>
      <c r="BE14" s="627"/>
      <c r="BF14" s="625" t="n">
        <v>14705376.04773</v>
      </c>
      <c r="BG14" s="625"/>
      <c r="BH14" s="625"/>
      <c r="BI14" s="625"/>
      <c r="BJ14" s="625"/>
      <c r="BK14" s="625"/>
      <c r="BL14" s="625"/>
      <c r="BM14" s="627" t="n">
        <v>252.48541</v>
      </c>
      <c r="BN14" s="627" t="n">
        <f aca="false">'Cuenta Ahorro-Inversión-Financi'!BR14+'Cuenta Ahorro-Inversión-Financi'!BT14+'Cuenta Ahorro-Inversión-Financi'!BS14+'Cuenta Ahorro-Inversión-Financi'!BU14</f>
        <v>3812332.62345</v>
      </c>
      <c r="BO14" s="628" t="n">
        <v>3642256.51507</v>
      </c>
      <c r="BP14" s="628" t="n">
        <v>169967.13617</v>
      </c>
      <c r="BQ14" s="628" t="n">
        <v>108.97221</v>
      </c>
      <c r="BR14" s="628" t="n">
        <v>1426088.28147</v>
      </c>
      <c r="BS14" s="628" t="n">
        <v>2059167.4577</v>
      </c>
      <c r="BT14" s="627"/>
      <c r="BU14" s="628" t="n">
        <v>327076.88428</v>
      </c>
      <c r="BV14" s="628"/>
      <c r="BW14" s="628"/>
      <c r="BX14" s="628" t="n">
        <f aca="false">'Cuenta Ahorro-Inversión-Financi'!BN14-'Cuenta Ahorro-Inversión-Financi'!BV14-'Cuenta Ahorro-Inversión-Financi'!BW14</f>
        <v>3812332.62345</v>
      </c>
      <c r="BY14" s="628" t="n">
        <v>2556320.45036</v>
      </c>
      <c r="BZ14" s="625" t="n">
        <f aca="false">'Cuenta Ahorro-Inversión-Financi'!CA14+'Cuenta Ahorro-Inversión-Financi'!CB14</f>
        <v>13983.22416</v>
      </c>
      <c r="CA14" s="627" t="n">
        <v>13383.22416</v>
      </c>
      <c r="CB14" s="627" t="n">
        <v>600</v>
      </c>
      <c r="CC14" s="627"/>
      <c r="CD14" s="627"/>
      <c r="CE14" s="627"/>
      <c r="CF14" s="627"/>
      <c r="CG14" s="625" t="n">
        <f aca="false">'Cuenta Ahorro-Inversión-Financi'!BZ14+'Cuenta Ahorro-Inversión-Financi'!AX14</f>
        <v>18838058.10641</v>
      </c>
      <c r="CH14" s="625" t="n">
        <v>2445617.23363</v>
      </c>
      <c r="CI14" s="625"/>
      <c r="CJ14" s="625" t="n">
        <f aca="false">(1304595241.64+19200000)/1000</f>
        <v>1323795.24164</v>
      </c>
      <c r="CK14" s="625" t="n">
        <f aca="false">531780434.92/1000</f>
        <v>531780.43492</v>
      </c>
      <c r="CL14" s="625" t="n">
        <f aca="false">1030534.99199+91287-CK14</f>
        <v>590041.55707</v>
      </c>
      <c r="CM14" s="625"/>
      <c r="CN14" s="625"/>
      <c r="CO14" s="625" t="n">
        <f aca="false">'Cuenta Ahorro-Inversión-Financi'!F14-'Cuenta Ahorro-Inversión-Financi'!AX14</f>
        <v>-2538918.25311</v>
      </c>
      <c r="CP14" s="627" t="n">
        <f aca="false">'Cuenta Ahorro-Inversión-Financi'!CO14+'Cuenta Ahorro-Inversión-Financi'!AD14-'Cuenta Ahorro-Inversión-Financi'!BZ14</f>
        <v>-2465612.62202</v>
      </c>
      <c r="CQ14" s="627" t="n">
        <f aca="false">'Cuenta Ahorro-Inversión-Financi'!T14-'Cuenta Ahorro-Inversión-Financi'!BF14-'Cuenta Ahorro-Inversión-Financi'!BR14</f>
        <v>-6215802.06925</v>
      </c>
      <c r="CR14" s="627" t="n">
        <f aca="false">'Cuenta Ahorro-Inversión-Financi'!F14-'Cuenta Ahorro-Inversión-Financi'!BF14-'Cuenta Ahorro-Inversión-Financi'!BR14-'Cuenta Ahorro-Inversión-Financi'!X14</f>
        <v>139194.409119998</v>
      </c>
      <c r="CS14" s="627"/>
      <c r="CT14" s="634" t="s">
        <v>881</v>
      </c>
      <c r="CU14" s="634"/>
      <c r="CW14" s="600" t="n">
        <v>1999</v>
      </c>
      <c r="CX14" s="605" t="n">
        <f aca="false">'PIB corriente base 1993'!V65*1000</f>
        <v>270746389.618936</v>
      </c>
      <c r="CY14" s="605" t="n">
        <f aca="false">'PIB corriente base 1993'!V66*1000</f>
        <v>288829855.936148</v>
      </c>
      <c r="CZ14" s="605" t="n">
        <f aca="false">'PIB corriente base 1993'!V67*1000</f>
        <v>285087021.390668</v>
      </c>
      <c r="DA14" s="605" t="n">
        <f aca="false">'PIB corriente base 1993'!V68*1000</f>
        <v>289428828.976948</v>
      </c>
      <c r="DB14" s="606" t="n">
        <f aca="false">'PIB corriente base 1993'!V14*1000</f>
        <v>283523023.980675</v>
      </c>
      <c r="DC14" s="607"/>
      <c r="DD14" s="605"/>
      <c r="DE14" s="605"/>
      <c r="DF14" s="605"/>
      <c r="DG14" s="608"/>
      <c r="DI14" s="1" t="n">
        <v>2007</v>
      </c>
      <c r="DJ14" s="453" t="n">
        <v>15064961</v>
      </c>
      <c r="DK14" s="456" t="n">
        <f aca="false">'Cuenta Ahorro-Inversión-Financi'!DJ14/1000/'PIB corriente base 2004'!X11</f>
        <v>0.0167951995322389</v>
      </c>
      <c r="DL14" s="28" t="n">
        <v>8488745.60076</v>
      </c>
      <c r="DM14" s="456" t="n">
        <f aca="false">'Cuenta Ahorro-Inversión-Financi'!DL14/1000/'PIB corriente base 2004'!X11</f>
        <v>0.00946369367588668</v>
      </c>
      <c r="DO14" s="1" t="n">
        <f aca="false">DO13+1</f>
        <v>2013</v>
      </c>
      <c r="DP14" s="1" t="n">
        <v>329472000</v>
      </c>
      <c r="DQ14" s="28" t="n">
        <f aca="false">X29</f>
        <v>22873121.48436</v>
      </c>
      <c r="DR14" s="456" t="n">
        <f aca="false">DP14/DG28</f>
        <v>0.0983995355142567</v>
      </c>
      <c r="DS14" s="456" t="n">
        <f aca="false">DQ14/DG28</f>
        <v>0.00683124675183988</v>
      </c>
      <c r="DT14" s="456" t="n">
        <f aca="false">DQ14/DP13</f>
        <v>0.0934363354603573</v>
      </c>
      <c r="DV14" s="456" t="n">
        <f aca="false">DP14/DF28</f>
        <v>0.089532973932766</v>
      </c>
      <c r="DW14" s="456" t="n">
        <f aca="false">DQ14/DF28</f>
        <v>0.00621569841935034</v>
      </c>
      <c r="DX14" s="456" t="n">
        <f aca="false">(DF28-DF27)/DF27</f>
        <v>0.291114349626851</v>
      </c>
      <c r="DY14" s="456" t="n">
        <f aca="false">(DP14-DP13)/DP13</f>
        <v>0.345887850849064</v>
      </c>
    </row>
    <row r="15" customFormat="false" ht="15.75" hidden="false" customHeight="true" outlineLevel="0" collapsed="false">
      <c r="B15" s="456" t="n">
        <f aca="false">'Cuenta Ahorro-Inversión-Financi'!G15/'Cuenta Ahorro-Inversión-Financi'!F15</f>
        <v>0.401159547544072</v>
      </c>
      <c r="C15" s="456" t="n">
        <f aca="false">'Cuenta Ahorro-Inversión-Financi'!T15/'Cuenta Ahorro-Inversión-Financi'!F15</f>
        <v>0.597594660646409</v>
      </c>
      <c r="E15" s="609" t="n">
        <v>1999</v>
      </c>
      <c r="F15" s="610" t="n">
        <f aca="false">'Cuenta Ahorro-Inversión-Financi'!G15+'Cuenta Ahorro-Inversión-Financi'!S15+'Cuenta Ahorro-Inversión-Financi'!T15+'Cuenta Ahorro-Inversión-Financi'!X15</f>
        <v>15105454.73667</v>
      </c>
      <c r="G15" s="611" t="n">
        <f aca="false">'Cuenta Ahorro-Inversión-Financi'!H15+'Cuenta Ahorro-Inversión-Financi'!I15+'Cuenta Ahorro-Inversión-Financi'!J15+'Cuenta Ahorro-Inversión-Financi'!P15</f>
        <v>6059697.38761</v>
      </c>
      <c r="H15" s="612" t="n">
        <v>1850960.88511</v>
      </c>
      <c r="I15" s="612" t="n">
        <v>34142.56307</v>
      </c>
      <c r="J15" s="612" t="n">
        <v>3909389.13943</v>
      </c>
      <c r="K15" s="613" t="n">
        <f aca="false">IVA!AU29</f>
        <v>1876157.764481</v>
      </c>
      <c r="L15" s="613" t="n">
        <f aca="false">'Cuenta Ahorro-Inversión-Financi'!M15+'Cuenta Ahorro-Inversión-Financi'!N15</f>
        <v>1868434.31</v>
      </c>
      <c r="M15" s="613" t="n">
        <f aca="false">IVA!AU114</f>
        <v>1411367</v>
      </c>
      <c r="N15" s="613" t="n">
        <f aca="false">IVA!AU148</f>
        <v>457067.31</v>
      </c>
      <c r="O15" s="613"/>
      <c r="P15" s="612" t="n">
        <v>265204.8</v>
      </c>
      <c r="Q15" s="612" t="n">
        <f aca="false">IVA!AU97</f>
        <v>196994</v>
      </c>
      <c r="R15" s="612" t="n">
        <f aca="false">IVA!AU165*0.7</f>
        <v>193381.3</v>
      </c>
      <c r="S15" s="612" t="n">
        <v>16294.64454</v>
      </c>
      <c r="T15" s="610" t="n">
        <f aca="false">'Cuenta Ahorro-Inversión-Financi'!U15+'Cuenta Ahorro-Inversión-Financi'!V15</f>
        <v>9026939.09727</v>
      </c>
      <c r="U15" s="612" t="n">
        <v>7061301.00882</v>
      </c>
      <c r="V15" s="612" t="n">
        <v>1965638.08845</v>
      </c>
      <c r="W15" s="612"/>
      <c r="X15" s="612" t="n">
        <f aca="false">'Cuenta Ahorro-Inversión-Financi'!Y15+'Cuenta Ahorro-Inversión-Financi'!Z15</f>
        <v>2523.60725</v>
      </c>
      <c r="Y15" s="612" t="n">
        <v>1493.49044</v>
      </c>
      <c r="Z15" s="612" t="n">
        <v>1030.11681</v>
      </c>
      <c r="AA15" s="612"/>
      <c r="AB15" s="612"/>
      <c r="AC15" s="612"/>
      <c r="AD15" s="610" t="n">
        <f aca="false">'Cuenta Ahorro-Inversión-Financi'!AE15+'Cuenta Ahorro-Inversión-Financi'!AF15</f>
        <v>63245.38943</v>
      </c>
      <c r="AE15" s="612" t="n">
        <v>63245.38943</v>
      </c>
      <c r="AF15" s="612"/>
      <c r="AG15" s="610" t="n">
        <f aca="false">'Cuenta Ahorro-Inversión-Financi'!AD15+'Cuenta Ahorro-Inversión-Financi'!F15</f>
        <v>15168700.1261</v>
      </c>
      <c r="AH15" s="610" t="n">
        <v>6958966.507</v>
      </c>
      <c r="AI15" s="613" t="n">
        <f aca="false">'Cálculo masa impuestos copartic'!U11*1000</f>
        <v>3702544.47452621</v>
      </c>
      <c r="AJ15" s="613"/>
      <c r="AK15" s="613"/>
      <c r="AL15" s="613"/>
      <c r="AM15" s="613"/>
      <c r="AN15" s="612" t="n">
        <f aca="false">'Cuenta Ahorro-Inversión-Financi'!AH15-('Cuenta Ahorro-Inversión-Financi'!AI15+'Cuenta Ahorro-Inversión-Financi'!AK15+'Cuenta Ahorro-Inversión-Financi'!AL15+'Cuenta Ahorro-Inversión-Financi'!AM15)</f>
        <v>3256422.03247379</v>
      </c>
      <c r="AO15" s="612" t="n">
        <f aca="false">'Cuenta Ahorro-Inversión-Financi'!AI15-'Cuenta Ahorro-Inversión-Financi'!CH15</f>
        <v>1241117.14049621</v>
      </c>
      <c r="AP15" s="612" t="n">
        <f aca="false">'Cuenta Ahorro-Inversión-Financi'!AO15</f>
        <v>1241117.14049621</v>
      </c>
      <c r="AQ15" s="635" t="s">
        <v>882</v>
      </c>
      <c r="AR15" s="635"/>
      <c r="AS15" s="635"/>
      <c r="AT15" s="615"/>
      <c r="AU15" s="615"/>
      <c r="AV15" s="615"/>
      <c r="AW15" s="631" t="n">
        <v>1999</v>
      </c>
      <c r="AX15" s="617" t="n">
        <f aca="false">'Cuenta Ahorro-Inversión-Financi'!AY15+'Cuenta Ahorro-Inversión-Financi'!BC15+'Cuenta Ahorro-Inversión-Financi'!BF15+'Cuenta Ahorro-Inversión-Financi'!BX15</f>
        <v>18972498.74862</v>
      </c>
      <c r="AY15" s="620" t="n">
        <f aca="false">'Cuenta Ahorro-Inversión-Financi'!AZ15+'Cuenta Ahorro-Inversión-Financi'!BA15</f>
        <v>239526.32367</v>
      </c>
      <c r="AZ15" s="618" t="n">
        <v>145895.66</v>
      </c>
      <c r="BA15" s="618" t="n">
        <v>93630.66367</v>
      </c>
      <c r="BB15" s="618"/>
      <c r="BC15" s="618" t="n">
        <v>4033.55556</v>
      </c>
      <c r="BD15" s="618"/>
      <c r="BE15" s="618"/>
      <c r="BF15" s="617" t="n">
        <v>14672228.68991</v>
      </c>
      <c r="BG15" s="617"/>
      <c r="BH15" s="617"/>
      <c r="BI15" s="618"/>
      <c r="BJ15" s="618"/>
      <c r="BK15" s="618"/>
      <c r="BL15" s="618"/>
      <c r="BM15" s="618" t="n">
        <v>321.41527</v>
      </c>
      <c r="BN15" s="618" t="n">
        <f aca="false">'Cuenta Ahorro-Inversión-Financi'!BR15+'Cuenta Ahorro-Inversión-Financi'!BT15+'Cuenta Ahorro-Inversión-Financi'!BS15+'Cuenta Ahorro-Inversión-Financi'!BU15</f>
        <v>4056710.17948</v>
      </c>
      <c r="BO15" s="619" t="n">
        <v>3892282.82256</v>
      </c>
      <c r="BP15" s="619" t="n">
        <v>164321.77632</v>
      </c>
      <c r="BQ15" s="619" t="n">
        <v>105.5806</v>
      </c>
      <c r="BR15" s="619" t="n">
        <v>1665195.43063</v>
      </c>
      <c r="BS15" s="619" t="n">
        <v>2077571.46401</v>
      </c>
      <c r="BT15" s="618"/>
      <c r="BU15" s="619" t="n">
        <v>313943.28484</v>
      </c>
      <c r="BV15" s="619"/>
      <c r="BW15" s="619"/>
      <c r="BX15" s="619" t="n">
        <f aca="false">'Cuenta Ahorro-Inversión-Financi'!BN15-'Cuenta Ahorro-Inversión-Financi'!BV15-'Cuenta Ahorro-Inversión-Financi'!BW15</f>
        <v>4056710.17948</v>
      </c>
      <c r="BY15" s="619" t="n">
        <v>2555642.65777</v>
      </c>
      <c r="BZ15" s="617" t="n">
        <f aca="false">'Cuenta Ahorro-Inversión-Financi'!CA15+'Cuenta Ahorro-Inversión-Financi'!CB15</f>
        <v>6710.9869</v>
      </c>
      <c r="CA15" s="618" t="n">
        <v>5050.9869</v>
      </c>
      <c r="CB15" s="618" t="n">
        <v>1660</v>
      </c>
      <c r="CC15" s="618"/>
      <c r="CD15" s="618"/>
      <c r="CE15" s="618"/>
      <c r="CF15" s="618"/>
      <c r="CG15" s="617" t="n">
        <f aca="false">'Cuenta Ahorro-Inversión-Financi'!BZ15+'Cuenta Ahorro-Inversión-Financi'!AX15</f>
        <v>18979209.73552</v>
      </c>
      <c r="CH15" s="617" t="n">
        <v>2461427.33403</v>
      </c>
      <c r="CI15" s="617"/>
      <c r="CJ15" s="617" t="n">
        <f aca="false">(73938269.54+1334413547.09)/1000</f>
        <v>1408351.81663</v>
      </c>
      <c r="CK15" s="617" t="n">
        <f aca="false">540982768.27/1000</f>
        <v>540982.76827</v>
      </c>
      <c r="CL15" s="617" t="n">
        <f aca="false">(1053053017.4+22500)/1000-CK15</f>
        <v>512092.74913</v>
      </c>
      <c r="CM15" s="617"/>
      <c r="CN15" s="617"/>
      <c r="CO15" s="617" t="n">
        <f aca="false">'Cuenta Ahorro-Inversión-Financi'!F15-'Cuenta Ahorro-Inversión-Financi'!AX15</f>
        <v>-3867044.01195</v>
      </c>
      <c r="CP15" s="618" t="n">
        <f aca="false">'Cuenta Ahorro-Inversión-Financi'!CO15+'Cuenta Ahorro-Inversión-Financi'!AD15-'Cuenta Ahorro-Inversión-Financi'!BZ15</f>
        <v>-3810509.60942</v>
      </c>
      <c r="CQ15" s="618" t="n">
        <f aca="false">'Cuenta Ahorro-Inversión-Financi'!T15-'Cuenta Ahorro-Inversión-Financi'!BF15-'Cuenta Ahorro-Inversión-Financi'!BR15</f>
        <v>-7310485.02327</v>
      </c>
      <c r="CR15" s="618" t="n">
        <f aca="false">'Cuenta Ahorro-Inversión-Financi'!F15-'Cuenta Ahorro-Inversión-Financi'!BF15-'Cuenta Ahorro-Inversión-Financi'!BR15-'Cuenta Ahorro-Inversión-Financi'!X15</f>
        <v>-1234492.99112</v>
      </c>
      <c r="CS15" s="618"/>
      <c r="CT15" s="637" t="s">
        <v>883</v>
      </c>
      <c r="CU15" s="637"/>
      <c r="CW15" s="600" t="n">
        <v>2000</v>
      </c>
      <c r="CX15" s="98" t="n">
        <f aca="false">'PIB corriente base 1993'!V69*1000</f>
        <v>270444298.062085</v>
      </c>
      <c r="CY15" s="98" t="n">
        <f aca="false">'PIB corriente base 1993'!V70*1000</f>
        <v>291796004.446794</v>
      </c>
      <c r="CZ15" s="98" t="n">
        <f aca="false">'PIB corriente base 1993'!V71*1000</f>
        <v>287495642.393761</v>
      </c>
      <c r="DA15" s="98" t="n">
        <f aca="false">'PIB corriente base 1993'!V72*1000</f>
        <v>287079012.355848</v>
      </c>
      <c r="DB15" s="622" t="n">
        <f aca="false">'PIB corriente base 1993'!V15*1000</f>
        <v>284203739.314622</v>
      </c>
      <c r="DC15" s="623"/>
      <c r="DD15" s="98"/>
      <c r="DE15" s="98"/>
      <c r="DF15" s="98"/>
      <c r="DG15" s="624"/>
      <c r="DI15" s="1" t="n">
        <v>2008</v>
      </c>
      <c r="DJ15" s="453" t="n">
        <v>19495157</v>
      </c>
      <c r="DK15" s="456" t="n">
        <f aca="false">'Cuenta Ahorro-Inversión-Financi'!DJ15/1000/'PIB corriente base 2004'!X12</f>
        <v>0.0169575290688833</v>
      </c>
      <c r="DL15" s="28" t="n">
        <v>10735671.1304</v>
      </c>
      <c r="DM15" s="456" t="n">
        <f aca="false">'Cuenta Ahorro-Inversión-Financi'!DL15/1000/'PIB corriente base 2004'!X12</f>
        <v>0.00933824001867381</v>
      </c>
      <c r="DO15" s="1" t="n">
        <f aca="false">DO14+1</f>
        <v>2014</v>
      </c>
      <c r="DP15" s="1" t="n">
        <v>472265000</v>
      </c>
      <c r="DQ15" s="28" t="n">
        <f aca="false">X30</f>
        <v>38383803.98011</v>
      </c>
      <c r="DR15" s="456" t="n">
        <f aca="false">DP15/DG29</f>
        <v>0.103135201244363</v>
      </c>
      <c r="DS15" s="456" t="n">
        <f aca="false">DQ15/DG29</f>
        <v>0.00838241527111434</v>
      </c>
      <c r="DT15" s="456" t="n">
        <f aca="false">DQ15/DP14</f>
        <v>0.116500959049965</v>
      </c>
      <c r="DV15" s="456" t="n">
        <f aca="false">DP15/DF29</f>
        <v>0.0942538567403139</v>
      </c>
      <c r="DW15" s="456" t="n">
        <f aca="false">DQ15/DF29</f>
        <v>0.00766057523104524</v>
      </c>
      <c r="DX15" s="456" t="n">
        <f aca="false">(DF29-DF28)/DF28</f>
        <v>0.361604972886551</v>
      </c>
      <c r="DY15" s="456" t="n">
        <f aca="false">(DP15-DP14)/DP14</f>
        <v>0.43339949980575</v>
      </c>
    </row>
    <row r="16" customFormat="false" ht="15.75" hidden="false" customHeight="true" outlineLevel="0" collapsed="false">
      <c r="B16" s="456" t="n">
        <f aca="false">'Cuenta Ahorro-Inversión-Financi'!G16/'Cuenta Ahorro-Inversión-Financi'!F16</f>
        <v>0.431238348628608</v>
      </c>
      <c r="C16" s="456" t="n">
        <f aca="false">'Cuenta Ahorro-Inversión-Financi'!T16/'Cuenta Ahorro-Inversión-Financi'!F16</f>
        <v>0.56833247238802</v>
      </c>
      <c r="E16" s="609" t="n">
        <v>2000</v>
      </c>
      <c r="F16" s="625" t="n">
        <f aca="false">'Cuenta Ahorro-Inversión-Financi'!G16+'Cuenta Ahorro-Inversión-Financi'!S16+'Cuenta Ahorro-Inversión-Financi'!T16+'Cuenta Ahorro-Inversión-Financi'!X16</f>
        <v>15512852.48799</v>
      </c>
      <c r="G16" s="626" t="n">
        <f aca="false">'Cuenta Ahorro-Inversión-Financi'!H16+'Cuenta Ahorro-Inversión-Financi'!I16+'Cuenta Ahorro-Inversión-Financi'!J16+'Cuenta Ahorro-Inversión-Financi'!P16</f>
        <v>6689736.88944</v>
      </c>
      <c r="H16" s="632" t="n">
        <v>2095954.20594</v>
      </c>
      <c r="I16" s="632" t="n">
        <v>38941.58019</v>
      </c>
      <c r="J16" s="632" t="n">
        <v>3816721.30331</v>
      </c>
      <c r="K16" s="633" t="n">
        <f aca="false">IVA!AU30</f>
        <v>1959837.85384788</v>
      </c>
      <c r="L16" s="633" t="n">
        <f aca="false">'Cuenta Ahorro-Inversión-Financi'!M16+'Cuenta Ahorro-Inversión-Financi'!N16</f>
        <v>1776845.4022295</v>
      </c>
      <c r="M16" s="633" t="n">
        <f aca="false">IVA!AU115</f>
        <v>1324586.2619</v>
      </c>
      <c r="N16" s="633" t="n">
        <f aca="false">IVA!AU149</f>
        <v>452259.1403295</v>
      </c>
      <c r="O16" s="633"/>
      <c r="P16" s="632" t="n">
        <v>738119.8</v>
      </c>
      <c r="Q16" s="632" t="n">
        <f aca="false">IVA!AU98</f>
        <v>487254.75526</v>
      </c>
      <c r="R16" s="632" t="n">
        <f aca="false">IVA!AU166*0.7</f>
        <v>225126.798267</v>
      </c>
      <c r="S16" s="632" t="n">
        <v>5213.87003</v>
      </c>
      <c r="T16" s="625" t="n">
        <f aca="false">'Cuenta Ahorro-Inversión-Financi'!U16+'Cuenta Ahorro-Inversión-Financi'!V16</f>
        <v>8816457.80829</v>
      </c>
      <c r="U16" s="632" t="n">
        <v>6712857.24236</v>
      </c>
      <c r="V16" s="632" t="n">
        <v>2103600.56593</v>
      </c>
      <c r="W16" s="632"/>
      <c r="X16" s="632" t="n">
        <f aca="false">'Cuenta Ahorro-Inversión-Financi'!Y16+'Cuenta Ahorro-Inversión-Financi'!Z16</f>
        <v>1443.92023</v>
      </c>
      <c r="Y16" s="632" t="n">
        <v>1443.92023</v>
      </c>
      <c r="Z16" s="632"/>
      <c r="AA16" s="632"/>
      <c r="AB16" s="632"/>
      <c r="AC16" s="632"/>
      <c r="AD16" s="625" t="n">
        <f aca="false">'Cuenta Ahorro-Inversión-Financi'!AE16+'Cuenta Ahorro-Inversión-Financi'!AF16</f>
        <v>82996.15594</v>
      </c>
      <c r="AE16" s="632" t="n">
        <v>82996.15594</v>
      </c>
      <c r="AF16" s="632"/>
      <c r="AG16" s="625" t="n">
        <f aca="false">'Cuenta Ahorro-Inversión-Financi'!AD16+'Cuenta Ahorro-Inversión-Financi'!F16</f>
        <v>15595848.64393</v>
      </c>
      <c r="AH16" s="629" t="n">
        <v>6052619.336</v>
      </c>
      <c r="AI16" s="628" t="n">
        <f aca="false">'Cálculo masa impuestos copartic'!U12*1000</f>
        <v>3765213.6844696</v>
      </c>
      <c r="AJ16" s="628"/>
      <c r="AK16" s="628"/>
      <c r="AL16" s="628"/>
      <c r="AM16" s="628"/>
      <c r="AN16" s="627" t="n">
        <f aca="false">'Cuenta Ahorro-Inversión-Financi'!AH16-('Cuenta Ahorro-Inversión-Financi'!AI16+'Cuenta Ahorro-Inversión-Financi'!AK16+'Cuenta Ahorro-Inversión-Financi'!AL16+'Cuenta Ahorro-Inversión-Financi'!AM16)</f>
        <v>2287405.6515304</v>
      </c>
      <c r="AO16" s="627" t="n">
        <f aca="false">'Cuenta Ahorro-Inversión-Financi'!AI16-'Cuenta Ahorro-Inversión-Financi'!CH16</f>
        <v>1371140.0927096</v>
      </c>
      <c r="AP16" s="627" t="n">
        <f aca="false">'Cuenta Ahorro-Inversión-Financi'!AO16</f>
        <v>1371140.0927096</v>
      </c>
      <c r="AQ16" s="630" t="s">
        <v>884</v>
      </c>
      <c r="AR16" s="630"/>
      <c r="AS16" s="630"/>
      <c r="AT16" s="615"/>
      <c r="AU16" s="615"/>
      <c r="AV16" s="615"/>
      <c r="AW16" s="631" t="n">
        <v>2000</v>
      </c>
      <c r="AX16" s="625" t="n">
        <f aca="false">'Cuenta Ahorro-Inversión-Financi'!AY16+'Cuenta Ahorro-Inversión-Financi'!BC16+'Cuenta Ahorro-Inversión-Financi'!BF16+'Cuenta Ahorro-Inversión-Financi'!BX16</f>
        <v>19118281.12071</v>
      </c>
      <c r="AY16" s="627" t="n">
        <f aca="false">'Cuenta Ahorro-Inversión-Financi'!AZ16+'Cuenta Ahorro-Inversión-Financi'!BA16</f>
        <v>215402.99416</v>
      </c>
      <c r="AZ16" s="627" t="n">
        <v>136565.76</v>
      </c>
      <c r="BA16" s="627" t="n">
        <v>78837.23416</v>
      </c>
      <c r="BB16" s="627"/>
      <c r="BC16" s="627" t="n">
        <v>1700</v>
      </c>
      <c r="BD16" s="627"/>
      <c r="BE16" s="627"/>
      <c r="BF16" s="625" t="n">
        <v>14736000.84866</v>
      </c>
      <c r="BG16" s="625"/>
      <c r="BH16" s="625"/>
      <c r="BI16" s="625"/>
      <c r="BJ16" s="625"/>
      <c r="BK16" s="625"/>
      <c r="BL16" s="625"/>
      <c r="BM16" s="627" t="n">
        <v>239.91913</v>
      </c>
      <c r="BN16" s="627" t="n">
        <v>4165177.27789</v>
      </c>
      <c r="BO16" s="628" t="n">
        <v>3997048.38125</v>
      </c>
      <c r="BP16" s="628" t="n">
        <v>168053.71563</v>
      </c>
      <c r="BQ16" s="628" t="n">
        <v>75.18101</v>
      </c>
      <c r="BR16" s="628" t="n">
        <v>1742407.70325</v>
      </c>
      <c r="BS16" s="628" t="n">
        <v>2086290.74864</v>
      </c>
      <c r="BT16" s="627"/>
      <c r="BU16" s="628" t="n">
        <v>336478.826</v>
      </c>
      <c r="BV16" s="628"/>
      <c r="BW16" s="628"/>
      <c r="BX16" s="628" t="n">
        <f aca="false">'Cuenta Ahorro-Inversión-Financi'!BN16-'Cuenta Ahorro-Inversión-Financi'!BV16-'Cuenta Ahorro-Inversión-Financi'!BW16</f>
        <v>4165177.27789</v>
      </c>
      <c r="BY16" s="628" t="n">
        <v>2590803.25128</v>
      </c>
      <c r="BZ16" s="625" t="n">
        <f aca="false">'Cuenta Ahorro-Inversión-Financi'!CA16+'Cuenta Ahorro-Inversión-Financi'!CB16</f>
        <v>5168.12335</v>
      </c>
      <c r="CA16" s="627" t="n">
        <v>5168.12335</v>
      </c>
      <c r="CB16" s="627"/>
      <c r="CC16" s="627"/>
      <c r="CD16" s="627"/>
      <c r="CE16" s="627"/>
      <c r="CF16" s="627"/>
      <c r="CG16" s="625" t="n">
        <f aca="false">'Cuenta Ahorro-Inversión-Financi'!BZ16+'Cuenta Ahorro-Inversión-Financi'!AX16</f>
        <v>19123449.24406</v>
      </c>
      <c r="CH16" s="625" t="n">
        <v>2394073.59176</v>
      </c>
      <c r="CI16" s="625"/>
      <c r="CJ16" s="625" t="n">
        <f aca="false">1300825337.34/1000</f>
        <v>1300825.33734</v>
      </c>
      <c r="CK16" s="625" t="n">
        <f aca="false">668539287.47/1000</f>
        <v>668539.28747</v>
      </c>
      <c r="CL16" s="625" t="n">
        <f aca="false">(1052557742.67+40690511.75)/1000-CK16</f>
        <v>424708.96695</v>
      </c>
      <c r="CM16" s="625"/>
      <c r="CN16" s="625"/>
      <c r="CO16" s="625" t="n">
        <f aca="false">'Cuenta Ahorro-Inversión-Financi'!F16-'Cuenta Ahorro-Inversión-Financi'!AX16</f>
        <v>-3605428.63272</v>
      </c>
      <c r="CP16" s="627" t="n">
        <f aca="false">'Cuenta Ahorro-Inversión-Financi'!CO16+'Cuenta Ahorro-Inversión-Financi'!AD16-'Cuenta Ahorro-Inversión-Financi'!BZ16</f>
        <v>-3527600.60013</v>
      </c>
      <c r="CQ16" s="627" t="n">
        <f aca="false">'Cuenta Ahorro-Inversión-Financi'!T16-'Cuenta Ahorro-Inversión-Financi'!BF16-'Cuenta Ahorro-Inversión-Financi'!BR16</f>
        <v>-7661950.74362</v>
      </c>
      <c r="CR16" s="627" t="n">
        <f aca="false">'Cuenta Ahorro-Inversión-Financi'!F16-'Cuenta Ahorro-Inversión-Financi'!BF16-'Cuenta Ahorro-Inversión-Financi'!BR16-'Cuenta Ahorro-Inversión-Financi'!X16</f>
        <v>-966999.984150002</v>
      </c>
      <c r="CS16" s="627"/>
      <c r="CT16" s="634" t="s">
        <v>885</v>
      </c>
      <c r="CU16" s="634"/>
      <c r="CW16" s="600" t="n">
        <v>2001</v>
      </c>
      <c r="CX16" s="605" t="n">
        <f aca="false">'PIB corriente base 1993'!V73*1000</f>
        <v>263330588.686953</v>
      </c>
      <c r="CY16" s="605" t="n">
        <f aca="false">'PIB corriente base 1993'!V74*1000</f>
        <v>288026075.229806</v>
      </c>
      <c r="CZ16" s="605" t="n">
        <f aca="false">'PIB corriente base 1993'!V75*1000</f>
        <v>271367227.09886</v>
      </c>
      <c r="DA16" s="605" t="n">
        <f aca="false">'PIB corriente base 1993'!V76*1000</f>
        <v>252062944.321547</v>
      </c>
      <c r="DB16" s="606" t="n">
        <f aca="false">'PIB corriente base 1993'!V16*1000</f>
        <v>268696708.834292</v>
      </c>
      <c r="DC16" s="607"/>
      <c r="DD16" s="605"/>
      <c r="DE16" s="605"/>
      <c r="DF16" s="605"/>
      <c r="DG16" s="608"/>
      <c r="DI16" s="1" t="n">
        <v>2009</v>
      </c>
      <c r="DJ16" s="453" t="n">
        <v>20561471</v>
      </c>
      <c r="DK16" s="456" t="n">
        <f aca="false">'Cuenta Ahorro-Inversión-Financi'!DJ16/1000/'PIB corriente base 2004'!X13</f>
        <v>0.0164764714731884</v>
      </c>
      <c r="DL16" s="28" t="n">
        <v>11102856.8612</v>
      </c>
      <c r="DM16" s="456" t="n">
        <f aca="false">'Cuenta Ahorro-Inversión-Financi'!DL16/1000/'PIB corriente base 2004'!X13</f>
        <v>0.00889702416448981</v>
      </c>
      <c r="DO16" s="1" t="n">
        <f aca="false">DO15+1</f>
        <v>2015</v>
      </c>
      <c r="DP16" s="1" t="n">
        <v>664029000</v>
      </c>
      <c r="DQ16" s="28" t="n">
        <f aca="false">X31</f>
        <v>53180983.23675</v>
      </c>
      <c r="DR16" s="456" t="n">
        <f aca="false">DP16/DG30</f>
        <v>0.111516967830284</v>
      </c>
      <c r="DS16" s="456" t="n">
        <f aca="false">DQ16/DG30</f>
        <v>0.00893120932488722</v>
      </c>
      <c r="DT16" s="456" t="n">
        <f aca="false">DQ16/DP15</f>
        <v>0.112608351744783</v>
      </c>
      <c r="DV16" s="456" t="n">
        <f aca="false">DP16/DF30</f>
        <v>0.101345358395663</v>
      </c>
      <c r="DW16" s="456" t="n">
        <f aca="false">DQ16/DF30</f>
        <v>0.00811658196548976</v>
      </c>
      <c r="DX16" s="456" t="n">
        <f aca="false">(DF30-DF29)/DF29</f>
        <v>0.307665159822634</v>
      </c>
      <c r="DY16" s="456" t="n">
        <f aca="false">(DP16-DP15)/DP15</f>
        <v>0.406051687082464</v>
      </c>
    </row>
    <row r="17" customFormat="false" ht="15.75" hidden="false" customHeight="true" outlineLevel="0" collapsed="false">
      <c r="B17" s="456" t="n">
        <f aca="false">'Cuenta Ahorro-Inversión-Financi'!G17/'Cuenta Ahorro-Inversión-Financi'!F17</f>
        <v>0.419197675568423</v>
      </c>
      <c r="C17" s="456" t="n">
        <f aca="false">'Cuenta Ahorro-Inversión-Financi'!T17/'Cuenta Ahorro-Inversión-Financi'!F17</f>
        <v>0.577757117509731</v>
      </c>
      <c r="E17" s="609" t="n">
        <v>2001</v>
      </c>
      <c r="F17" s="610" t="n">
        <f aca="false">'Cuenta Ahorro-Inversión-Financi'!G17+'Cuenta Ahorro-Inversión-Financi'!S17+'Cuenta Ahorro-Inversión-Financi'!T17+'Cuenta Ahorro-Inversión-Financi'!X17</f>
        <v>13647956.7355</v>
      </c>
      <c r="G17" s="611" t="n">
        <f aca="false">'Cuenta Ahorro-Inversión-Financi'!H17+'Cuenta Ahorro-Inversión-Financi'!I17+'Cuenta Ahorro-Inversión-Financi'!J17+'Cuenta Ahorro-Inversión-Financi'!P17</f>
        <v>5721191.73978</v>
      </c>
      <c r="H17" s="612" t="n">
        <v>1994592.07047</v>
      </c>
      <c r="I17" s="612" t="n">
        <v>29957.94429</v>
      </c>
      <c r="J17" s="612" t="n">
        <v>3262688.22432</v>
      </c>
      <c r="K17" s="613" t="n">
        <f aca="false">IVA!AU31</f>
        <v>1582734.84789566</v>
      </c>
      <c r="L17" s="613" t="n">
        <f aca="false">'Cuenta Ahorro-Inversión-Financi'!M17+'Cuenta Ahorro-Inversión-Financi'!N17</f>
        <v>1739519.1815753</v>
      </c>
      <c r="M17" s="613" t="n">
        <f aca="false">IVA!AU116</f>
        <v>1357144.43681</v>
      </c>
      <c r="N17" s="613" t="n">
        <f aca="false">IVA!AU150</f>
        <v>382374.7447653</v>
      </c>
      <c r="O17" s="613"/>
      <c r="P17" s="612" t="n">
        <v>433953.5007</v>
      </c>
      <c r="Q17" s="612" t="n">
        <f aca="false">IVA!AU99</f>
        <v>225853.29969</v>
      </c>
      <c r="R17" s="612" t="n">
        <f aca="false">IVA!AU167*0.7</f>
        <v>213002.63159</v>
      </c>
      <c r="S17" s="612" t="n">
        <v>41217.05386</v>
      </c>
      <c r="T17" s="610" t="n">
        <f aca="false">'Cuenta Ahorro-Inversión-Financi'!U17+'Cuenta Ahorro-Inversión-Financi'!V17</f>
        <v>7885204.1434</v>
      </c>
      <c r="U17" s="612" t="n">
        <v>6415367.59116</v>
      </c>
      <c r="V17" s="612" t="n">
        <v>1469836.55224</v>
      </c>
      <c r="W17" s="612"/>
      <c r="X17" s="612" t="n">
        <f aca="false">'Cuenta Ahorro-Inversión-Financi'!Y17+'Cuenta Ahorro-Inversión-Financi'!Z17</f>
        <v>343.79846</v>
      </c>
      <c r="Y17" s="612" t="n">
        <v>343.79846</v>
      </c>
      <c r="Z17" s="612"/>
      <c r="AA17" s="612"/>
      <c r="AB17" s="612"/>
      <c r="AC17" s="612"/>
      <c r="AD17" s="610" t="n">
        <f aca="false">'Cuenta Ahorro-Inversión-Financi'!AE17+'Cuenta Ahorro-Inversión-Financi'!AF17</f>
        <v>4777.7691</v>
      </c>
      <c r="AE17" s="612" t="n">
        <v>4777.7691</v>
      </c>
      <c r="AF17" s="612"/>
      <c r="AG17" s="610" t="n">
        <f aca="false">'Cuenta Ahorro-Inversión-Financi'!AD17+'Cuenta Ahorro-Inversión-Financi'!F17</f>
        <v>13652734.5046</v>
      </c>
      <c r="AH17" s="610" t="n">
        <v>6487130.574</v>
      </c>
      <c r="AI17" s="613" t="n">
        <f aca="false">'Cálculo masa impuestos copartic'!U13*1000</f>
        <v>3343942.45631307</v>
      </c>
      <c r="AJ17" s="613"/>
      <c r="AK17" s="613"/>
      <c r="AL17" s="613"/>
      <c r="AM17" s="613"/>
      <c r="AN17" s="612" t="n">
        <f aca="false">'Cuenta Ahorro-Inversión-Financi'!AH17-('Cuenta Ahorro-Inversión-Financi'!AI17+'Cuenta Ahorro-Inversión-Financi'!AK17+'Cuenta Ahorro-Inversión-Financi'!AL17+'Cuenta Ahorro-Inversión-Financi'!AM17)</f>
        <v>3143188.11768693</v>
      </c>
      <c r="AO17" s="612" t="n">
        <f aca="false">'Cuenta Ahorro-Inversión-Financi'!AI17-'Cuenta Ahorro-Inversión-Financi'!CH17</f>
        <v>1058361.64307307</v>
      </c>
      <c r="AP17" s="612" t="n">
        <f aca="false">'Cuenta Ahorro-Inversión-Financi'!AO17</f>
        <v>1058361.64307307</v>
      </c>
      <c r="AQ17" s="635" t="s">
        <v>884</v>
      </c>
      <c r="AR17" s="635"/>
      <c r="AS17" s="635"/>
      <c r="AT17" s="615"/>
      <c r="AU17" s="615"/>
      <c r="AV17" s="615"/>
      <c r="AW17" s="631" t="n">
        <v>2001</v>
      </c>
      <c r="AX17" s="617" t="n">
        <f aca="false">'Cuenta Ahorro-Inversión-Financi'!AY17+'Cuenta Ahorro-Inversión-Financi'!BC17+'Cuenta Ahorro-Inversión-Financi'!BF17+'Cuenta Ahorro-Inversión-Financi'!BX17</f>
        <v>17999214.21093</v>
      </c>
      <c r="AY17" s="620" t="n">
        <f aca="false">'Cuenta Ahorro-Inversión-Financi'!AZ17+'Cuenta Ahorro-Inversión-Financi'!BA17</f>
        <v>184976.21637</v>
      </c>
      <c r="AZ17" s="618" t="n">
        <v>125278.75</v>
      </c>
      <c r="BA17" s="618" t="n">
        <v>59697.46637</v>
      </c>
      <c r="BB17" s="618"/>
      <c r="BC17" s="618" t="n">
        <v>19.415</v>
      </c>
      <c r="BD17" s="618"/>
      <c r="BE17" s="618"/>
      <c r="BF17" s="617" t="n">
        <v>14112362.47576</v>
      </c>
      <c r="BG17" s="617"/>
      <c r="BH17" s="617"/>
      <c r="BI17" s="618"/>
      <c r="BJ17" s="618"/>
      <c r="BK17" s="618"/>
      <c r="BL17" s="618"/>
      <c r="BM17" s="618" t="n">
        <v>0.26332</v>
      </c>
      <c r="BN17" s="618" t="n">
        <v>3701856.1038</v>
      </c>
      <c r="BO17" s="619" t="n">
        <v>3559464.31316</v>
      </c>
      <c r="BP17" s="619" t="n">
        <v>142265.99523</v>
      </c>
      <c r="BQ17" s="619" t="n">
        <v>125.79541</v>
      </c>
      <c r="BR17" s="619" t="n">
        <v>1670406.61644</v>
      </c>
      <c r="BS17" s="619" t="n">
        <v>2031449.48736</v>
      </c>
      <c r="BT17" s="618"/>
      <c r="BU17" s="618"/>
      <c r="BV17" s="618"/>
      <c r="BW17" s="618"/>
      <c r="BX17" s="618" t="n">
        <f aca="false">'Cuenta Ahorro-Inversión-Financi'!BN17-'Cuenta Ahorro-Inversión-Financi'!BV17-'Cuenta Ahorro-Inversión-Financi'!BW17</f>
        <v>3701856.1038</v>
      </c>
      <c r="BY17" s="619" t="n">
        <v>2173864.078</v>
      </c>
      <c r="BZ17" s="617" t="n">
        <f aca="false">'Cuenta Ahorro-Inversión-Financi'!CA17+'Cuenta Ahorro-Inversión-Financi'!CB17</f>
        <v>4323.76657</v>
      </c>
      <c r="CA17" s="618" t="n">
        <v>4323.76657</v>
      </c>
      <c r="CB17" s="618"/>
      <c r="CC17" s="618"/>
      <c r="CD17" s="618"/>
      <c r="CE17" s="618"/>
      <c r="CF17" s="618"/>
      <c r="CG17" s="617" t="n">
        <f aca="false">'Cuenta Ahorro-Inversión-Financi'!BZ17+'Cuenta Ahorro-Inversión-Financi'!AX17</f>
        <v>18003537.9775</v>
      </c>
      <c r="CH17" s="617" t="n">
        <v>2285580.81324</v>
      </c>
      <c r="CI17" s="617"/>
      <c r="CJ17" s="617" t="n">
        <f aca="false">1232567647.49/1000</f>
        <v>1232567.64749</v>
      </c>
      <c r="CK17" s="617" t="n">
        <f aca="false">678337147.87/1000</f>
        <v>678337.14787</v>
      </c>
      <c r="CL17" s="617" t="n">
        <f aca="false">(1014164460.62+38848705.13)/1000-CK17</f>
        <v>374676.01788</v>
      </c>
      <c r="CM17" s="617"/>
      <c r="CN17" s="617"/>
      <c r="CO17" s="617" t="n">
        <f aca="false">'Cuenta Ahorro-Inversión-Financi'!F17-'Cuenta Ahorro-Inversión-Financi'!AX17</f>
        <v>-4351257.47543</v>
      </c>
      <c r="CP17" s="618" t="n">
        <f aca="false">'Cuenta Ahorro-Inversión-Financi'!CO17+'Cuenta Ahorro-Inversión-Financi'!AD17-'Cuenta Ahorro-Inversión-Financi'!BZ17</f>
        <v>-4350803.4729</v>
      </c>
      <c r="CQ17" s="618" t="n">
        <f aca="false">'Cuenta Ahorro-Inversión-Financi'!T17-'Cuenta Ahorro-Inversión-Financi'!BF17-'Cuenta Ahorro-Inversión-Financi'!BR17</f>
        <v>-7897564.9488</v>
      </c>
      <c r="CR17" s="618" t="n">
        <f aca="false">'Cuenta Ahorro-Inversión-Financi'!F17-'Cuenta Ahorro-Inversión-Financi'!BF17-'Cuenta Ahorro-Inversión-Financi'!BR17-'Cuenta Ahorro-Inversión-Financi'!X17</f>
        <v>-2135156.15516</v>
      </c>
      <c r="CS17" s="618"/>
      <c r="CT17" s="637" t="s">
        <v>885</v>
      </c>
      <c r="CU17" s="637"/>
      <c r="CW17" s="600" t="n">
        <v>2002</v>
      </c>
      <c r="CX17" s="98" t="n">
        <f aca="false">'PIB corriente base 1993'!V77*1000</f>
        <v>237056719.888918</v>
      </c>
      <c r="CY17" s="98" t="n">
        <f aca="false">'PIB corriente base 1993'!V78*1000</f>
        <v>339008201.679561</v>
      </c>
      <c r="CZ17" s="98" t="n">
        <f aca="false">'PIB corriente base 1993'!V79*1000</f>
        <v>334006230.849009</v>
      </c>
      <c r="DA17" s="98" t="n">
        <f aca="false">'PIB corriente base 1993'!V80*1000</f>
        <v>340249423.023982</v>
      </c>
      <c r="DB17" s="622" t="n">
        <f aca="false">'PIB corriente base 1993'!V17*1000</f>
        <v>312580143.860367</v>
      </c>
      <c r="DC17" s="623"/>
      <c r="DD17" s="98"/>
      <c r="DE17" s="98"/>
      <c r="DF17" s="98"/>
      <c r="DG17" s="624"/>
      <c r="DI17" s="1" t="n">
        <v>2010</v>
      </c>
      <c r="DJ17" s="453" t="n">
        <v>26884733</v>
      </c>
      <c r="DK17" s="456" t="n">
        <f aca="false">'Cuenta Ahorro-Inversión-Financi'!DJ17/1000/'PIB corriente base 2004'!X14</f>
        <v>0.0161788496372926</v>
      </c>
      <c r="DL17" s="28" t="n">
        <v>15263717.30188</v>
      </c>
      <c r="DM17" s="456" t="n">
        <f aca="false">'Cuenta Ahorro-Inversión-Financi'!DL17/1000/'PIB corriente base 2004'!X14</f>
        <v>0.00918548780578398</v>
      </c>
      <c r="DO17" s="1" t="n">
        <f aca="false">DO16+1</f>
        <v>2016</v>
      </c>
      <c r="DP17" s="1" t="n">
        <v>875380000</v>
      </c>
      <c r="DQ17" s="28" t="n">
        <f aca="false">X32</f>
        <v>72470214.43759</v>
      </c>
      <c r="DR17" s="456" t="n">
        <f aca="false">DP17/DG31</f>
        <v>0.106388311260275</v>
      </c>
      <c r="DS17" s="456" t="n">
        <f aca="false">DQ17/DG31</f>
        <v>0.00880758496959625</v>
      </c>
      <c r="DT17" s="456" t="n">
        <f aca="false">DQ17/DP16</f>
        <v>0.109137122682277</v>
      </c>
      <c r="DU17" s="456" t="n">
        <f aca="false">AVERAGE(DT15:DT18)</f>
        <v>0.11605552595328</v>
      </c>
      <c r="DV17" s="456" t="n">
        <f aca="false">DP17/DF31</f>
        <v>0.0976571578000756</v>
      </c>
      <c r="DW17" s="456" t="n">
        <f aca="false">DQ17/DF31</f>
        <v>0.0080847576676838</v>
      </c>
      <c r="DX17" s="456" t="n">
        <f aca="false">(DF31-DF30)/DF30</f>
        <v>0.368073264176837</v>
      </c>
      <c r="DY17" s="456" t="n">
        <f aca="false">(DP17-DP16)/DP16</f>
        <v>0.318285797758833</v>
      </c>
    </row>
    <row r="18" customFormat="false" ht="15.75" hidden="false" customHeight="true" outlineLevel="0" collapsed="false">
      <c r="B18" s="456" t="n">
        <f aca="false">'Cuenta Ahorro-Inversión-Financi'!G18/'Cuenta Ahorro-Inversión-Financi'!F18</f>
        <v>0.400248984048122</v>
      </c>
      <c r="C18" s="456" t="n">
        <f aca="false">'Cuenta Ahorro-Inversión-Financi'!T18/'Cuenta Ahorro-Inversión-Financi'!F18</f>
        <v>0.598997837472964</v>
      </c>
      <c r="E18" s="609" t="n">
        <v>2002</v>
      </c>
      <c r="F18" s="625" t="n">
        <f aca="false">'Cuenta Ahorro-Inversión-Financi'!G18+'Cuenta Ahorro-Inversión-Financi'!S18+'Cuenta Ahorro-Inversión-Financi'!T18+'Cuenta Ahorro-Inversión-Financi'!X18+'Cuenta Ahorro-Inversión-Financi'!AA18</f>
        <v>13308284.57081</v>
      </c>
      <c r="G18" s="626" t="n">
        <f aca="false">'Cuenta Ahorro-Inversión-Financi'!H18+'Cuenta Ahorro-Inversión-Financi'!I18+'Cuenta Ahorro-Inversión-Financi'!J18+'Cuenta Ahorro-Inversión-Financi'!P18</f>
        <v>5326627.37889</v>
      </c>
      <c r="H18" s="632" t="n">
        <v>1721480.99196</v>
      </c>
      <c r="I18" s="632" t="n">
        <v>30695.48811</v>
      </c>
      <c r="J18" s="632" t="n">
        <v>3233264.40289</v>
      </c>
      <c r="K18" s="633" t="n">
        <f aca="false">IVA!AU32</f>
        <v>1571513.88819431</v>
      </c>
      <c r="L18" s="633" t="n">
        <f aca="false">'Cuenta Ahorro-Inversión-Financi'!M18+'Cuenta Ahorro-Inversión-Financi'!N18</f>
        <v>1808967.1664198</v>
      </c>
      <c r="M18" s="633" t="n">
        <f aca="false">IVA!AU117</f>
        <v>1456486.78613</v>
      </c>
      <c r="N18" s="633" t="n">
        <f aca="false">IVA!AU151</f>
        <v>352480.3802898</v>
      </c>
      <c r="O18" s="633"/>
      <c r="P18" s="632" t="n">
        <v>341186.49593</v>
      </c>
      <c r="Q18" s="632" t="n">
        <f aca="false">IVA!AU100</f>
        <v>217634.09198</v>
      </c>
      <c r="R18" s="632" t="n">
        <f aca="false">IVA!AU168*0.7</f>
        <v>161900.70904</v>
      </c>
      <c r="S18" s="632" t="n">
        <v>4589.50749</v>
      </c>
      <c r="T18" s="625" t="n">
        <f aca="false">'Cuenta Ahorro-Inversión-Financi'!U18+'Cuenta Ahorro-Inversión-Financi'!V18</f>
        <v>7971633.67839</v>
      </c>
      <c r="U18" s="632" t="n">
        <v>6392638.92665</v>
      </c>
      <c r="V18" s="632" t="n">
        <v>1578994.75174</v>
      </c>
      <c r="W18" s="632"/>
      <c r="X18" s="632" t="n">
        <f aca="false">'Cuenta Ahorro-Inversión-Financi'!Y18+'Cuenta Ahorro-Inversión-Financi'!Z18</f>
        <v>5371.0926</v>
      </c>
      <c r="Y18" s="632" t="n">
        <v>5371.0926</v>
      </c>
      <c r="Z18" s="632"/>
      <c r="AA18" s="632" t="n">
        <v>62.91344</v>
      </c>
      <c r="AB18" s="632"/>
      <c r="AC18" s="632"/>
      <c r="AD18" s="625" t="n">
        <f aca="false">'Cuenta Ahorro-Inversión-Financi'!AE18+'Cuenta Ahorro-Inversión-Financi'!AF18</f>
        <v>4387.15118</v>
      </c>
      <c r="AE18" s="632" t="n">
        <v>4387.15118</v>
      </c>
      <c r="AF18" s="632"/>
      <c r="AG18" s="625" t="n">
        <f aca="false">'Cuenta Ahorro-Inversión-Financi'!AD18+'Cuenta Ahorro-Inversión-Financi'!F18</f>
        <v>13312671.72199</v>
      </c>
      <c r="AH18" s="629" t="n">
        <v>7316819.886</v>
      </c>
      <c r="AI18" s="628" t="n">
        <f aca="false">'Cálculo masa impuestos copartic'!U14*1000</f>
        <v>3012321.73270982</v>
      </c>
      <c r="AJ18" s="628"/>
      <c r="AK18" s="628"/>
      <c r="AL18" s="628"/>
      <c r="AM18" s="628"/>
      <c r="AN18" s="627" t="n">
        <f aca="false">'Cuenta Ahorro-Inversión-Financi'!AH18-('Cuenta Ahorro-Inversión-Financi'!AI18+'Cuenta Ahorro-Inversión-Financi'!AK18+'Cuenta Ahorro-Inversión-Financi'!AL18+'Cuenta Ahorro-Inversión-Financi'!AM18)</f>
        <v>4304498.15329018</v>
      </c>
      <c r="AO18" s="627" t="n">
        <f aca="false">'Cuenta Ahorro-Inversión-Financi'!AI18-'Cuenta Ahorro-Inversión-Financi'!CH18</f>
        <v>887174.37547982</v>
      </c>
      <c r="AP18" s="627" t="n">
        <f aca="false">'Cuenta Ahorro-Inversión-Financi'!AO18</f>
        <v>887174.37547982</v>
      </c>
      <c r="AQ18" s="630" t="s">
        <v>886</v>
      </c>
      <c r="AR18" s="630"/>
      <c r="AS18" s="630"/>
      <c r="AT18" s="615"/>
      <c r="AU18" s="615"/>
      <c r="AV18" s="615"/>
      <c r="AW18" s="631" t="n">
        <v>2002</v>
      </c>
      <c r="AX18" s="625" t="n">
        <f aca="false">'Cuenta Ahorro-Inversión-Financi'!AY18+'Cuenta Ahorro-Inversión-Financi'!BC18+'Cuenta Ahorro-Inversión-Financi'!BF18+'Cuenta Ahorro-Inversión-Financi'!BX18</f>
        <v>18302999.50723</v>
      </c>
      <c r="AY18" s="627" t="n">
        <f aca="false">'Cuenta Ahorro-Inversión-Financi'!AZ18+'Cuenta Ahorro-Inversión-Financi'!BA18</f>
        <v>210715.14495</v>
      </c>
      <c r="AZ18" s="627" t="n">
        <v>148282.41964</v>
      </c>
      <c r="BA18" s="627" t="n">
        <v>62432.72531</v>
      </c>
      <c r="BB18" s="627"/>
      <c r="BC18" s="627"/>
      <c r="BD18" s="627"/>
      <c r="BE18" s="627"/>
      <c r="BF18" s="625" t="n">
        <v>13860479.61076</v>
      </c>
      <c r="BG18" s="625"/>
      <c r="BH18" s="625"/>
      <c r="BI18" s="625"/>
      <c r="BJ18" s="625"/>
      <c r="BK18" s="625"/>
      <c r="BL18" s="625"/>
      <c r="BM18" s="627"/>
      <c r="BN18" s="627" t="n">
        <v>4231804.75152</v>
      </c>
      <c r="BO18" s="628" t="n">
        <v>3926557.39812</v>
      </c>
      <c r="BP18" s="628" t="n">
        <v>305172.4734</v>
      </c>
      <c r="BQ18" s="628" t="n">
        <v>74.88</v>
      </c>
      <c r="BR18" s="628" t="n">
        <v>2121143.08549</v>
      </c>
      <c r="BS18" s="628" t="n">
        <v>1911661.88117</v>
      </c>
      <c r="BT18" s="627"/>
      <c r="BU18" s="628" t="n">
        <v>198999.78486</v>
      </c>
      <c r="BV18" s="628"/>
      <c r="BW18" s="628"/>
      <c r="BX18" s="628" t="n">
        <f aca="false">'Cuenta Ahorro-Inversión-Financi'!BN18-'Cuenta Ahorro-Inversión-Financi'!BV18-'Cuenta Ahorro-Inversión-Financi'!BW18</f>
        <v>4231804.75152</v>
      </c>
      <c r="BY18" s="628" t="n">
        <v>2416072.51943</v>
      </c>
      <c r="BZ18" s="625" t="n">
        <f aca="false">'Cuenta Ahorro-Inversión-Financi'!CA18+'Cuenta Ahorro-Inversión-Financi'!CB18</f>
        <v>1669.1997</v>
      </c>
      <c r="CA18" s="627" t="n">
        <v>1669.1997</v>
      </c>
      <c r="CB18" s="627"/>
      <c r="CC18" s="627"/>
      <c r="CD18" s="627"/>
      <c r="CE18" s="627"/>
      <c r="CF18" s="627"/>
      <c r="CG18" s="625" t="n">
        <f aca="false">'Cuenta Ahorro-Inversión-Financi'!BZ18+'Cuenta Ahorro-Inversión-Financi'!AX18</f>
        <v>18304668.70693</v>
      </c>
      <c r="CH18" s="625" t="n">
        <v>2125147.35723</v>
      </c>
      <c r="CI18" s="625"/>
      <c r="CJ18" s="625" t="n">
        <f aca="false">1228490334.47/1000</f>
        <v>1228490.33447</v>
      </c>
      <c r="CK18" s="625" t="n">
        <f aca="false">599173218.95/1000</f>
        <v>599173.21895</v>
      </c>
      <c r="CL18" s="625" t="n">
        <f aca="false">(6841.32+896650181.44)/1000-CK18</f>
        <v>297483.80381</v>
      </c>
      <c r="CM18" s="625"/>
      <c r="CN18" s="625"/>
      <c r="CO18" s="625" t="n">
        <f aca="false">'Cuenta Ahorro-Inversión-Financi'!F18-'Cuenta Ahorro-Inversión-Financi'!AX18</f>
        <v>-4994714.93642</v>
      </c>
      <c r="CP18" s="627" t="n">
        <f aca="false">'Cuenta Ahorro-Inversión-Financi'!CO18+'Cuenta Ahorro-Inversión-Financi'!AD18-'Cuenta Ahorro-Inversión-Financi'!BZ18</f>
        <v>-4991996.98494</v>
      </c>
      <c r="CQ18" s="627" t="n">
        <f aca="false">'Cuenta Ahorro-Inversión-Financi'!T18-'Cuenta Ahorro-Inversión-Financi'!BF18-'Cuenta Ahorro-Inversión-Financi'!BR18</f>
        <v>-8009989.01786</v>
      </c>
      <c r="CR18" s="627" t="n">
        <f aca="false">'Cuenta Ahorro-Inversión-Financi'!F18-'Cuenta Ahorro-Inversión-Financi'!BF18-'Cuenta Ahorro-Inversión-Financi'!BR18-'Cuenta Ahorro-Inversión-Financi'!X18</f>
        <v>-2678709.21804</v>
      </c>
      <c r="CS18" s="627"/>
      <c r="CT18" s="634" t="s">
        <v>887</v>
      </c>
      <c r="CU18" s="634"/>
      <c r="CW18" s="600" t="n">
        <v>2003</v>
      </c>
      <c r="CX18" s="605" t="n">
        <f aca="false">'PIB corriente base 1993'!V81*1000</f>
        <v>327361767.059957</v>
      </c>
      <c r="CY18" s="605" t="n">
        <f aca="false">'PIB corriente base 1993'!V82*1000</f>
        <v>399118836.681335</v>
      </c>
      <c r="CZ18" s="605" t="n">
        <f aca="false">'PIB corriente base 1993'!V83*1000</f>
        <v>377887242.827428</v>
      </c>
      <c r="DA18" s="605" t="n">
        <f aca="false">'PIB corriente base 1993'!V84*1000</f>
        <v>399269599.017877</v>
      </c>
      <c r="DB18" s="606" t="n">
        <f aca="false">'PIB corriente base 1993'!V18*1000</f>
        <v>375909361.396649</v>
      </c>
      <c r="DC18" s="607"/>
      <c r="DD18" s="605"/>
      <c r="DE18" s="605"/>
      <c r="DF18" s="605"/>
      <c r="DG18" s="608"/>
      <c r="DI18" s="1" t="n">
        <v>2011</v>
      </c>
      <c r="DJ18" s="453" t="n">
        <v>36179425</v>
      </c>
      <c r="DK18" s="456" t="n">
        <f aca="false">'Cuenta Ahorro-Inversión-Financi'!DJ18/1000/'PIB corriente base 2004'!X15</f>
        <v>0.0166034992177078</v>
      </c>
      <c r="DL18" s="28" t="n">
        <v>21562243.17099</v>
      </c>
      <c r="DM18" s="456" t="n">
        <f aca="false">'Cuenta Ahorro-Inversión-Financi'!DL18/1000/'PIB corriente base 2004'!X15</f>
        <v>0.00989536698334916</v>
      </c>
      <c r="DO18" s="1" t="n">
        <f aca="false">DO17+1</f>
        <v>2017</v>
      </c>
      <c r="DP18" s="1" t="n">
        <v>1202579000</v>
      </c>
      <c r="DQ18" s="28" t="n">
        <f aca="false">X33</f>
        <v>110276582.29881</v>
      </c>
      <c r="DR18" s="456" t="n">
        <f aca="false">DP18/DG32</f>
        <v>0.11297360167706</v>
      </c>
      <c r="DS18" s="456" t="n">
        <f aca="false">DQ18/DG32</f>
        <v>0.0103596875406384</v>
      </c>
      <c r="DT18" s="456" t="n">
        <f aca="false">DQ18/DP17</f>
        <v>0.125975670336094</v>
      </c>
      <c r="DU18" s="456" t="n">
        <f aca="false">AVERAGE(DT10:DT18)</f>
        <v>0.0952517571979457</v>
      </c>
      <c r="DV18" s="456" t="n">
        <f aca="false">DP18/DF32</f>
        <v>0.102788854147417</v>
      </c>
      <c r="DW18" s="456" t="n">
        <f aca="false">DQ18/DF32</f>
        <v>0.00942574544690034</v>
      </c>
      <c r="DX18" s="456" t="n">
        <f aca="false">(DF32-DF31)/DF31</f>
        <v>0.30519394845613</v>
      </c>
      <c r="DY18" s="456" t="n">
        <f aca="false">(DP18-DP17)/DP17</f>
        <v>0.373779387237543</v>
      </c>
      <c r="DZ18" s="456" t="n">
        <f aca="false">(DP18-DP10)/DP10</f>
        <v>7.86251802786738</v>
      </c>
      <c r="EA18" s="456" t="n">
        <f aca="false">(DF32-DF24)/DF24</f>
        <v>7.61391596899451</v>
      </c>
      <c r="EB18" s="456" t="n">
        <f aca="false">(DZ18-EA18)/EA18</f>
        <v>0.0326510116325462</v>
      </c>
    </row>
    <row r="19" customFormat="false" ht="15.75" hidden="false" customHeight="true" outlineLevel="0" collapsed="false">
      <c r="B19" s="456" t="n">
        <f aca="false">'Cuenta Ahorro-Inversión-Financi'!G19/'Cuenta Ahorro-Inversión-Financi'!F19</f>
        <v>0.490363966172183</v>
      </c>
      <c r="C19" s="456" t="n">
        <f aca="false">'Cuenta Ahorro-Inversión-Financi'!T19/'Cuenta Ahorro-Inversión-Financi'!F19</f>
        <v>0.507582078320783</v>
      </c>
      <c r="E19" s="609" t="n">
        <v>2003</v>
      </c>
      <c r="F19" s="610" t="n">
        <f aca="false">'Cuenta Ahorro-Inversión-Financi'!G19+'Cuenta Ahorro-Inversión-Financi'!S19+'Cuenta Ahorro-Inversión-Financi'!T19+'Cuenta Ahorro-Inversión-Financi'!X19+'Cuenta Ahorro-Inversión-Financi'!AA19</f>
        <v>15161823.34201</v>
      </c>
      <c r="G19" s="611" t="n">
        <f aca="false">'Cuenta Ahorro-Inversión-Financi'!H19+'Cuenta Ahorro-Inversión-Financi'!I19+'Cuenta Ahorro-Inversión-Financi'!J19+'Cuenta Ahorro-Inversión-Financi'!P19</f>
        <v>7434811.82839</v>
      </c>
      <c r="H19" s="612" t="n">
        <v>2926862.80533</v>
      </c>
      <c r="I19" s="612" t="n">
        <v>99812.00606</v>
      </c>
      <c r="J19" s="612" t="n">
        <v>3969022.0241</v>
      </c>
      <c r="K19" s="613" t="n">
        <f aca="false">IVA!AU33</f>
        <v>2159757.59570741</v>
      </c>
      <c r="L19" s="613" t="n">
        <f aca="false">'Cuenta Ahorro-Inversión-Financi'!M19+'Cuenta Ahorro-Inversión-Financi'!N19</f>
        <v>1866693.826383</v>
      </c>
      <c r="M19" s="613" t="n">
        <f aca="false">IVA!AU118</f>
        <v>1528781.16648</v>
      </c>
      <c r="N19" s="613" t="n">
        <f aca="false">IVA!AU152</f>
        <v>337912.659903</v>
      </c>
      <c r="O19" s="613"/>
      <c r="P19" s="612" t="n">
        <v>439114.9929</v>
      </c>
      <c r="Q19" s="612" t="n">
        <f aca="false">IVA!AU101</f>
        <v>256304.73254</v>
      </c>
      <c r="R19" s="612" t="n">
        <f aca="false">IVA!AU169*0.7</f>
        <v>206266.978848</v>
      </c>
      <c r="S19" s="612" t="n">
        <v>29015.75369</v>
      </c>
      <c r="T19" s="610" t="n">
        <f aca="false">'Cuenta Ahorro-Inversión-Financi'!U19+'Cuenta Ahorro-Inversión-Financi'!V19</f>
        <v>7695869.80307</v>
      </c>
      <c r="U19" s="612" t="n">
        <v>7354693.92752</v>
      </c>
      <c r="V19" s="612" t="n">
        <v>341175.87555</v>
      </c>
      <c r="W19" s="612"/>
      <c r="X19" s="612" t="n">
        <f aca="false">'Cuenta Ahorro-Inversión-Financi'!Y19+'Cuenta Ahorro-Inversión-Financi'!Z19</f>
        <v>2052.35573</v>
      </c>
      <c r="Y19" s="612" t="n">
        <v>2052.35573</v>
      </c>
      <c r="Z19" s="612"/>
      <c r="AA19" s="612" t="n">
        <v>73.60113</v>
      </c>
      <c r="AB19" s="612"/>
      <c r="AC19" s="612"/>
      <c r="AD19" s="610" t="n">
        <f aca="false">'Cuenta Ahorro-Inversión-Financi'!AE19+'Cuenta Ahorro-Inversión-Financi'!AF19</f>
        <v>1414.75932</v>
      </c>
      <c r="AE19" s="612" t="n">
        <v>1414.73632</v>
      </c>
      <c r="AF19" s="612" t="n">
        <v>0.023</v>
      </c>
      <c r="AG19" s="610" t="n">
        <f aca="false">'Cuenta Ahorro-Inversión-Financi'!AD19+'Cuenta Ahorro-Inversión-Financi'!F19</f>
        <v>15163238.10133</v>
      </c>
      <c r="AH19" s="610" t="n">
        <v>7420910.727</v>
      </c>
      <c r="AI19" s="613" t="n">
        <f aca="false">'Cálculo masa impuestos copartic'!U15*1000</f>
        <v>4436735.16197493</v>
      </c>
      <c r="AJ19" s="613"/>
      <c r="AK19" s="613"/>
      <c r="AL19" s="613"/>
      <c r="AM19" s="613"/>
      <c r="AN19" s="612" t="n">
        <f aca="false">'Cuenta Ahorro-Inversión-Financi'!AH19-('Cuenta Ahorro-Inversión-Financi'!AI19+'Cuenta Ahorro-Inversión-Financi'!AK19+'Cuenta Ahorro-Inversión-Financi'!AL19+'Cuenta Ahorro-Inversión-Financi'!AM19)</f>
        <v>2984175.56502507</v>
      </c>
      <c r="AO19" s="612" t="n">
        <f aca="false">'Cuenta Ahorro-Inversión-Financi'!AI19-'Cuenta Ahorro-Inversión-Financi'!CH19</f>
        <v>1881989.18451493</v>
      </c>
      <c r="AP19" s="612" t="n">
        <f aca="false">'Cuenta Ahorro-Inversión-Financi'!AO19</f>
        <v>1881989.18451493</v>
      </c>
      <c r="AQ19" s="635" t="s">
        <v>886</v>
      </c>
      <c r="AR19" s="635"/>
      <c r="AS19" s="635"/>
      <c r="AT19" s="615"/>
      <c r="AU19" s="615"/>
      <c r="AV19" s="615"/>
      <c r="AW19" s="631" t="n">
        <v>2003</v>
      </c>
      <c r="AX19" s="617" t="n">
        <f aca="false">'Cuenta Ahorro-Inversión-Financi'!AY19+'Cuenta Ahorro-Inversión-Financi'!BC19+'Cuenta Ahorro-Inversión-Financi'!BF19+'Cuenta Ahorro-Inversión-Financi'!BX19</f>
        <v>18895945.76522</v>
      </c>
      <c r="AY19" s="620" t="n">
        <f aca="false">'Cuenta Ahorro-Inversión-Financi'!AZ19+'Cuenta Ahorro-Inversión-Financi'!BA19</f>
        <v>256579.96757</v>
      </c>
      <c r="AZ19" s="618" t="n">
        <v>176440.61</v>
      </c>
      <c r="BA19" s="618" t="n">
        <v>80139.35757</v>
      </c>
      <c r="BB19" s="618"/>
      <c r="BC19" s="618" t="n">
        <v>4906.81067</v>
      </c>
      <c r="BD19" s="618"/>
      <c r="BE19" s="618"/>
      <c r="BF19" s="617" t="n">
        <v>15568477.88478</v>
      </c>
      <c r="BG19" s="617"/>
      <c r="BH19" s="617"/>
      <c r="BI19" s="618"/>
      <c r="BJ19" s="618"/>
      <c r="BK19" s="618"/>
      <c r="BL19" s="618"/>
      <c r="BM19" s="618"/>
      <c r="BN19" s="618" t="n">
        <v>3065981.1022</v>
      </c>
      <c r="BO19" s="619" t="n">
        <v>2556953.86847</v>
      </c>
      <c r="BP19" s="619" t="n">
        <v>508850.85291</v>
      </c>
      <c r="BQ19" s="619" t="n">
        <v>176.38082</v>
      </c>
      <c r="BR19" s="619" t="n">
        <v>2027023.9475</v>
      </c>
      <c r="BS19" s="619" t="n">
        <v>985262.73394</v>
      </c>
      <c r="BT19" s="618"/>
      <c r="BU19" s="619" t="n">
        <v>53694.42076</v>
      </c>
      <c r="BV19" s="619"/>
      <c r="BW19" s="619"/>
      <c r="BX19" s="619" t="n">
        <f aca="false">'Cuenta Ahorro-Inversión-Financi'!BN19-'Cuenta Ahorro-Inversión-Financi'!BV19-'Cuenta Ahorro-Inversión-Financi'!BW19</f>
        <v>3065981.1022</v>
      </c>
      <c r="BY19" s="619" t="n">
        <v>1547975.26261</v>
      </c>
      <c r="BZ19" s="617" t="n">
        <f aca="false">'Cuenta Ahorro-Inversión-Financi'!CA19+'Cuenta Ahorro-Inversión-Financi'!CB19</f>
        <v>5555.39094</v>
      </c>
      <c r="CA19" s="618" t="n">
        <v>5555.39094</v>
      </c>
      <c r="CB19" s="618"/>
      <c r="CC19" s="618"/>
      <c r="CD19" s="618"/>
      <c r="CE19" s="618"/>
      <c r="CF19" s="618"/>
      <c r="CG19" s="617" t="n">
        <f aca="false">'Cuenta Ahorro-Inversión-Financi'!BZ19+'Cuenta Ahorro-Inversión-Financi'!AX19</f>
        <v>18901501.15616</v>
      </c>
      <c r="CH19" s="617" t="n">
        <v>2554745.97746</v>
      </c>
      <c r="CI19" s="617"/>
      <c r="CJ19" s="617" t="n">
        <f aca="false">(1474624887.3+12056.52)/1000</f>
        <v>1474636.94382</v>
      </c>
      <c r="CK19" s="617" t="n">
        <f aca="false">687878694.59/1000</f>
        <v>687878.69459</v>
      </c>
      <c r="CL19" s="617" t="n">
        <f aca="false">(1068785361.64+11323672)/1000-CK19</f>
        <v>392230.33905</v>
      </c>
      <c r="CM19" s="617"/>
      <c r="CN19" s="617"/>
      <c r="CO19" s="617" t="n">
        <f aca="false">'Cuenta Ahorro-Inversión-Financi'!F19-'Cuenta Ahorro-Inversión-Financi'!AX19</f>
        <v>-3734122.42321</v>
      </c>
      <c r="CP19" s="618" t="n">
        <f aca="false">'Cuenta Ahorro-Inversión-Financi'!CO19+'Cuenta Ahorro-Inversión-Financi'!AD19-'Cuenta Ahorro-Inversión-Financi'!BZ19</f>
        <v>-3738263.05483</v>
      </c>
      <c r="CQ19" s="618" t="n">
        <f aca="false">'Cuenta Ahorro-Inversión-Financi'!T19-'Cuenta Ahorro-Inversión-Financi'!BF19-'Cuenta Ahorro-Inversión-Financi'!BN19</f>
        <v>-10938589.18391</v>
      </c>
      <c r="CR19" s="618" t="n">
        <f aca="false">'Cuenta Ahorro-Inversión-Financi'!F19-'Cuenta Ahorro-Inversión-Financi'!BF19-'Cuenta Ahorro-Inversión-Financi'!BN19-'Cuenta Ahorro-Inversión-Financi'!X19</f>
        <v>-3474688.0007</v>
      </c>
      <c r="CS19" s="618"/>
      <c r="CT19" s="637" t="s">
        <v>888</v>
      </c>
      <c r="CU19" s="637"/>
      <c r="CW19" s="600" t="n">
        <v>2004</v>
      </c>
      <c r="CX19" s="98" t="n">
        <f aca="false">'PIB corriente base 1993'!V85*1000</f>
        <v>392817429.996902</v>
      </c>
      <c r="CY19" s="98" t="n">
        <f aca="false">'PIB corriente base 1993'!V86*1000</f>
        <v>474213080.063172</v>
      </c>
      <c r="CZ19" s="98" t="n">
        <f aca="false">'PIB corriente base 1993'!V87*1000</f>
        <v>452079663.840847</v>
      </c>
      <c r="DA19" s="98" t="n">
        <f aca="false">'PIB corriente base 1993'!V88*1000</f>
        <v>471463528.666443</v>
      </c>
      <c r="DB19" s="622" t="n">
        <f aca="false">'PIB corriente base 1993'!V19*1000</f>
        <v>447643425.641841</v>
      </c>
      <c r="DC19" s="623" t="n">
        <f aca="false">'PIB corriente base 2004'!X40*1000</f>
        <v>439195865.000173</v>
      </c>
      <c r="DD19" s="98" t="n">
        <f aca="false">'PIB corriente base 2004'!X41*1000</f>
        <v>509498663.246883</v>
      </c>
      <c r="DE19" s="98" t="n">
        <f aca="false">'PIB corriente base 2004'!X42*1000</f>
        <v>488462382.591183</v>
      </c>
      <c r="DF19" s="98" t="n">
        <f aca="false">'PIB corriente base 2004'!X43*1000</f>
        <v>503303868.060779</v>
      </c>
      <c r="DG19" s="622" t="n">
        <f aca="false">('Cuenta Ahorro-Inversión-Financi'!DC19+'Cuenta Ahorro-Inversión-Financi'!DD19+'Cuenta Ahorro-Inversión-Financi'!DE19+'Cuenta Ahorro-Inversión-Financi'!DF19)/4</f>
        <v>485115194.724754</v>
      </c>
      <c r="DI19" s="1" t="n">
        <v>2012</v>
      </c>
      <c r="DJ19" s="453" t="n">
        <v>43931228</v>
      </c>
      <c r="DK19" s="456" t="n">
        <f aca="false">'Cuenta Ahorro-Inversión-Financi'!DJ19/1000/'PIB corriente base 2004'!X16</f>
        <v>0.0166537766309987</v>
      </c>
      <c r="DL19" s="28" t="n">
        <v>27594331.3664</v>
      </c>
      <c r="DM19" s="456" t="n">
        <f aca="false">'Cuenta Ahorro-Inversión-Financi'!DL19/1000/'PIB corriente base 2004'!X16</f>
        <v>0.0104606643560655</v>
      </c>
    </row>
    <row r="20" customFormat="false" ht="15.75" hidden="false" customHeight="true" outlineLevel="0" collapsed="false">
      <c r="B20" s="456" t="n">
        <f aca="false">'Cuenta Ahorro-Inversión-Financi'!G20/'Cuenta Ahorro-Inversión-Financi'!F20</f>
        <v>0.519998099061133</v>
      </c>
      <c r="C20" s="456" t="n">
        <f aca="false">'Cuenta Ahorro-Inversión-Financi'!T20/'Cuenta Ahorro-Inversión-Financi'!F20</f>
        <v>0.477872262995204</v>
      </c>
      <c r="E20" s="609" t="n">
        <v>2004</v>
      </c>
      <c r="F20" s="625" t="n">
        <f aca="false">'Cuenta Ahorro-Inversión-Financi'!G20+'Cuenta Ahorro-Inversión-Financi'!S20+'Cuenta Ahorro-Inversión-Financi'!T20+'Cuenta Ahorro-Inversión-Financi'!X20+'Cuenta Ahorro-Inversión-Financi'!AA20</f>
        <v>20159369.17717</v>
      </c>
      <c r="G20" s="626" t="n">
        <f aca="false">'Cuenta Ahorro-Inversión-Financi'!H20+'Cuenta Ahorro-Inversión-Financi'!I20+'Cuenta Ahorro-Inversión-Financi'!J20+'Cuenta Ahorro-Inversión-Financi'!P20</f>
        <v>10482833.6504</v>
      </c>
      <c r="H20" s="632" t="n">
        <v>4445674.9968</v>
      </c>
      <c r="I20" s="632" t="n">
        <v>104192.00786</v>
      </c>
      <c r="J20" s="632" t="n">
        <v>5248000.04574</v>
      </c>
      <c r="K20" s="633" t="n">
        <f aca="false">IVA!AU34</f>
        <v>3193816.385506</v>
      </c>
      <c r="L20" s="633" t="n">
        <f aca="false">'Cuenta Ahorro-Inversión-Financi'!M20+'Cuenta Ahorro-Inversión-Financi'!N20</f>
        <v>2024594.8909331</v>
      </c>
      <c r="M20" s="633" t="n">
        <f aca="false">IVA!AU119</f>
        <v>1677536.54711</v>
      </c>
      <c r="N20" s="633" t="n">
        <f aca="false">IVA!AU153</f>
        <v>347058.3438231</v>
      </c>
      <c r="O20" s="633"/>
      <c r="P20" s="632" t="n">
        <v>684966.6</v>
      </c>
      <c r="Q20" s="632" t="n">
        <f aca="false">IVA!AU102</f>
        <v>343399.86403</v>
      </c>
      <c r="R20" s="632" t="n">
        <f aca="false">IVA!AU170*0.7</f>
        <v>319188.208521</v>
      </c>
      <c r="S20" s="632" t="n">
        <v>31653.79783</v>
      </c>
      <c r="T20" s="625" t="n">
        <f aca="false">'Cuenta Ahorro-Inversión-Financi'!U20+'Cuenta Ahorro-Inversión-Financi'!V20</f>
        <v>9633603.36925</v>
      </c>
      <c r="U20" s="632" t="n">
        <v>9630140.38859</v>
      </c>
      <c r="V20" s="632" t="n">
        <v>3462.98066</v>
      </c>
      <c r="W20" s="632"/>
      <c r="X20" s="632" t="n">
        <f aca="false">'Cuenta Ahorro-Inversión-Financi'!Y20+'Cuenta Ahorro-Inversión-Financi'!Z20</f>
        <v>11200.38667</v>
      </c>
      <c r="Y20" s="632" t="n">
        <v>10924.8595</v>
      </c>
      <c r="Z20" s="632" t="n">
        <v>275.52717</v>
      </c>
      <c r="AA20" s="632" t="n">
        <v>77.97302</v>
      </c>
      <c r="AB20" s="632"/>
      <c r="AC20" s="632"/>
      <c r="AD20" s="625" t="n">
        <f aca="false">'Cuenta Ahorro-Inversión-Financi'!AE20+'Cuenta Ahorro-Inversión-Financi'!AF20</f>
        <v>1946.04328</v>
      </c>
      <c r="AE20" s="632" t="n">
        <v>1946.04328</v>
      </c>
      <c r="AF20" s="632"/>
      <c r="AG20" s="625" t="n">
        <f aca="false">'Cuenta Ahorro-Inversión-Financi'!AD20+'Cuenta Ahorro-Inversión-Financi'!F20</f>
        <v>20161315.22045</v>
      </c>
      <c r="AH20" s="629" t="n">
        <v>6463812.455</v>
      </c>
      <c r="AI20" s="628" t="n">
        <f aca="false">'Cálculo masa impuestos copartic'!U16*1000</f>
        <v>6613425.98806711</v>
      </c>
      <c r="AJ20" s="628"/>
      <c r="AK20" s="628"/>
      <c r="AL20" s="628"/>
      <c r="AM20" s="628"/>
      <c r="AN20" s="627" t="n">
        <f aca="false">'Cuenta Ahorro-Inversión-Financi'!AH20-('Cuenta Ahorro-Inversión-Financi'!AI20+'Cuenta Ahorro-Inversión-Financi'!AK20+'Cuenta Ahorro-Inversión-Financi'!AL20+'Cuenta Ahorro-Inversión-Financi'!AM20)</f>
        <v>-149613.533067113</v>
      </c>
      <c r="AO20" s="627" t="n">
        <f aca="false">'Cuenta Ahorro-Inversión-Financi'!AI20-'Cuenta Ahorro-Inversión-Financi'!CH20</f>
        <v>3585227.33027711</v>
      </c>
      <c r="AP20" s="627" t="n">
        <f aca="false">'Cuenta Ahorro-Inversión-Financi'!AO20</f>
        <v>3585227.33027711</v>
      </c>
      <c r="AQ20" s="630" t="s">
        <v>886</v>
      </c>
      <c r="AR20" s="630"/>
      <c r="AS20" s="630"/>
      <c r="AT20" s="615"/>
      <c r="AU20" s="615"/>
      <c r="AV20" s="615"/>
      <c r="AW20" s="631" t="n">
        <v>2004</v>
      </c>
      <c r="AX20" s="625" t="n">
        <f aca="false">'Cuenta Ahorro-Inversión-Financi'!AY20+'Cuenta Ahorro-Inversión-Financi'!BC20+'Cuenta Ahorro-Inversión-Financi'!BF20+'Cuenta Ahorro-Inversión-Financi'!BX20</f>
        <v>21741196.5353</v>
      </c>
      <c r="AY20" s="627" t="n">
        <f aca="false">'Cuenta Ahorro-Inversión-Financi'!AZ20+'Cuenta Ahorro-Inversión-Financi'!BA20</f>
        <v>292385.97512</v>
      </c>
      <c r="AZ20" s="627" t="n">
        <v>188507.25582</v>
      </c>
      <c r="BA20" s="627" t="n">
        <v>103878.7193</v>
      </c>
      <c r="BB20" s="627"/>
      <c r="BC20" s="627" t="n">
        <v>8470.26034</v>
      </c>
      <c r="BD20" s="627"/>
      <c r="BE20" s="627"/>
      <c r="BF20" s="625" t="n">
        <v>17806364.7793</v>
      </c>
      <c r="BG20" s="625"/>
      <c r="BH20" s="625"/>
      <c r="BI20" s="625"/>
      <c r="BJ20" s="625"/>
      <c r="BK20" s="625"/>
      <c r="BL20" s="625"/>
      <c r="BM20" s="627"/>
      <c r="BN20" s="627" t="n">
        <v>3633975.52054</v>
      </c>
      <c r="BO20" s="628" t="n">
        <v>2435693.33283</v>
      </c>
      <c r="BP20" s="628" t="n">
        <v>1197820.40588</v>
      </c>
      <c r="BQ20" s="628" t="n">
        <v>461.78183</v>
      </c>
      <c r="BR20" s="628" t="n">
        <v>2916772.19649</v>
      </c>
      <c r="BS20" s="628" t="n">
        <v>717203.32405</v>
      </c>
      <c r="BT20" s="627"/>
      <c r="BU20" s="627"/>
      <c r="BV20" s="627"/>
      <c r="BW20" s="627"/>
      <c r="BX20" s="627" t="n">
        <f aca="false">'Cuenta Ahorro-Inversión-Financi'!BN20-'Cuenta Ahorro-Inversión-Financi'!BV20-'Cuenta Ahorro-Inversión-Financi'!BW20</f>
        <v>3633975.52054</v>
      </c>
      <c r="BY20" s="628" t="n">
        <v>1915433.66177</v>
      </c>
      <c r="BZ20" s="625" t="n">
        <f aca="false">'Cuenta Ahorro-Inversión-Financi'!CA20+'Cuenta Ahorro-Inversión-Financi'!CB20+'Cuenta Ahorro-Inversión-Financi'!CF20</f>
        <v>17800.71868</v>
      </c>
      <c r="CA20" s="627" t="n">
        <v>17800.71868</v>
      </c>
      <c r="CB20" s="627"/>
      <c r="CC20" s="627"/>
      <c r="CD20" s="627"/>
      <c r="CE20" s="627"/>
      <c r="CF20" s="641"/>
      <c r="CG20" s="625" t="n">
        <f aca="false">'Cuenta Ahorro-Inversión-Financi'!BZ20+'Cuenta Ahorro-Inversión-Financi'!AX20</f>
        <v>21758997.25398</v>
      </c>
      <c r="CH20" s="625" t="n">
        <v>3028198.65779</v>
      </c>
      <c r="CI20" s="625"/>
      <c r="CJ20" s="625" t="n">
        <f aca="false">1469347762.51/1000</f>
        <v>1469347.76251</v>
      </c>
      <c r="CK20" s="625" t="n">
        <f aca="false">1112706705.47/1000</f>
        <v>1112706.70547</v>
      </c>
      <c r="CL20" s="625" t="n">
        <f aca="false">(1558699405.28+151490)/1000-CK20</f>
        <v>446144.18981</v>
      </c>
      <c r="CM20" s="625"/>
      <c r="CN20" s="625"/>
      <c r="CO20" s="625" t="n">
        <f aca="false">'Cuenta Ahorro-Inversión-Financi'!F20-'Cuenta Ahorro-Inversión-Financi'!AX20</f>
        <v>-1581827.35813</v>
      </c>
      <c r="CP20" s="627" t="n">
        <f aca="false">'Cuenta Ahorro-Inversión-Financi'!CO20+'Cuenta Ahorro-Inversión-Financi'!AD20-'Cuenta Ahorro-Inversión-Financi'!BZ20</f>
        <v>-1597682.03353</v>
      </c>
      <c r="CQ20" s="627" t="n">
        <f aca="false">'Cuenta Ahorro-Inversión-Financi'!T20-'Cuenta Ahorro-Inversión-Financi'!BF20-'Cuenta Ahorro-Inversión-Financi'!BN20</f>
        <v>-11806736.93059</v>
      </c>
      <c r="CR20" s="627" t="n">
        <f aca="false">'Cuenta Ahorro-Inversión-Financi'!F20-'Cuenta Ahorro-Inversión-Financi'!BF20-'Cuenta Ahorro-Inversión-Financi'!BN20-'Cuenta Ahorro-Inversión-Financi'!X20</f>
        <v>-1292171.50934</v>
      </c>
      <c r="CS20" s="627"/>
      <c r="CT20" s="634" t="s">
        <v>889</v>
      </c>
      <c r="CU20" s="634"/>
      <c r="CW20" s="600" t="n">
        <v>2005</v>
      </c>
      <c r="CX20" s="605" t="n">
        <f aca="false">'PIB corriente base 1993'!V89*1000</f>
        <v>456763738.571404</v>
      </c>
      <c r="CY20" s="605" t="n">
        <f aca="false">'PIB corriente base 1993'!V90*1000</f>
        <v>552411829.673941</v>
      </c>
      <c r="CZ20" s="605" t="n">
        <f aca="false">'PIB corriente base 1993'!V91*1000</f>
        <v>544228166.865614</v>
      </c>
      <c r="DA20" s="605" t="n">
        <f aca="false">'PIB corriente base 1993'!V92*1000</f>
        <v>574351154.07466</v>
      </c>
      <c r="DB20" s="606" t="n">
        <f aca="false">'PIB corriente base 1993'!V20*1000</f>
        <v>531938722.296405</v>
      </c>
      <c r="DC20" s="607" t="n">
        <f aca="false">'PIB corriente base 2004'!X44*1000</f>
        <v>510703427.015116</v>
      </c>
      <c r="DD20" s="605" t="n">
        <f aca="false">'PIB corriente base 2004'!X45*1000</f>
        <v>605771775.84651</v>
      </c>
      <c r="DE20" s="605" t="n">
        <f aca="false">'PIB corriente base 2004'!X46*1000</f>
        <v>590219559.142629</v>
      </c>
      <c r="DF20" s="605" t="n">
        <f aca="false">'PIB corriente base 2004'!X47*1000</f>
        <v>623457929.744843</v>
      </c>
      <c r="DG20" s="606" t="n">
        <f aca="false">('Cuenta Ahorro-Inversión-Financi'!DC20+'Cuenta Ahorro-Inversión-Financi'!DD20+'Cuenta Ahorro-Inversión-Financi'!DE20+'Cuenta Ahorro-Inversión-Financi'!DF20)/4</f>
        <v>582538172.937274</v>
      </c>
      <c r="DH20" s="456"/>
      <c r="DI20" s="1" t="n">
        <v>2013</v>
      </c>
      <c r="DJ20" s="642" t="n">
        <v>56514839</v>
      </c>
      <c r="DK20" s="456" t="n">
        <f aca="false">'Cuenta Ahorro-Inversión-Financi'!DJ20/1000/'PIB corriente base 2004'!X17</f>
        <v>0.0168786236987149</v>
      </c>
      <c r="DL20" s="28" t="n">
        <v>36576358.35</v>
      </c>
      <c r="DM20" s="456" t="n">
        <f aca="false">'Cuenta Ahorro-Inversión-Financi'!DL20/1000/'PIB corriente base 2004'!X17</f>
        <v>0.0109238316835513</v>
      </c>
      <c r="DO20" s="312" t="n">
        <v>207.099999553833</v>
      </c>
      <c r="DP20" s="28" t="n">
        <f aca="false">DP18-DP17</f>
        <v>327199000</v>
      </c>
      <c r="DZ20" s="1" t="n">
        <v>2004</v>
      </c>
      <c r="EB20" s="28" t="n">
        <f aca="false">BO20-BV20-BW20</f>
        <v>2435693.33283</v>
      </c>
      <c r="EC20" s="28" t="n">
        <f aca="false">BS20</f>
        <v>717203.32405</v>
      </c>
      <c r="ED20" s="456" t="n">
        <f aca="false">EB20/1000/'PIB corriente base 2004'!X8</f>
        <v>0.00502085558093469</v>
      </c>
      <c r="EE20" s="456" t="n">
        <f aca="false">EC20/1000/'PIB corriente base 2004'!X8</f>
        <v>0.00147841859387012</v>
      </c>
      <c r="EF20" s="456" t="n">
        <f aca="false">ED20+EE20</f>
        <v>0.0064992741748048</v>
      </c>
    </row>
    <row r="21" customFormat="false" ht="15.75" hidden="false" customHeight="true" outlineLevel="0" collapsed="false">
      <c r="B21" s="456" t="n">
        <f aca="false">'Cuenta Ahorro-Inversión-Financi'!G21/'Cuenta Ahorro-Inversión-Financi'!F21</f>
        <v>0.503946800096441</v>
      </c>
      <c r="C21" s="456" t="n">
        <f aca="false">'Cuenta Ahorro-Inversión-Financi'!T21/'Cuenta Ahorro-Inversión-Financi'!F21</f>
        <v>0.493222715953447</v>
      </c>
      <c r="E21" s="609" t="n">
        <v>2005</v>
      </c>
      <c r="F21" s="610" t="n">
        <f aca="false">'Cuenta Ahorro-Inversión-Financi'!G21+'Cuenta Ahorro-Inversión-Financi'!S21+'Cuenta Ahorro-Inversión-Financi'!T21+'Cuenta Ahorro-Inversión-Financi'!X21+'Cuenta Ahorro-Inversión-Financi'!AA21</f>
        <v>25304729.47821</v>
      </c>
      <c r="G21" s="611" t="n">
        <f aca="false">'Cuenta Ahorro-Inversión-Financi'!H21+'Cuenta Ahorro-Inversión-Financi'!I21+'Cuenta Ahorro-Inversión-Financi'!J21+'Cuenta Ahorro-Inversión-Financi'!P21</f>
        <v>12752237.44785</v>
      </c>
      <c r="H21" s="612" t="n">
        <v>5603319.4768</v>
      </c>
      <c r="I21" s="612" t="n">
        <v>113337.96104</v>
      </c>
      <c r="J21" s="612" t="n">
        <v>6104080.11001</v>
      </c>
      <c r="K21" s="613" t="n">
        <f aca="false">IVA!AU35</f>
        <v>3799668.14863337</v>
      </c>
      <c r="L21" s="613" t="n">
        <f aca="false">'Cuenta Ahorro-Inversión-Financi'!M21+'Cuenta Ahorro-Inversión-Financi'!N21</f>
        <v>2283146.7197573</v>
      </c>
      <c r="M21" s="613" t="n">
        <f aca="false">IVA!AU120</f>
        <v>1911649.06838</v>
      </c>
      <c r="N21" s="613" t="n">
        <f aca="false">IVA!AU154</f>
        <v>371497.6513773</v>
      </c>
      <c r="O21" s="613"/>
      <c r="P21" s="612" t="n">
        <v>931499.9</v>
      </c>
      <c r="Q21" s="612" t="n">
        <f aca="false">IVA!AU103</f>
        <v>392086.011</v>
      </c>
      <c r="R21" s="612" t="n">
        <f aca="false">IVA!AU171*0.7</f>
        <v>414100.619296</v>
      </c>
      <c r="S21" s="612" t="n">
        <v>32809.73233</v>
      </c>
      <c r="T21" s="610" t="n">
        <f aca="false">'Cuenta Ahorro-Inversión-Financi'!U21+'Cuenta Ahorro-Inversión-Financi'!V21</f>
        <v>12480867.39971</v>
      </c>
      <c r="U21" s="612" t="n">
        <v>12478433.82937</v>
      </c>
      <c r="V21" s="612" t="n">
        <v>2433.57034</v>
      </c>
      <c r="W21" s="612"/>
      <c r="X21" s="612" t="n">
        <f aca="false">'Cuenta Ahorro-Inversión-Financi'!Y21+'Cuenta Ahorro-Inversión-Financi'!Z21</f>
        <v>38724.72062</v>
      </c>
      <c r="Y21" s="612" t="n">
        <v>7616.88239</v>
      </c>
      <c r="Z21" s="612" t="n">
        <v>31107.83823</v>
      </c>
      <c r="AA21" s="612" t="n">
        <v>90.1777</v>
      </c>
      <c r="AB21" s="612"/>
      <c r="AC21" s="612"/>
      <c r="AD21" s="610" t="n">
        <f aca="false">'Cuenta Ahorro-Inversión-Financi'!AE21+'Cuenta Ahorro-Inversión-Financi'!AF21</f>
        <v>2381.75595</v>
      </c>
      <c r="AE21" s="612" t="n">
        <v>2381.75595</v>
      </c>
      <c r="AF21" s="612"/>
      <c r="AG21" s="610" t="n">
        <f aca="false">'Cuenta Ahorro-Inversión-Financi'!AD21+'Cuenta Ahorro-Inversión-Financi'!F21</f>
        <v>25307111.23416</v>
      </c>
      <c r="AH21" s="610" t="n">
        <v>8133300</v>
      </c>
      <c r="AI21" s="613" t="n">
        <f aca="false">'Cálculo masa impuestos copartic'!U17*1000</f>
        <v>8146311.50442478</v>
      </c>
      <c r="AJ21" s="613"/>
      <c r="AK21" s="613"/>
      <c r="AL21" s="613"/>
      <c r="AM21" s="613"/>
      <c r="AN21" s="612" t="n">
        <f aca="false">'Cuenta Ahorro-Inversión-Financi'!AH21-('Cuenta Ahorro-Inversión-Financi'!AI21+'Cuenta Ahorro-Inversión-Financi'!AK21+'Cuenta Ahorro-Inversión-Financi'!AL21+'Cuenta Ahorro-Inversión-Financi'!AM21)</f>
        <v>-13011.5044247787</v>
      </c>
      <c r="AO21" s="612" t="n">
        <f aca="false">'Cuenta Ahorro-Inversión-Financi'!AI21-'Cuenta Ahorro-Inversión-Financi'!CH21</f>
        <v>4667908.85857478</v>
      </c>
      <c r="AP21" s="612" t="n">
        <f aca="false">'Cuenta Ahorro-Inversión-Financi'!AO21</f>
        <v>4667908.85857478</v>
      </c>
      <c r="AQ21" s="635" t="s">
        <v>886</v>
      </c>
      <c r="AR21" s="635"/>
      <c r="AS21" s="635"/>
      <c r="AT21" s="615"/>
      <c r="AU21" s="643" t="n">
        <f aca="false">'Cuenta Ahorro-Inversión-Financi'!BS21/'Cuenta Ahorro-Inversión-Financi'!AV21</f>
        <v>0.0396000290328409</v>
      </c>
      <c r="AV21" s="615" t="n">
        <f aca="false">'Cuenta Ahorro-Inversión-Financi'!BF21-'Cuenta Ahorro-Inversión-Financi'!BL21</f>
        <v>19925345.72148</v>
      </c>
      <c r="AW21" s="631" t="n">
        <v>2005</v>
      </c>
      <c r="AX21" s="617" t="n">
        <f aca="false">'Cuenta Ahorro-Inversión-Financi'!AY21+'Cuenta Ahorro-Inversión-Financi'!BC21+'Cuenta Ahorro-Inversión-Financi'!BF21+'Cuenta Ahorro-Inversión-Financi'!BX21</f>
        <v>25545332.54611</v>
      </c>
      <c r="AY21" s="620" t="n">
        <f aca="false">'Cuenta Ahorro-Inversión-Financi'!AZ21+'Cuenta Ahorro-Inversión-Financi'!BA21</f>
        <v>443286.29688</v>
      </c>
      <c r="AZ21" s="618" t="n">
        <v>264799.77079</v>
      </c>
      <c r="BA21" s="618" t="n">
        <v>178486.52609</v>
      </c>
      <c r="BB21" s="618"/>
      <c r="BC21" s="618" t="n">
        <v>8341.70136</v>
      </c>
      <c r="BD21" s="618"/>
      <c r="BE21" s="618"/>
      <c r="BF21" s="617" t="n">
        <v>20127038.31117</v>
      </c>
      <c r="BG21" s="617"/>
      <c r="BH21" s="617"/>
      <c r="BI21" s="618"/>
      <c r="BJ21" s="618"/>
      <c r="BK21" s="618"/>
      <c r="BL21" s="618" t="n">
        <v>201692.58969</v>
      </c>
      <c r="BM21" s="618" t="n">
        <v>33.46074</v>
      </c>
      <c r="BN21" s="618" t="n">
        <v>4966666.2367</v>
      </c>
      <c r="BO21" s="619" t="n">
        <v>2976976.78962</v>
      </c>
      <c r="BP21" s="619" t="n">
        <v>1989296.31678</v>
      </c>
      <c r="BQ21" s="619" t="n">
        <v>393.1303</v>
      </c>
      <c r="BR21" s="619" t="n">
        <v>4177621.96764</v>
      </c>
      <c r="BS21" s="619" t="n">
        <v>789044.26906</v>
      </c>
      <c r="BT21" s="618"/>
      <c r="BU21" s="618"/>
      <c r="BV21" s="618"/>
      <c r="BW21" s="618"/>
      <c r="BX21" s="618" t="n">
        <f aca="false">'Cuenta Ahorro-Inversión-Financi'!BN21-'Cuenta Ahorro-Inversión-Financi'!BV21-'Cuenta Ahorro-Inversión-Financi'!BW21</f>
        <v>4966666.2367</v>
      </c>
      <c r="BY21" s="619" t="n">
        <v>2778632.69584</v>
      </c>
      <c r="BZ21" s="617" t="n">
        <f aca="false">'Cuenta Ahorro-Inversión-Financi'!CA21+'Cuenta Ahorro-Inversión-Financi'!CB21+'Cuenta Ahorro-Inversión-Financi'!CF21</f>
        <v>15319.84127</v>
      </c>
      <c r="CA21" s="618" t="n">
        <v>15319.84127</v>
      </c>
      <c r="CB21" s="618"/>
      <c r="CC21" s="618"/>
      <c r="CD21" s="618"/>
      <c r="CE21" s="618"/>
      <c r="CF21" s="618"/>
      <c r="CG21" s="617" t="n">
        <f aca="false">'Cuenta Ahorro-Inversión-Financi'!BZ21+'Cuenta Ahorro-Inversión-Financi'!AX21</f>
        <v>25560652.38738</v>
      </c>
      <c r="CH21" s="617" t="n">
        <v>3478402.64585</v>
      </c>
      <c r="CI21" s="617"/>
      <c r="CJ21" s="617" t="n">
        <f aca="false">1538056664.77/1000</f>
        <v>1538056.66477</v>
      </c>
      <c r="CK21" s="617" t="n">
        <f aca="false">1331194173.41/1000</f>
        <v>1331194.17341</v>
      </c>
      <c r="CL21" s="617" t="n">
        <f aca="false">(1940295981.08+50000)/1000-CK21</f>
        <v>609151.80767</v>
      </c>
      <c r="CM21" s="617"/>
      <c r="CN21" s="617"/>
      <c r="CO21" s="617" t="n">
        <f aca="false">'Cuenta Ahorro-Inversión-Financi'!F21-'Cuenta Ahorro-Inversión-Financi'!AX21</f>
        <v>-240603.067900002</v>
      </c>
      <c r="CP21" s="618" t="n">
        <f aca="false">'Cuenta Ahorro-Inversión-Financi'!CO21+'Cuenta Ahorro-Inversión-Financi'!AD21-'Cuenta Ahorro-Inversión-Financi'!BZ21</f>
        <v>-253541.153220002</v>
      </c>
      <c r="CQ21" s="618" t="n">
        <f aca="false">'Cuenta Ahorro-Inversión-Financi'!T21-'Cuenta Ahorro-Inversión-Financi'!BF21-'Cuenta Ahorro-Inversión-Financi'!BN21</f>
        <v>-12612837.14816</v>
      </c>
      <c r="CR21" s="618" t="n">
        <f aca="false">'Cuenta Ahorro-Inversión-Financi'!F21-'Cuenta Ahorro-Inversión-Financi'!BF21-'Cuenta Ahorro-Inversión-Financi'!BN21-'Cuenta Ahorro-Inversión-Financi'!X21</f>
        <v>172300.209720001</v>
      </c>
      <c r="CS21" s="618"/>
      <c r="CT21" s="637" t="s">
        <v>887</v>
      </c>
      <c r="CU21" s="637"/>
      <c r="CW21" s="600" t="n">
        <v>2006</v>
      </c>
      <c r="CX21" s="98" t="n">
        <f aca="false">'PIB corriente base 1993'!V93*1000</f>
        <v>567994315.706955</v>
      </c>
      <c r="CY21" s="98" t="n">
        <f aca="false">'PIB corriente base 1993'!V94*1000</f>
        <v>678278475.284539</v>
      </c>
      <c r="CZ21" s="98" t="n">
        <f aca="false">'PIB corriente base 1993'!V95*1000</f>
        <v>668197229.164594</v>
      </c>
      <c r="DA21" s="98" t="n">
        <f aca="false">'PIB corriente base 1993'!V96*1000</f>
        <v>703285920.838499</v>
      </c>
      <c r="DB21" s="622" t="n">
        <f aca="false">'PIB corriente base 1993'!V21*1000</f>
        <v>654438985.248647</v>
      </c>
      <c r="DC21" s="623" t="n">
        <f aca="false">'PIB corriente base 2004'!X48*1000</f>
        <v>643562379.587061</v>
      </c>
      <c r="DD21" s="98" t="n">
        <f aca="false">'PIB corriente base 2004'!X49*1000</f>
        <v>727989187.266911</v>
      </c>
      <c r="DE21" s="98" t="n">
        <f aca="false">'PIB corriente base 2004'!X50*1000</f>
        <v>729299498.006196</v>
      </c>
      <c r="DF21" s="98" t="n">
        <f aca="false">'PIB corriente base 2004'!X51*1000</f>
        <v>762766022.075226</v>
      </c>
      <c r="DG21" s="622" t="n">
        <f aca="false">('Cuenta Ahorro-Inversión-Financi'!DC21+'Cuenta Ahorro-Inversión-Financi'!DD21+'Cuenta Ahorro-Inversión-Financi'!DE21+'Cuenta Ahorro-Inversión-Financi'!DF21)/4</f>
        <v>715904271.733849</v>
      </c>
      <c r="DH21" s="456"/>
      <c r="DI21" s="1" t="n">
        <v>2014</v>
      </c>
      <c r="DJ21" s="642" t="n">
        <v>76739818</v>
      </c>
      <c r="DK21" s="456" t="n">
        <f aca="false">'Cuenta Ahorro-Inversión-Financi'!DJ21/1000/'PIB corriente base 2004'!X18</f>
        <v>0.0167587616547611</v>
      </c>
      <c r="DL21" s="28" t="n">
        <v>53294684.66403</v>
      </c>
      <c r="DM21" s="456" t="n">
        <f aca="false">'Cuenta Ahorro-Inversión-Financi'!DL21/1000/'PIB corriente base 2004'!X18</f>
        <v>0.0116387156111073</v>
      </c>
      <c r="DO21" s="1" t="n">
        <f aca="false">DP18*100/DO20</f>
        <v>580675520.323893</v>
      </c>
      <c r="DP21" s="456" t="n">
        <f aca="false">(DP18-DP10)/DP10</f>
        <v>7.86251802786738</v>
      </c>
      <c r="DQ21" s="456" t="n">
        <f aca="false">(DP18-DP9)/DP9</f>
        <v>11.2432297605473</v>
      </c>
      <c r="DS21" s="456" t="n">
        <f aca="false">AVERAGE(DS15:DS18)</f>
        <v>0.00912022427655904</v>
      </c>
      <c r="DT21" s="456" t="n">
        <f aca="false">AVERAGE(DT15:DT18)</f>
        <v>0.11605552595328</v>
      </c>
      <c r="DV21" s="456" t="n">
        <f aca="false">AVERAGE(DV15:DV18)</f>
        <v>0.0990113067708674</v>
      </c>
      <c r="DW21" s="456" t="n">
        <f aca="false">AVERAGE(DW15:DW18)</f>
        <v>0.00832191507777979</v>
      </c>
      <c r="DZ21" s="1" t="n">
        <f aca="false">DZ20+1</f>
        <v>2005</v>
      </c>
      <c r="EB21" s="28" t="n">
        <f aca="false">BO21-BV21-BW21</f>
        <v>2976976.78962</v>
      </c>
      <c r="EC21" s="28" t="n">
        <f aca="false">BS21</f>
        <v>789044.26906</v>
      </c>
      <c r="ED21" s="456" t="n">
        <f aca="false">EB21/1000/'PIB corriente base 2004'!X9</f>
        <v>0.00511035487101126</v>
      </c>
      <c r="EE21" s="456" t="n">
        <f aca="false">EC21/1000/'PIB corriente base 2004'!X9</f>
        <v>0.0013544936722026</v>
      </c>
      <c r="EF21" s="456" t="n">
        <f aca="false">ED21+EE21</f>
        <v>0.00646484854321386</v>
      </c>
    </row>
    <row r="22" customFormat="false" ht="15.75" hidden="false" customHeight="true" outlineLevel="0" collapsed="false">
      <c r="B22" s="456" t="n">
        <f aca="false">'Cuenta Ahorro-Inversión-Financi'!G22/'Cuenta Ahorro-Inversión-Financi'!F22</f>
        <v>0.45223699244885</v>
      </c>
      <c r="C22" s="456" t="n">
        <f aca="false">'Cuenta Ahorro-Inversión-Financi'!T22/'Cuenta Ahorro-Inversión-Financi'!F22</f>
        <v>0.53878463512185</v>
      </c>
      <c r="E22" s="609" t="n">
        <v>2006</v>
      </c>
      <c r="F22" s="625" t="n">
        <f aca="false">'Cuenta Ahorro-Inversión-Financi'!G22+'Cuenta Ahorro-Inversión-Financi'!S22+'Cuenta Ahorro-Inversión-Financi'!T22+'Cuenta Ahorro-Inversión-Financi'!X22+'Cuenta Ahorro-Inversión-Financi'!AA22</f>
        <v>33560747.24709</v>
      </c>
      <c r="G22" s="626" t="n">
        <f aca="false">'Cuenta Ahorro-Inversión-Financi'!H22+'Cuenta Ahorro-Inversión-Financi'!I22+'Cuenta Ahorro-Inversión-Financi'!J22+'Cuenta Ahorro-Inversión-Financi'!P22</f>
        <v>15177411.39936</v>
      </c>
      <c r="H22" s="632" t="n">
        <v>6733513.05459</v>
      </c>
      <c r="I22" s="632" t="n">
        <v>144334.8275</v>
      </c>
      <c r="J22" s="632" t="n">
        <v>7289327.61727</v>
      </c>
      <c r="K22" s="633" t="n">
        <f aca="false">IVA!AU36</f>
        <v>4856595.57018673</v>
      </c>
      <c r="L22" s="633" t="n">
        <f aca="false">'Cuenta Ahorro-Inversión-Financi'!M22+'Cuenta Ahorro-Inversión-Financi'!N22</f>
        <v>2437923.9389405</v>
      </c>
      <c r="M22" s="633" t="n">
        <f aca="false">IVA!AU121</f>
        <v>2007047.37764</v>
      </c>
      <c r="N22" s="633" t="n">
        <f aca="false">IVA!AU155</f>
        <v>430876.5613005</v>
      </c>
      <c r="O22" s="633"/>
      <c r="P22" s="632" t="n">
        <v>1010235.9</v>
      </c>
      <c r="Q22" s="632" t="n">
        <f aca="false">IVA!AU104</f>
        <v>398243.52609</v>
      </c>
      <c r="R22" s="632" t="n">
        <f aca="false">IVA!AU172*0.7</f>
        <v>463050.868035</v>
      </c>
      <c r="S22" s="632" t="n">
        <v>13848.11675</v>
      </c>
      <c r="T22" s="625" t="n">
        <f aca="false">'Cuenta Ahorro-Inversión-Financi'!U22+'Cuenta Ahorro-Inversión-Financi'!V22</f>
        <v>18082014.95994</v>
      </c>
      <c r="U22" s="632" t="n">
        <v>18078656.31106</v>
      </c>
      <c r="V22" s="632" t="n">
        <v>3358.64888</v>
      </c>
      <c r="W22" s="632"/>
      <c r="X22" s="632" t="n">
        <f aca="false">'Cuenta Ahorro-Inversión-Financi'!Y22+'Cuenta Ahorro-Inversión-Financi'!Z22</f>
        <v>287384.59231</v>
      </c>
      <c r="Y22" s="632" t="n">
        <v>202474.31833</v>
      </c>
      <c r="Z22" s="632" t="n">
        <v>84910.27398</v>
      </c>
      <c r="AA22" s="632" t="n">
        <v>88.17873</v>
      </c>
      <c r="AB22" s="632"/>
      <c r="AC22" s="632"/>
      <c r="AD22" s="625" t="n">
        <f aca="false">'Cuenta Ahorro-Inversión-Financi'!AE22+'Cuenta Ahorro-Inversión-Financi'!AF22</f>
        <v>2302.96493</v>
      </c>
      <c r="AE22" s="632" t="n">
        <v>2273.86393</v>
      </c>
      <c r="AF22" s="632" t="n">
        <v>29.101</v>
      </c>
      <c r="AG22" s="625" t="n">
        <f aca="false">'Cuenta Ahorro-Inversión-Financi'!AD22+'Cuenta Ahorro-Inversión-Financi'!F22</f>
        <v>33563050.21202</v>
      </c>
      <c r="AH22" s="629" t="n">
        <v>10149400</v>
      </c>
      <c r="AI22" s="628" t="n">
        <f aca="false">'Cálculo masa impuestos copartic'!U18*1000</f>
        <v>10103645.4250591</v>
      </c>
      <c r="AJ22" s="628"/>
      <c r="AK22" s="628"/>
      <c r="AL22" s="628"/>
      <c r="AM22" s="628"/>
      <c r="AN22" s="627" t="n">
        <f aca="false">'Cuenta Ahorro-Inversión-Financi'!AH22-('Cuenta Ahorro-Inversión-Financi'!AI22+'Cuenta Ahorro-Inversión-Financi'!AK22+'Cuenta Ahorro-Inversión-Financi'!AL22+'Cuenta Ahorro-Inversión-Financi'!AM22)</f>
        <v>45754.5749409366</v>
      </c>
      <c r="AO22" s="627" t="n">
        <f aca="false">'Cuenta Ahorro-Inversión-Financi'!AI22-'Cuenta Ahorro-Inversión-Financi'!CH22</f>
        <v>5619418.48329906</v>
      </c>
      <c r="AP22" s="627" t="n">
        <f aca="false">'Cuenta Ahorro-Inversión-Financi'!AO22</f>
        <v>5619418.48329906</v>
      </c>
      <c r="AQ22" s="630" t="s">
        <v>886</v>
      </c>
      <c r="AR22" s="630"/>
      <c r="AS22" s="630"/>
      <c r="AT22" s="615"/>
      <c r="AU22" s="643" t="n">
        <f aca="false">'Cuenta Ahorro-Inversión-Financi'!BS22/'Cuenta Ahorro-Inversión-Financi'!AV22</f>
        <v>0.0390297667337301</v>
      </c>
      <c r="AV22" s="615" t="n">
        <f aca="false">'Cuenta Ahorro-Inversión-Financi'!BF22-'Cuenta Ahorro-Inversión-Financi'!BL22</f>
        <v>26062861.44034</v>
      </c>
      <c r="AW22" s="631" t="n">
        <v>2006</v>
      </c>
      <c r="AX22" s="625" t="n">
        <f aca="false">'Cuenta Ahorro-Inversión-Financi'!AY22+'Cuenta Ahorro-Inversión-Financi'!BC22+'Cuenta Ahorro-Inversión-Financi'!BF22+'Cuenta Ahorro-Inversión-Financi'!BX22</f>
        <v>32609654.80136</v>
      </c>
      <c r="AY22" s="627" t="n">
        <f aca="false">'Cuenta Ahorro-Inversión-Financi'!AZ22+'Cuenta Ahorro-Inversión-Financi'!BA22</f>
        <v>596706.40429</v>
      </c>
      <c r="AZ22" s="627" t="n">
        <v>368205.5636</v>
      </c>
      <c r="BA22" s="627" t="n">
        <v>228500.84069</v>
      </c>
      <c r="BB22" s="627"/>
      <c r="BC22" s="627" t="n">
        <v>2780.56712</v>
      </c>
      <c r="BD22" s="627"/>
      <c r="BE22" s="627"/>
      <c r="BF22" s="625" t="n">
        <v>26375264.36526</v>
      </c>
      <c r="BG22" s="625"/>
      <c r="BH22" s="625"/>
      <c r="BI22" s="625"/>
      <c r="BJ22" s="625"/>
      <c r="BK22" s="625"/>
      <c r="BL22" s="627" t="n">
        <v>312402.92492</v>
      </c>
      <c r="BM22" s="627" t="n">
        <v>12.3166</v>
      </c>
      <c r="BN22" s="627" t="n">
        <v>5634903.46469</v>
      </c>
      <c r="BO22" s="628" t="n">
        <v>3838525.07779</v>
      </c>
      <c r="BP22" s="628" t="n">
        <v>1795918.15089</v>
      </c>
      <c r="BQ22" s="628" t="n">
        <v>460.23601</v>
      </c>
      <c r="BR22" s="628" t="n">
        <v>4617676.06226</v>
      </c>
      <c r="BS22" s="628" t="n">
        <v>1017227.40243</v>
      </c>
      <c r="BT22" s="627"/>
      <c r="BU22" s="627"/>
      <c r="BV22" s="627"/>
      <c r="BW22" s="627"/>
      <c r="BX22" s="627" t="n">
        <f aca="false">'Cuenta Ahorro-Inversión-Financi'!BN22-'Cuenta Ahorro-Inversión-Financi'!BV22-'Cuenta Ahorro-Inversión-Financi'!BW22</f>
        <v>5634903.46469</v>
      </c>
      <c r="BY22" s="628" t="n">
        <v>2813516.40936</v>
      </c>
      <c r="BZ22" s="625" t="n">
        <f aca="false">'Cuenta Ahorro-Inversión-Financi'!CA22+'Cuenta Ahorro-Inversión-Financi'!CB22+'Cuenta Ahorro-Inversión-Financi'!CF22</f>
        <v>17580.03645</v>
      </c>
      <c r="CA22" s="627" t="n">
        <v>17580.03645</v>
      </c>
      <c r="CB22" s="627"/>
      <c r="CC22" s="627"/>
      <c r="CD22" s="627"/>
      <c r="CE22" s="627"/>
      <c r="CF22" s="641"/>
      <c r="CG22" s="625" t="n">
        <f aca="false">'Cuenta Ahorro-Inversión-Financi'!BZ22+'Cuenta Ahorro-Inversión-Financi'!AX22</f>
        <v>32627234.83781</v>
      </c>
      <c r="CH22" s="625" t="n">
        <v>4484226.94176</v>
      </c>
      <c r="CI22" s="625"/>
      <c r="CJ22" s="625" t="n">
        <f aca="false">1685933662.7/1000</f>
        <v>1685933.6627</v>
      </c>
      <c r="CK22" s="625" t="n">
        <f aca="false">1990596677.77/1000</f>
        <v>1990596.67777</v>
      </c>
      <c r="CL22" s="625" t="n">
        <f aca="false">(2797538279.06+755000)/1000-CK22</f>
        <v>807696.60129</v>
      </c>
      <c r="CM22" s="625"/>
      <c r="CN22" s="625"/>
      <c r="CO22" s="625" t="n">
        <f aca="false">'Cuenta Ahorro-Inversión-Financi'!F22-'Cuenta Ahorro-Inversión-Financi'!AX22</f>
        <v>951092.445730004</v>
      </c>
      <c r="CP22" s="627" t="n">
        <f aca="false">'Cuenta Ahorro-Inversión-Financi'!CO22+'Cuenta Ahorro-Inversión-Financi'!AD22-'Cuenta Ahorro-Inversión-Financi'!BZ22</f>
        <v>935815.374210005</v>
      </c>
      <c r="CQ22" s="627" t="n">
        <f aca="false">'Cuenta Ahorro-Inversión-Financi'!T22-'Cuenta Ahorro-Inversión-Financi'!BF22-'Cuenta Ahorro-Inversión-Financi'!BN22</f>
        <v>-13928152.87001</v>
      </c>
      <c r="CR22" s="627" t="n">
        <f aca="false">'Cuenta Ahorro-Inversión-Financi'!F22-'Cuenta Ahorro-Inversión-Financi'!BF22-'Cuenta Ahorro-Inversión-Financi'!BN22-'Cuenta Ahorro-Inversión-Financi'!X22</f>
        <v>1263194.82483</v>
      </c>
      <c r="CS22" s="627"/>
      <c r="CT22" s="634" t="s">
        <v>887</v>
      </c>
      <c r="CU22" s="634"/>
      <c r="CW22" s="600" t="n">
        <v>2007</v>
      </c>
      <c r="CX22" s="605" t="n">
        <f aca="false">'PIB corriente base 1993'!V97*1000</f>
        <v>681119854.473743</v>
      </c>
      <c r="CY22" s="605" t="n">
        <f aca="false">'PIB corriente base 1993'!V98*1000</f>
        <v>835125270.312335</v>
      </c>
      <c r="CZ22" s="605" t="n">
        <f aca="false">'PIB corriente base 1993'!V99*1000</f>
        <v>827463264.705692</v>
      </c>
      <c r="DA22" s="605" t="n">
        <f aca="false">'PIB corriente base 1993'!V100*1000</f>
        <v>906114923.568755</v>
      </c>
      <c r="DB22" s="606" t="n">
        <f aca="false">'PIB corriente base 1993'!V22*1000</f>
        <v>812455828.265131</v>
      </c>
      <c r="DC22" s="607" t="n">
        <f aca="false">'PIB corriente base 2004'!X52*1000</f>
        <v>774387787.841277</v>
      </c>
      <c r="DD22" s="605" t="n">
        <f aca="false">'PIB corriente base 2004'!X53*1000</f>
        <v>904350388.093081</v>
      </c>
      <c r="DE22" s="605" t="n">
        <f aca="false">'PIB corriente base 2004'!X54*1000</f>
        <v>914103967.401919</v>
      </c>
      <c r="DF22" s="605" t="n">
        <f aca="false">'PIB corriente base 2004'!X55*1000</f>
        <v>995078552.951336</v>
      </c>
      <c r="DG22" s="606" t="n">
        <f aca="false">('Cuenta Ahorro-Inversión-Financi'!DC22+'Cuenta Ahorro-Inversión-Financi'!DD22+'Cuenta Ahorro-Inversión-Financi'!DE22+'Cuenta Ahorro-Inversión-Financi'!DF22)/4</f>
        <v>896980174.071903</v>
      </c>
      <c r="DH22" s="456"/>
      <c r="DI22" s="1" t="n">
        <v>2015</v>
      </c>
      <c r="DJ22" s="453" t="n">
        <v>97479599</v>
      </c>
      <c r="DK22" s="456" t="n">
        <f aca="false">'Cuenta Ahorro-Inversión-Financi'!DJ22/1000/'PIB corriente base 2004'!X19</f>
        <v>0.0163707146913644</v>
      </c>
      <c r="DL22" s="28" t="n">
        <v>75797809.1</v>
      </c>
      <c r="DM22" s="456" t="n">
        <f aca="false">'Cuenta Ahorro-Inversión-Financi'!DL22/1000/'PIB corriente base 2004'!X19</f>
        <v>0.0127294769340055</v>
      </c>
      <c r="DQ22" s="456" t="n">
        <f aca="false">(DF32-DF23)/DF23</f>
        <v>9.01111512242848</v>
      </c>
      <c r="DZ22" s="1" t="n">
        <f aca="false">DZ21+1</f>
        <v>2006</v>
      </c>
      <c r="EB22" s="28" t="n">
        <f aca="false">BO22-BV22-BW22</f>
        <v>3838525.07779</v>
      </c>
      <c r="EC22" s="28" t="n">
        <f aca="false">BS22</f>
        <v>1017227.40243</v>
      </c>
      <c r="ED22" s="456" t="n">
        <f aca="false">EB22/1000/'PIB corriente base 2004'!X10</f>
        <v>0.00536178540811536</v>
      </c>
      <c r="EE22" s="456" t="n">
        <f aca="false">EC22/1000/'PIB corriente base 2004'!X10</f>
        <v>0.001420898634906</v>
      </c>
      <c r="EF22" s="456" t="n">
        <f aca="false">ED22+EE22</f>
        <v>0.00678268404302136</v>
      </c>
    </row>
    <row r="23" customFormat="false" ht="15.75" hidden="false" customHeight="true" outlineLevel="0" collapsed="false">
      <c r="B23" s="456" t="n">
        <f aca="false">'Cuenta Ahorro-Inversión-Financi'!G23/'Cuenta Ahorro-Inversión-Financi'!F23</f>
        <v>0.347714816507505</v>
      </c>
      <c r="C23" s="456" t="n">
        <f aca="false">'Cuenta Ahorro-Inversión-Financi'!T23/'Cuenta Ahorro-Inversión-Financi'!F23</f>
        <v>0.639635314422424</v>
      </c>
      <c r="E23" s="609" t="n">
        <v>2007</v>
      </c>
      <c r="F23" s="610" t="n">
        <f aca="false">'Cuenta Ahorro-Inversión-Financi'!G23+'Cuenta Ahorro-Inversión-Financi'!S23+'Cuenta Ahorro-Inversión-Financi'!T23+'Cuenta Ahorro-Inversión-Financi'!X23+'Cuenta Ahorro-Inversión-Financi'!AA23</f>
        <v>53996454.56142</v>
      </c>
      <c r="G23" s="611" t="n">
        <f aca="false">'Cuenta Ahorro-Inversión-Financi'!H23+'Cuenta Ahorro-Inversión-Financi'!I23+'Cuenta Ahorro-Inversión-Financi'!J23+'Cuenta Ahorro-Inversión-Financi'!P23</f>
        <v>18775367.28988</v>
      </c>
      <c r="H23" s="612" t="n">
        <v>8488745.60076</v>
      </c>
      <c r="I23" s="612"/>
      <c r="J23" s="612" t="n">
        <v>9106308.35364</v>
      </c>
      <c r="K23" s="613" t="n">
        <f aca="false">IVA!AU37</f>
        <v>6461394.65383149</v>
      </c>
      <c r="L23" s="613" t="n">
        <f aca="false">'Cuenta Ahorro-Inversión-Financi'!M23+'Cuenta Ahorro-Inversión-Financi'!N23</f>
        <v>2704319.9941651</v>
      </c>
      <c r="M23" s="613" t="n">
        <f aca="false">IVA!AU122</f>
        <v>2171389.71412</v>
      </c>
      <c r="N23" s="613" t="n">
        <f aca="false">IVA!AU156</f>
        <v>532930.2800451</v>
      </c>
      <c r="O23" s="613"/>
      <c r="P23" s="612" t="n">
        <v>1180313.33548</v>
      </c>
      <c r="Q23" s="612" t="n">
        <f aca="false">IVA!AU105</f>
        <v>447075.21997</v>
      </c>
      <c r="R23" s="612" t="n">
        <f aca="false">IVA!AU173*0.7</f>
        <v>525160.252624</v>
      </c>
      <c r="S23" s="612" t="n">
        <v>20733.85282</v>
      </c>
      <c r="T23" s="610" t="n">
        <f aca="false">'Cuenta Ahorro-Inversión-Financi'!U23+'Cuenta Ahorro-Inversión-Financi'!V23</f>
        <v>34538039.19109</v>
      </c>
      <c r="U23" s="612" t="n">
        <v>34533885.63759</v>
      </c>
      <c r="V23" s="612" t="n">
        <v>4153.5535</v>
      </c>
      <c r="W23" s="612"/>
      <c r="X23" s="612" t="n">
        <f aca="false">'Cuenta Ahorro-Inversión-Financi'!Y23+'Cuenta Ahorro-Inversión-Financi'!Z23</f>
        <v>661907.51889</v>
      </c>
      <c r="Y23" s="612" t="n">
        <v>416923.45661</v>
      </c>
      <c r="Z23" s="612" t="n">
        <v>244984.06228</v>
      </c>
      <c r="AA23" s="612" t="n">
        <f aca="false">'Cuenta Ahorro-Inversión-Financi'!AB23+'Cuenta Ahorro-Inversión-Financi'!AC23</f>
        <v>406.70874</v>
      </c>
      <c r="AB23" s="612" t="n">
        <v>95.66123</v>
      </c>
      <c r="AC23" s="612" t="n">
        <v>311.04751</v>
      </c>
      <c r="AD23" s="610" t="n">
        <f aca="false">'Cuenta Ahorro-Inversión-Financi'!AE23+'Cuenta Ahorro-Inversión-Financi'!AF23</f>
        <v>45723.01392</v>
      </c>
      <c r="AE23" s="612" t="n">
        <v>45723.01392</v>
      </c>
      <c r="AF23" s="612"/>
      <c r="AG23" s="610" t="n">
        <f aca="false">'Cuenta Ahorro-Inversión-Financi'!AD23+'Cuenta Ahorro-Inversión-Financi'!F23</f>
        <v>54042177.57534</v>
      </c>
      <c r="AH23" s="610" t="n">
        <v>13371108.30119</v>
      </c>
      <c r="AI23" s="613" t="n">
        <f aca="false">'Cálculo masa impuestos copartic'!V19*1000</f>
        <v>13371549.19129</v>
      </c>
      <c r="AJ23" s="613"/>
      <c r="AK23" s="613"/>
      <c r="AL23" s="613"/>
      <c r="AM23" s="613"/>
      <c r="AN23" s="612" t="n">
        <f aca="false">'Cuenta Ahorro-Inversión-Financi'!AH23-('Cuenta Ahorro-Inversión-Financi'!AI23+'Cuenta Ahorro-Inversión-Financi'!AK23+'Cuenta Ahorro-Inversión-Financi'!AL23+'Cuenta Ahorro-Inversión-Financi'!AM23)</f>
        <v>-440.890100000426</v>
      </c>
      <c r="AO23" s="612" t="n">
        <f aca="false">'Cuenta Ahorro-Inversión-Financi'!AI23-'Cuenta Ahorro-Inversión-Financi'!CH23</f>
        <v>7143151.34064</v>
      </c>
      <c r="AP23" s="612" t="n">
        <f aca="false">'Cuenta Ahorro-Inversión-Financi'!AO23</f>
        <v>7143151.34064</v>
      </c>
      <c r="AQ23" s="635" t="s">
        <v>886</v>
      </c>
      <c r="AR23" s="635"/>
      <c r="AS23" s="635"/>
      <c r="AT23" s="615"/>
      <c r="AU23" s="643" t="n">
        <f aca="false">'Cuenta Ahorro-Inversión-Financi'!BS23/'Cuenta Ahorro-Inversión-Financi'!AV23</f>
        <v>0.0372740952353237</v>
      </c>
      <c r="AV23" s="615" t="n">
        <f aca="false">'Cuenta Ahorro-Inversión-Financi'!BF23-'Cuenta Ahorro-Inversión-Financi'!BL23</f>
        <v>43519286.89104</v>
      </c>
      <c r="AW23" s="631" t="n">
        <v>2007</v>
      </c>
      <c r="AX23" s="617" t="n">
        <f aca="false">'Cuenta Ahorro-Inversión-Financi'!AY23+'Cuenta Ahorro-Inversión-Financi'!BC23+'Cuenta Ahorro-Inversión-Financi'!BF23+'Cuenta Ahorro-Inversión-Financi'!BX23</f>
        <v>51409594.72013</v>
      </c>
      <c r="AY23" s="620" t="n">
        <f aca="false">'Cuenta Ahorro-Inversión-Financi'!AZ23+'Cuenta Ahorro-Inversión-Financi'!BA23</f>
        <v>838168.47267</v>
      </c>
      <c r="AZ23" s="618" t="n">
        <v>505911.6808</v>
      </c>
      <c r="BA23" s="618" t="n">
        <v>332256.79187</v>
      </c>
      <c r="BB23" s="618"/>
      <c r="BC23" s="618"/>
      <c r="BD23" s="618"/>
      <c r="BE23" s="618"/>
      <c r="BF23" s="617" t="n">
        <v>43934856.62323</v>
      </c>
      <c r="BG23" s="617"/>
      <c r="BH23" s="617"/>
      <c r="BI23" s="618"/>
      <c r="BJ23" s="618"/>
      <c r="BK23" s="618"/>
      <c r="BL23" s="618" t="n">
        <v>415569.73219</v>
      </c>
      <c r="BM23" s="618" t="n">
        <v>72.76246</v>
      </c>
      <c r="BN23" s="618" t="n">
        <v>6636569.62423</v>
      </c>
      <c r="BO23" s="619" t="n">
        <v>5249926.93218</v>
      </c>
      <c r="BP23" s="619" t="n">
        <v>1385857.89107</v>
      </c>
      <c r="BQ23" s="619" t="n">
        <v>784.80098</v>
      </c>
      <c r="BR23" s="619" t="n">
        <v>5014427.58008</v>
      </c>
      <c r="BS23" s="619" t="n">
        <v>1622142.04415</v>
      </c>
      <c r="BT23" s="618"/>
      <c r="BU23" s="618"/>
      <c r="BV23" s="618"/>
      <c r="BW23" s="618"/>
      <c r="BX23" s="618" t="n">
        <f aca="false">'Cuenta Ahorro-Inversión-Financi'!BN23-'Cuenta Ahorro-Inversión-Financi'!BV23-'Cuenta Ahorro-Inversión-Financi'!BW23</f>
        <v>6636569.62423</v>
      </c>
      <c r="BY23" s="619" t="n">
        <v>3007999.93522</v>
      </c>
      <c r="BZ23" s="617" t="n">
        <f aca="false">'Cuenta Ahorro-Inversión-Financi'!CA23+'Cuenta Ahorro-Inversión-Financi'!CB23+'Cuenta Ahorro-Inversión-Financi'!CF23</f>
        <v>42102.12043</v>
      </c>
      <c r="CA23" s="618" t="n">
        <v>42102.12043</v>
      </c>
      <c r="CB23" s="618"/>
      <c r="CC23" s="618"/>
      <c r="CD23" s="618"/>
      <c r="CE23" s="618"/>
      <c r="CF23" s="618"/>
      <c r="CG23" s="617" t="n">
        <f aca="false">'Cuenta Ahorro-Inversión-Financi'!BZ23+'Cuenta Ahorro-Inversión-Financi'!AX23</f>
        <v>51451696.84056</v>
      </c>
      <c r="CH23" s="617" t="n">
        <v>6228397.85065</v>
      </c>
      <c r="CI23" s="617"/>
      <c r="CJ23" s="617" t="n">
        <f aca="false">2059936262.01/1000</f>
        <v>2059936.26201</v>
      </c>
      <c r="CK23" s="617" t="n">
        <f aca="false">3211198804.04/1000</f>
        <v>3211198.80404</v>
      </c>
      <c r="CL23" s="617" t="n">
        <f aca="false">4169261100.58/1000-CK23</f>
        <v>958062.29654</v>
      </c>
      <c r="CM23" s="617"/>
      <c r="CN23" s="617"/>
      <c r="CO23" s="617" t="n">
        <f aca="false">'Cuenta Ahorro-Inversión-Financi'!F23-'Cuenta Ahorro-Inversión-Financi'!AX23</f>
        <v>2586859.84129</v>
      </c>
      <c r="CP23" s="618" t="n">
        <f aca="false">'Cuenta Ahorro-Inversión-Financi'!CO23+'Cuenta Ahorro-Inversión-Financi'!AD23-'Cuenta Ahorro-Inversión-Financi'!BZ23</f>
        <v>2590480.73478</v>
      </c>
      <c r="CQ23" s="618" t="n">
        <f aca="false">'Cuenta Ahorro-Inversión-Financi'!T23-'Cuenta Ahorro-Inversión-Financi'!BF23-'Cuenta Ahorro-Inversión-Financi'!BN23</f>
        <v>-16033387.05637</v>
      </c>
      <c r="CR23" s="618" t="n">
        <f aca="false">'Cuenta Ahorro-Inversión-Financi'!F23-'Cuenta Ahorro-Inversión-Financi'!BF23-'Cuenta Ahorro-Inversión-Financi'!BN23-'Cuenta Ahorro-Inversión-Financi'!X23</f>
        <v>2763120.79507</v>
      </c>
      <c r="CS23" s="618"/>
      <c r="CT23" s="637" t="s">
        <v>887</v>
      </c>
      <c r="CU23" s="637"/>
      <c r="CW23" s="600" t="n">
        <v>2008</v>
      </c>
      <c r="CX23" s="98" t="n">
        <f aca="false">'PIB corriente base 1993'!V101*1000</f>
        <v>887643010.77871</v>
      </c>
      <c r="CY23" s="98" t="n">
        <f aca="false">'PIB corriente base 1993'!V102*1000</f>
        <v>1107942840.35203</v>
      </c>
      <c r="CZ23" s="98" t="n">
        <f aca="false">'PIB corriente base 1993'!V103*1000</f>
        <v>1057550793.49456</v>
      </c>
      <c r="DA23" s="98" t="n">
        <f aca="false">'PIB corriente base 1993'!V104*1000</f>
        <v>1077896389.18338</v>
      </c>
      <c r="DB23" s="622" t="n">
        <f aca="false">'PIB corriente base 1993'!V23*1000</f>
        <v>1032758258.45217</v>
      </c>
      <c r="DC23" s="623" t="n">
        <f aca="false">'PIB corriente base 2004'!X56*1000</f>
        <v>1032356873.25936</v>
      </c>
      <c r="DD23" s="98" t="n">
        <f aca="false">'PIB corriente base 2004'!X57*1000</f>
        <v>1213883410.98903</v>
      </c>
      <c r="DE23" s="98" t="n">
        <f aca="false">'PIB corriente base 2004'!X58*1000</f>
        <v>1183692269.70647</v>
      </c>
      <c r="DF23" s="98" t="n">
        <f aca="false">'PIB corriente base 2004'!X59*1000</f>
        <v>1168651808.37968</v>
      </c>
      <c r="DG23" s="622" t="n">
        <f aca="false">('Cuenta Ahorro-Inversión-Financi'!DC23+'Cuenta Ahorro-Inversión-Financi'!DD23+'Cuenta Ahorro-Inversión-Financi'!DE23+'Cuenta Ahorro-Inversión-Financi'!DF23)/4</f>
        <v>1149646090.58364</v>
      </c>
      <c r="DH23" s="456"/>
      <c r="DI23" s="1" t="n">
        <v>2016</v>
      </c>
      <c r="DJ23" s="644" t="n">
        <v>131669079</v>
      </c>
      <c r="DK23" s="456" t="n">
        <f aca="false">'Cuenta Ahorro-Inversión-Financi'!DJ23/1000/'PIB corriente base 2004'!X20</f>
        <v>0.0160022515479057</v>
      </c>
      <c r="DL23" s="28" t="n">
        <v>86485940.4164</v>
      </c>
      <c r="DM23" s="456" t="n">
        <f aca="false">'Cuenta Ahorro-Inversión-Financi'!DL23/1000/'PIB corriente base 2004'!X20</f>
        <v>0.0105109702628087</v>
      </c>
      <c r="DZ23" s="1" t="n">
        <f aca="false">DZ22+1</f>
        <v>2007</v>
      </c>
      <c r="EB23" s="28" t="n">
        <f aca="false">BO23-BV23-BW23</f>
        <v>5249926.93218</v>
      </c>
      <c r="EC23" s="28" t="n">
        <f aca="false">BS23</f>
        <v>1622142.04415</v>
      </c>
      <c r="ED23" s="456" t="n">
        <f aca="false">EB23/1000/'PIB corriente base 2004'!X11</f>
        <v>0.00585289071479428</v>
      </c>
      <c r="EE23" s="456" t="n">
        <f aca="false">EC23/1000/'PIB corriente base 2004'!X11</f>
        <v>0.0018084480471694</v>
      </c>
      <c r="EF23" s="456" t="n">
        <f aca="false">ED23+EE23</f>
        <v>0.00766133876196368</v>
      </c>
    </row>
    <row r="24" customFormat="false" ht="15.75" hidden="false" customHeight="true" outlineLevel="0" collapsed="false">
      <c r="B24" s="456" t="n">
        <f aca="false">'Cuenta Ahorro-Inversión-Financi'!G24/'Cuenta Ahorro-Inversión-Financi'!F24</f>
        <v>0.350399283327923</v>
      </c>
      <c r="C24" s="456" t="n">
        <f aca="false">'Cuenta Ahorro-Inversión-Financi'!T24/'Cuenta Ahorro-Inversión-Financi'!F24</f>
        <v>0.632483582154185</v>
      </c>
      <c r="E24" s="609" t="n">
        <v>2008</v>
      </c>
      <c r="F24" s="625" t="n">
        <f aca="false">'Cuenta Ahorro-Inversión-Financi'!G24+'Cuenta Ahorro-Inversión-Financi'!S24+'Cuenta Ahorro-Inversión-Financi'!T24+'Cuenta Ahorro-Inversión-Financi'!X24+'Cuenta Ahorro-Inversión-Financi'!AA24</f>
        <v>66982576.74096</v>
      </c>
      <c r="G24" s="626" t="n">
        <f aca="false">'Cuenta Ahorro-Inversión-Financi'!H24+'Cuenta Ahorro-Inversión-Financi'!J24+'Cuenta Ahorro-Inversión-Financi'!P24</f>
        <v>23470646.88549</v>
      </c>
      <c r="H24" s="632" t="n">
        <v>10735671.1304</v>
      </c>
      <c r="I24" s="632"/>
      <c r="J24" s="632" t="n">
        <v>11237233.27479</v>
      </c>
      <c r="K24" s="633" t="n">
        <f aca="false">IVA!AU38</f>
        <v>8271840.77363275</v>
      </c>
      <c r="L24" s="633" t="n">
        <f aca="false">'Cuenta Ahorro-Inversión-Financi'!M24+'Cuenta Ahorro-Inversión-Financi'!N24</f>
        <v>3269922.0771961</v>
      </c>
      <c r="M24" s="633" t="n">
        <f aca="false">IVA!AU123</f>
        <v>2511884.60839</v>
      </c>
      <c r="N24" s="633" t="n">
        <f aca="false">IVA!AU157</f>
        <v>758037.4688061</v>
      </c>
      <c r="O24" s="633"/>
      <c r="P24" s="632" t="n">
        <v>1497742.4803</v>
      </c>
      <c r="Q24" s="632" t="n">
        <f aca="false">IVA!AU106</f>
        <v>555098.17588</v>
      </c>
      <c r="R24" s="632" t="n">
        <f aca="false">IVA!AU174*0.7</f>
        <v>710091.538779</v>
      </c>
      <c r="S24" s="632" t="n">
        <v>27231.56619</v>
      </c>
      <c r="T24" s="625" t="n">
        <f aca="false">'Cuenta Ahorro-Inversión-Financi'!U24+'Cuenta Ahorro-Inversión-Financi'!V24</f>
        <v>42365380.07904</v>
      </c>
      <c r="U24" s="632" t="n">
        <v>42361322.86461</v>
      </c>
      <c r="V24" s="632" t="n">
        <v>4057.21443</v>
      </c>
      <c r="W24" s="632"/>
      <c r="X24" s="632" t="n">
        <f aca="false">'Cuenta Ahorro-Inversión-Financi'!Y24+'Cuenta Ahorro-Inversión-Financi'!Z24</f>
        <v>1117433.63985</v>
      </c>
      <c r="Y24" s="632" t="n">
        <v>328539.00607</v>
      </c>
      <c r="Z24" s="632" t="n">
        <v>788894.63378</v>
      </c>
      <c r="AA24" s="632" t="n">
        <f aca="false">'Cuenta Ahorro-Inversión-Financi'!AB24+'Cuenta Ahorro-Inversión-Financi'!AC24</f>
        <v>1884.57039</v>
      </c>
      <c r="AB24" s="632" t="n">
        <v>118.63177</v>
      </c>
      <c r="AC24" s="632" t="n">
        <v>1765.93862</v>
      </c>
      <c r="AD24" s="625" t="n">
        <f aca="false">'Cuenta Ahorro-Inversión-Financi'!AE24+'Cuenta Ahorro-Inversión-Financi'!AF24</f>
        <v>2914.88647</v>
      </c>
      <c r="AE24" s="632" t="n">
        <v>2914.88647</v>
      </c>
      <c r="AF24" s="632"/>
      <c r="AG24" s="625" t="n">
        <f aca="false">'Cuenta Ahorro-Inversión-Financi'!AD24+'Cuenta Ahorro-Inversión-Financi'!F24</f>
        <v>66985491.62743</v>
      </c>
      <c r="AH24" s="629" t="n">
        <v>17109424.246</v>
      </c>
      <c r="AI24" s="628" t="n">
        <f aca="false">'Cálculo masa impuestos copartic'!V20*1000</f>
        <v>16753835.7595</v>
      </c>
      <c r="AJ24" s="628"/>
      <c r="AK24" s="628"/>
      <c r="AL24" s="628"/>
      <c r="AM24" s="628"/>
      <c r="AN24" s="627" t="n">
        <f aca="false">'Cuenta Ahorro-Inversión-Financi'!AH24-('Cuenta Ahorro-Inversión-Financi'!AI24+'Cuenta Ahorro-Inversión-Financi'!AK24+'Cuenta Ahorro-Inversión-Financi'!AL24+'Cuenta Ahorro-Inversión-Financi'!AM24)</f>
        <v>355588.486499997</v>
      </c>
      <c r="AO24" s="627" t="n">
        <f aca="false">'Cuenta Ahorro-Inversión-Financi'!AI24-'Cuenta Ahorro-Inversión-Financi'!CH24</f>
        <v>8068584.32797</v>
      </c>
      <c r="AP24" s="627" t="n">
        <f aca="false">'Cuenta Ahorro-Inversión-Financi'!AO24</f>
        <v>8068584.32797</v>
      </c>
      <c r="AQ24" s="630" t="s">
        <v>890</v>
      </c>
      <c r="AR24" s="630"/>
      <c r="AS24" s="630"/>
      <c r="AT24" s="615"/>
      <c r="AU24" s="643" t="n">
        <f aca="false">'Cuenta Ahorro-Inversión-Financi'!BS24/'Cuenta Ahorro-Inversión-Financi'!AV24</f>
        <v>0.0366825279422342</v>
      </c>
      <c r="AV24" s="615" t="n">
        <f aca="false">'Cuenta Ahorro-Inversión-Financi'!BF24-'Cuenta Ahorro-Inversión-Financi'!BL24</f>
        <v>55105474.41859</v>
      </c>
      <c r="AW24" s="631" t="n">
        <v>2008</v>
      </c>
      <c r="AX24" s="625" t="n">
        <f aca="false">'Cuenta Ahorro-Inversión-Financi'!AY24+'Cuenta Ahorro-Inversión-Financi'!BC24+'Cuenta Ahorro-Inversión-Financi'!BF24+'Cuenta Ahorro-Inversión-Financi'!BX24</f>
        <v>67153838.42106</v>
      </c>
      <c r="AY24" s="627" t="n">
        <f aca="false">'Cuenta Ahorro-Inversión-Financi'!AZ24+'Cuenta Ahorro-Inversión-Financi'!BA24</f>
        <v>1265908.80827</v>
      </c>
      <c r="AZ24" s="627" t="n">
        <v>903539.73638</v>
      </c>
      <c r="BA24" s="627" t="n">
        <v>362369.07189</v>
      </c>
      <c r="BB24" s="627"/>
      <c r="BC24" s="627"/>
      <c r="BD24" s="627"/>
      <c r="BE24" s="627"/>
      <c r="BF24" s="625" t="n">
        <v>55615821.24168</v>
      </c>
      <c r="BG24" s="625"/>
      <c r="BH24" s="625"/>
      <c r="BI24" s="625"/>
      <c r="BJ24" s="625"/>
      <c r="BK24" s="625"/>
      <c r="BL24" s="627" t="n">
        <v>510346.82309</v>
      </c>
      <c r="BM24" s="627" t="n">
        <v>15.83041</v>
      </c>
      <c r="BN24" s="627" t="n">
        <v>10272108.37111</v>
      </c>
      <c r="BO24" s="628" t="n">
        <v>8299966.38314</v>
      </c>
      <c r="BP24" s="628" t="n">
        <v>1970997.24853</v>
      </c>
      <c r="BQ24" s="628" t="n">
        <v>1144.73944</v>
      </c>
      <c r="BR24" s="628" t="n">
        <v>8250700.26598</v>
      </c>
      <c r="BS24" s="628" t="n">
        <v>2021408.10513</v>
      </c>
      <c r="BT24" s="627"/>
      <c r="BU24" s="627"/>
      <c r="BV24" s="627"/>
      <c r="BW24" s="627"/>
      <c r="BX24" s="627" t="n">
        <f aca="false">'Cuenta Ahorro-Inversión-Financi'!BN24-'Cuenta Ahorro-Inversión-Financi'!BV24-'Cuenta Ahorro-Inversión-Financi'!BW24</f>
        <v>10272108.37111</v>
      </c>
      <c r="BY24" s="628" t="n">
        <v>3992405.35366</v>
      </c>
      <c r="BZ24" s="625" t="n">
        <f aca="false">'Cuenta Ahorro-Inversión-Financi'!CA24+'Cuenta Ahorro-Inversión-Financi'!CB24+'Cuenta Ahorro-Inversión-Financi'!CF24</f>
        <v>51943.68366</v>
      </c>
      <c r="CA24" s="627" t="n">
        <v>51943.68366</v>
      </c>
      <c r="CB24" s="627"/>
      <c r="CC24" s="627"/>
      <c r="CD24" s="627"/>
      <c r="CE24" s="627"/>
      <c r="CF24" s="641"/>
      <c r="CG24" s="625" t="n">
        <f aca="false">'Cuenta Ahorro-Inversión-Financi'!BZ24+'Cuenta Ahorro-Inversión-Financi'!AX24</f>
        <v>67205782.10472</v>
      </c>
      <c r="CH24" s="625" t="n">
        <v>8685251.43153</v>
      </c>
      <c r="CI24" s="625"/>
      <c r="CJ24" s="625" t="n">
        <f aca="false">2527385485.47/1000</f>
        <v>2527385.48547</v>
      </c>
      <c r="CK24" s="625" t="n">
        <f aca="false">4655467380.45/1000</f>
        <v>4655467.38045</v>
      </c>
      <c r="CL24" s="625" t="n">
        <f aca="false">6157865946.06/1000-CK24</f>
        <v>1502398.56561</v>
      </c>
      <c r="CM24" s="625" t="n">
        <v>1341518.04191</v>
      </c>
      <c r="CN24" s="625"/>
      <c r="CO24" s="625" t="n">
        <f aca="false">'Cuenta Ahorro-Inversión-Financi'!F24-'Cuenta Ahorro-Inversión-Financi'!AX24</f>
        <v>-171261.680100001</v>
      </c>
      <c r="CP24" s="627" t="n">
        <f aca="false">'Cuenta Ahorro-Inversión-Financi'!CO24+'Cuenta Ahorro-Inversión-Financi'!AD24-'Cuenta Ahorro-Inversión-Financi'!BZ24</f>
        <v>-220290.477290001</v>
      </c>
      <c r="CQ24" s="627" t="n">
        <f aca="false">'Cuenta Ahorro-Inversión-Financi'!T24-'Cuenta Ahorro-Inversión-Financi'!BF24-'Cuenta Ahorro-Inversión-Financi'!BN24</f>
        <v>-23522549.53375</v>
      </c>
      <c r="CR24" s="627" t="n">
        <f aca="false">'Cuenta Ahorro-Inversión-Financi'!F24-'Cuenta Ahorro-Inversión-Financi'!BF24-'Cuenta Ahorro-Inversión-Financi'!BN24-'Cuenta Ahorro-Inversión-Financi'!X24</f>
        <v>-22786.5116800088</v>
      </c>
      <c r="CS24" s="627"/>
      <c r="CT24" s="634" t="s">
        <v>891</v>
      </c>
      <c r="CU24" s="634"/>
      <c r="CW24" s="600" t="n">
        <v>2009</v>
      </c>
      <c r="CX24" s="605" t="n">
        <f aca="false">'PIB corriente base 1993'!V105*1000</f>
        <v>992962248.598719</v>
      </c>
      <c r="CY24" s="605" t="n">
        <f aca="false">'PIB corriente base 1993'!V106*1000</f>
        <v>1195372438.8149</v>
      </c>
      <c r="CZ24" s="605" t="n">
        <f aca="false">'PIB corriente base 1993'!V107*1000</f>
        <v>1168794907.45954</v>
      </c>
      <c r="DA24" s="605" t="n">
        <f aca="false">'PIB corriente base 1993'!V108*1000</f>
        <v>1224703750.59239</v>
      </c>
      <c r="DB24" s="606" t="n">
        <f aca="false">'PIB corriente base 1993'!V24*1000</f>
        <v>1145458336.36639</v>
      </c>
      <c r="DC24" s="607" t="n">
        <f aca="false">'PIB corriente base 2004'!X60*1000</f>
        <v>1112307488.3263</v>
      </c>
      <c r="DD24" s="605" t="n">
        <f aca="false">'PIB corriente base 2004'!X61*1000</f>
        <v>1251464727.93387</v>
      </c>
      <c r="DE24" s="605" t="n">
        <f aca="false">'PIB corriente base 2004'!X62*1000</f>
        <v>1269734745.26708</v>
      </c>
      <c r="DF24" s="605" t="n">
        <f aca="false">'PIB corriente base 2004'!X63*1000</f>
        <v>1358210114.17283</v>
      </c>
      <c r="DG24" s="606" t="n">
        <f aca="false">('Cuenta Ahorro-Inversión-Financi'!DC24+'Cuenta Ahorro-Inversión-Financi'!DD24+'Cuenta Ahorro-Inversión-Financi'!DE24+'Cuenta Ahorro-Inversión-Financi'!DF24)/4</f>
        <v>1247929268.92502</v>
      </c>
      <c r="DI24" s="1" t="n">
        <v>2017</v>
      </c>
      <c r="DJ24" s="453" t="n">
        <v>172838482</v>
      </c>
      <c r="DK24" s="456" t="n">
        <f aca="false">'Cuenta Ahorro-Inversión-Financi'!DJ24/1000/'PIB corriente base 2004'!X21</f>
        <v>0.0162369256572215</v>
      </c>
      <c r="DL24" s="28" t="n">
        <v>109125800</v>
      </c>
      <c r="DM24" s="456" t="n">
        <f aca="false">'Cuenta Ahorro-Inversión-Financi'!DL24/1000/'PIB corriente base 2004'!X21</f>
        <v>0.0102515798645166</v>
      </c>
      <c r="DZ24" s="1" t="n">
        <f aca="false">DZ23+1</f>
        <v>2008</v>
      </c>
      <c r="EB24" s="28" t="n">
        <f aca="false">BO24-BV24-BW24</f>
        <v>8299966.38314</v>
      </c>
      <c r="EC24" s="28" t="n">
        <f aca="false">BS24</f>
        <v>2021408.10513</v>
      </c>
      <c r="ED24" s="456" t="n">
        <f aca="false">EB24/1000/'PIB corriente base 2004'!X12</f>
        <v>0.00721958387987593</v>
      </c>
      <c r="EE24" s="456" t="n">
        <f aca="false">EC24/1000/'PIB corriente base 2004'!X12</f>
        <v>0.00175828728657165</v>
      </c>
      <c r="EF24" s="456" t="n">
        <f aca="false">ED24+EE24</f>
        <v>0.00897787116644758</v>
      </c>
    </row>
    <row r="25" customFormat="false" ht="15.75" hidden="false" customHeight="true" outlineLevel="0" collapsed="false">
      <c r="A25" s="456" t="n">
        <f aca="false">'Cuenta Ahorro-Inversión-Financi'!X25/'Cuenta Ahorro-Inversión-Financi'!F25</f>
        <v>0.0872321495710536</v>
      </c>
      <c r="B25" s="456" t="n">
        <f aca="false">'Cuenta Ahorro-Inversión-Financi'!G25/'Cuenta Ahorro-Inversión-Financi'!F25</f>
        <v>0.261116987678444</v>
      </c>
      <c r="C25" s="456" t="n">
        <f aca="false">'Cuenta Ahorro-Inversión-Financi'!T25/'Cuenta Ahorro-Inversión-Financi'!F25</f>
        <v>0.651200735180599</v>
      </c>
      <c r="E25" s="609" t="n">
        <v>2009</v>
      </c>
      <c r="F25" s="610" t="n">
        <f aca="false">'Cuenta Ahorro-Inversión-Financi'!G25+'Cuenta Ahorro-Inversión-Financi'!S25+'Cuenta Ahorro-Inversión-Financi'!T25+'Cuenta Ahorro-Inversión-Financi'!X25+'Cuenta Ahorro-Inversión-Financi'!AA25</f>
        <v>97293410.08669</v>
      </c>
      <c r="G25" s="611" t="n">
        <f aca="false">'Cuenta Ahorro-Inversión-Financi'!H25+'Cuenta Ahorro-Inversión-Financi'!I25+'Cuenta Ahorro-Inversión-Financi'!J25+'Cuenta Ahorro-Inversión-Financi'!P25</f>
        <v>25404962.1628</v>
      </c>
      <c r="H25" s="612" t="n">
        <v>11102856.8612</v>
      </c>
      <c r="I25" s="612"/>
      <c r="J25" s="612" t="n">
        <v>12559119.1216</v>
      </c>
      <c r="K25" s="613" t="n">
        <f aca="false">IVA!AU39</f>
        <v>9009731.229499</v>
      </c>
      <c r="L25" s="613" t="n">
        <f aca="false">'Cuenta Ahorro-Inversión-Financi'!M25+'Cuenta Ahorro-Inversión-Financi'!N25</f>
        <v>3806449.67</v>
      </c>
      <c r="M25" s="613" t="n">
        <f aca="false">IVA!AU124</f>
        <v>2850188</v>
      </c>
      <c r="N25" s="613" t="n">
        <f aca="false">IVA!AU158</f>
        <v>956261.67</v>
      </c>
      <c r="O25" s="613"/>
      <c r="P25" s="612" t="n">
        <v>1742986.18</v>
      </c>
      <c r="Q25" s="612" t="n">
        <f aca="false">IVA!AU107</f>
        <v>658385</v>
      </c>
      <c r="R25" s="612" t="n">
        <f aca="false">IVA!AU175*0.7</f>
        <v>900098.5</v>
      </c>
      <c r="S25" s="612" t="n">
        <v>42958.91278</v>
      </c>
      <c r="T25" s="610" t="n">
        <f aca="false">'Cuenta Ahorro-Inversión-Financi'!U25+'Cuenta Ahorro-Inversión-Financi'!V25</f>
        <v>63357540.17668</v>
      </c>
      <c r="U25" s="612" t="n">
        <v>63354298.60392</v>
      </c>
      <c r="V25" s="612" t="n">
        <v>3241.57276</v>
      </c>
      <c r="W25" s="612"/>
      <c r="X25" s="612" t="n">
        <f aca="false">'Cuenta Ahorro-Inversión-Financi'!Y25+'Cuenta Ahorro-Inversión-Financi'!Z25</f>
        <v>8487113.30096</v>
      </c>
      <c r="Y25" s="612" t="n">
        <v>841116.85969</v>
      </c>
      <c r="Z25" s="612" t="n">
        <v>7645996.44127</v>
      </c>
      <c r="AA25" s="612" t="n">
        <f aca="false">'Cuenta Ahorro-Inversión-Financi'!AB25+'Cuenta Ahorro-Inversión-Financi'!AC25</f>
        <v>835.53347</v>
      </c>
      <c r="AB25" s="612" t="n">
        <v>35.95918</v>
      </c>
      <c r="AC25" s="612" t="n">
        <v>799.57429</v>
      </c>
      <c r="AD25" s="610" t="n">
        <f aca="false">'Cuenta Ahorro-Inversión-Financi'!AE25+'Cuenta Ahorro-Inversión-Financi'!AF25</f>
        <v>1032.18863</v>
      </c>
      <c r="AE25" s="612" t="n">
        <v>1032.18863</v>
      </c>
      <c r="AF25" s="612"/>
      <c r="AG25" s="610" t="n">
        <f aca="false">'Cuenta Ahorro-Inversión-Financi'!AD25+'Cuenta Ahorro-Inversión-Financi'!F25</f>
        <v>97294442.27532</v>
      </c>
      <c r="AH25" s="610" t="n">
        <v>18708526.44</v>
      </c>
      <c r="AI25" s="613" t="n">
        <f aca="false">'Cálculo masa impuestos copartic'!V21*1000</f>
        <v>18241431.1264</v>
      </c>
      <c r="AJ25" s="613"/>
      <c r="AK25" s="613"/>
      <c r="AL25" s="613"/>
      <c r="AM25" s="613"/>
      <c r="AN25" s="612" t="n">
        <f aca="false">'Cuenta Ahorro-Inversión-Financi'!AH25-('Cuenta Ahorro-Inversión-Financi'!AI25+'Cuenta Ahorro-Inversión-Financi'!AK25+'Cuenta Ahorro-Inversión-Financi'!AL25+'Cuenta Ahorro-Inversión-Financi'!AM25)</f>
        <v>467095.313600004</v>
      </c>
      <c r="AO25" s="612" t="n">
        <f aca="false">'Cuenta Ahorro-Inversión-Financi'!AI25-'Cuenta Ahorro-Inversión-Financi'!CH25</f>
        <v>6220547.03143</v>
      </c>
      <c r="AP25" s="612" t="n">
        <f aca="false">'Cuenta Ahorro-Inversión-Financi'!AO25</f>
        <v>6220547.03143</v>
      </c>
      <c r="AQ25" s="635" t="s">
        <v>892</v>
      </c>
      <c r="AR25" s="635"/>
      <c r="AS25" s="635"/>
      <c r="AT25" s="615"/>
      <c r="AU25" s="643" t="n">
        <f aca="false">'Cuenta Ahorro-Inversión-Financi'!BS25/'Cuenta Ahorro-Inversión-Financi'!AV25</f>
        <v>0.0362433593699456</v>
      </c>
      <c r="AV25" s="615" t="n">
        <f aca="false">'Cuenta Ahorro-Inversión-Financi'!BF25-'Cuenta Ahorro-Inversión-Financi'!BL25</f>
        <v>70288442.19453</v>
      </c>
      <c r="AW25" s="631" t="n">
        <v>2009</v>
      </c>
      <c r="AX25" s="617" t="n">
        <f aca="false">'Cuenta Ahorro-Inversión-Financi'!AY25+'Cuenta Ahorro-Inversión-Financi'!BC25+'Cuenta Ahorro-Inversión-Financi'!BF25+'Cuenta Ahorro-Inversión-Financi'!BX25</f>
        <v>88595174.22517</v>
      </c>
      <c r="AY25" s="620" t="n">
        <f aca="false">'Cuenta Ahorro-Inversión-Financi'!AZ25+'Cuenta Ahorro-Inversión-Financi'!BA25</f>
        <v>2218502.32568</v>
      </c>
      <c r="AZ25" s="618" t="n">
        <v>1525051.56659</v>
      </c>
      <c r="BA25" s="618" t="n">
        <v>693450.75909</v>
      </c>
      <c r="BB25" s="618"/>
      <c r="BC25" s="618" t="n">
        <v>4339.80456</v>
      </c>
      <c r="BD25" s="618"/>
      <c r="BE25" s="618"/>
      <c r="BF25" s="617" t="n">
        <v>70902691.971</v>
      </c>
      <c r="BG25" s="617"/>
      <c r="BH25" s="617"/>
      <c r="BI25" s="618"/>
      <c r="BJ25" s="618"/>
      <c r="BK25" s="618"/>
      <c r="BL25" s="618" t="n">
        <v>614249.77647</v>
      </c>
      <c r="BM25" s="618" t="n">
        <v>24.29423</v>
      </c>
      <c r="BN25" s="618" t="n">
        <v>15469640.12393</v>
      </c>
      <c r="BO25" s="619" t="n">
        <v>12621171.19175</v>
      </c>
      <c r="BP25" s="619" t="n">
        <v>2847339.83801</v>
      </c>
      <c r="BQ25" s="619" t="n">
        <v>1129.09417</v>
      </c>
      <c r="BR25" s="619" t="n">
        <v>12922150.85392</v>
      </c>
      <c r="BS25" s="619" t="n">
        <v>2547489.27001</v>
      </c>
      <c r="BT25" s="618"/>
      <c r="BU25" s="618"/>
      <c r="BV25" s="618"/>
      <c r="BW25" s="618"/>
      <c r="BX25" s="618" t="n">
        <f aca="false">'Cuenta Ahorro-Inversión-Financi'!BN25-'Cuenta Ahorro-Inversión-Financi'!BV25-'Cuenta Ahorro-Inversión-Financi'!BW25</f>
        <v>15469640.12393</v>
      </c>
      <c r="BY25" s="619" t="n">
        <v>5394829.10802</v>
      </c>
      <c r="BZ25" s="617" t="n">
        <f aca="false">'Cuenta Ahorro-Inversión-Financi'!CA25+'Cuenta Ahorro-Inversión-Financi'!CB25+'Cuenta Ahorro-Inversión-Financi'!CF25</f>
        <v>89646.66777</v>
      </c>
      <c r="CA25" s="618" t="n">
        <v>89646.66777</v>
      </c>
      <c r="CB25" s="618"/>
      <c r="CC25" s="618"/>
      <c r="CD25" s="618"/>
      <c r="CE25" s="618"/>
      <c r="CF25" s="618"/>
      <c r="CG25" s="617" t="n">
        <f aca="false">'Cuenta Ahorro-Inversión-Financi'!BZ25+'Cuenta Ahorro-Inversión-Financi'!AX25</f>
        <v>88684820.89294</v>
      </c>
      <c r="CH25" s="617" t="n">
        <v>12020884.09497</v>
      </c>
      <c r="CI25" s="617"/>
      <c r="CJ25" s="617" t="n">
        <f aca="false">3449309243.74/1000</f>
        <v>3449309.24374</v>
      </c>
      <c r="CK25" s="617" t="n">
        <f aca="false">6829474740.36/1000</f>
        <v>6829474.74036</v>
      </c>
      <c r="CL25" s="617" t="n">
        <f aca="false">8571574851.23/1000-CK25</f>
        <v>1742100.11087</v>
      </c>
      <c r="CM25" s="617" t="n">
        <v>2090315.13795</v>
      </c>
      <c r="CN25" s="617"/>
      <c r="CO25" s="617" t="n">
        <f aca="false">'Cuenta Ahorro-Inversión-Financi'!F25-'Cuenta Ahorro-Inversión-Financi'!AX25</f>
        <v>8698235.86152002</v>
      </c>
      <c r="CP25" s="618" t="n">
        <f aca="false">'Cuenta Ahorro-Inversión-Financi'!CO25+'Cuenta Ahorro-Inversión-Financi'!AD25-'Cuenta Ahorro-Inversión-Financi'!BZ25</f>
        <v>8609621.38238002</v>
      </c>
      <c r="CQ25" s="618" t="n">
        <f aca="false">'Cuenta Ahorro-Inversión-Financi'!T25-'Cuenta Ahorro-Inversión-Financi'!BF25-'Cuenta Ahorro-Inversión-Financi'!BN25</f>
        <v>-23014791.91825</v>
      </c>
      <c r="CR25" s="618" t="n">
        <f aca="false">'Cuenta Ahorro-Inversión-Financi'!F25-'Cuenta Ahorro-Inversión-Financi'!BF25-'Cuenta Ahorro-Inversión-Financi'!BN25-'Cuenta Ahorro-Inversión-Financi'!X25</f>
        <v>2433964.69080001</v>
      </c>
      <c r="CS25" s="618"/>
      <c r="CT25" s="637" t="s">
        <v>893</v>
      </c>
      <c r="CU25" s="637"/>
      <c r="CW25" s="600" t="n">
        <v>2010</v>
      </c>
      <c r="CX25" s="98" t="n">
        <f aca="false">'PIB corriente base 1993'!V109*1000</f>
        <v>1217380793.94883</v>
      </c>
      <c r="CY25" s="98" t="n">
        <f aca="false">'PIB corriente base 1993'!V110*1000</f>
        <v>1508285665.01389</v>
      </c>
      <c r="CZ25" s="98" t="n">
        <f aca="false">'PIB corriente base 1993'!V111*1000</f>
        <v>1465856669.30236</v>
      </c>
      <c r="DA25" s="98" t="n">
        <f aca="false">'PIB corriente base 1993'!V112*1000</f>
        <v>1579098386.12358</v>
      </c>
      <c r="DB25" s="622" t="n">
        <f aca="false">'PIB corriente base 1993'!V25*1000</f>
        <v>1442655378.59716</v>
      </c>
      <c r="DC25" s="623" t="n">
        <f aca="false">'PIB corriente base 2004'!X64*1000</f>
        <v>1418857949.96651</v>
      </c>
      <c r="DD25" s="98" t="n">
        <f aca="false">'PIB corriente base 2004'!X65*1000</f>
        <v>1686066954.45778</v>
      </c>
      <c r="DE25" s="98" t="n">
        <f aca="false">'PIB corriente base 2004'!X66*1000</f>
        <v>1712834548.93829</v>
      </c>
      <c r="DF25" s="98" t="n">
        <f aca="false">'PIB corriente base 2004'!X67*1000</f>
        <v>1829124250.41574</v>
      </c>
      <c r="DG25" s="622" t="n">
        <f aca="false">('Cuenta Ahorro-Inversión-Financi'!DC25+'Cuenta Ahorro-Inversión-Financi'!DD25+'Cuenta Ahorro-Inversión-Financi'!DE25+'Cuenta Ahorro-Inversión-Financi'!DF25)/4</f>
        <v>1661720925.94458</v>
      </c>
      <c r="DM25" s="456"/>
      <c r="DT25" s="1" t="n">
        <v>103530.79</v>
      </c>
      <c r="DZ25" s="1" t="n">
        <f aca="false">DZ24+1</f>
        <v>2009</v>
      </c>
      <c r="EB25" s="28" t="n">
        <f aca="false">BO25-BV25-BW25</f>
        <v>12621171.19175</v>
      </c>
      <c r="EC25" s="28" t="n">
        <f aca="false">BS25</f>
        <v>2547489.27001</v>
      </c>
      <c r="ED25" s="456" t="n">
        <f aca="false">EB25/1000/'PIB corriente base 2004'!X13</f>
        <v>0.0101136911410228</v>
      </c>
      <c r="EE25" s="456" t="n">
        <f aca="false">EC25/1000/'PIB corriente base 2004'!X13</f>
        <v>0.0020413731238185</v>
      </c>
      <c r="EF25" s="456" t="n">
        <f aca="false">ED25+EE25</f>
        <v>0.0121550642648413</v>
      </c>
    </row>
    <row r="26" customFormat="false" ht="15.75" hidden="false" customHeight="true" outlineLevel="0" collapsed="false">
      <c r="A26" s="456" t="n">
        <f aca="false">'Cuenta Ahorro-Inversión-Financi'!X26/'Cuenta Ahorro-Inversión-Financi'!F26</f>
        <v>0.068668240823353</v>
      </c>
      <c r="B26" s="456" t="n">
        <f aca="false">'Cuenta Ahorro-Inversión-Financi'!G26/'Cuenta Ahorro-Inversión-Financi'!F26</f>
        <v>0.269485444028308</v>
      </c>
      <c r="C26" s="456" t="n">
        <f aca="false">'Cuenta Ahorro-Inversión-Financi'!T26/'Cuenta Ahorro-Inversión-Financi'!F26</f>
        <v>0.661062378126772</v>
      </c>
      <c r="E26" s="609" t="n">
        <v>2010</v>
      </c>
      <c r="F26" s="625" t="n">
        <f aca="false">'Cuenta Ahorro-Inversión-Financi'!G26+'Cuenta Ahorro-Inversión-Financi'!S26+'Cuenta Ahorro-Inversión-Financi'!T26+'Cuenta Ahorro-Inversión-Financi'!X26+'Cuenta Ahorro-Inversión-Financi'!AA26</f>
        <v>126910598.63596</v>
      </c>
      <c r="G26" s="626" t="n">
        <f aca="false">'Cuenta Ahorro-Inversión-Financi'!H26+'Cuenta Ahorro-Inversión-Financi'!I26+'Cuenta Ahorro-Inversión-Financi'!J26+'Cuenta Ahorro-Inversión-Financi'!P26</f>
        <v>34200559.02531</v>
      </c>
      <c r="H26" s="632" t="n">
        <v>15263717.30188</v>
      </c>
      <c r="I26" s="632"/>
      <c r="J26" s="632" t="n">
        <v>16702328.02343</v>
      </c>
      <c r="K26" s="633" t="n">
        <v>11741500</v>
      </c>
      <c r="L26" s="633" t="n">
        <v>4960800</v>
      </c>
      <c r="M26" s="633" t="n">
        <f aca="false">IVA!AU125</f>
        <v>3640225</v>
      </c>
      <c r="N26" s="633" t="n">
        <f aca="false">IVA!AU159</f>
        <v>1335615.33</v>
      </c>
      <c r="O26" s="633"/>
      <c r="P26" s="632" t="n">
        <v>2234513.7</v>
      </c>
      <c r="Q26" s="632" t="n">
        <v>771500</v>
      </c>
      <c r="R26" s="632" t="n">
        <v>1463000</v>
      </c>
      <c r="S26" s="632" t="n">
        <v>98628.95631</v>
      </c>
      <c r="T26" s="625" t="n">
        <f aca="false">'Cuenta Ahorro-Inversión-Financi'!U26+'Cuenta Ahorro-Inversión-Financi'!V26</f>
        <v>83895822.14378</v>
      </c>
      <c r="U26" s="632" t="n">
        <v>83892477.24184</v>
      </c>
      <c r="V26" s="632" t="n">
        <v>3344.90194</v>
      </c>
      <c r="W26" s="632"/>
      <c r="X26" s="632" t="n">
        <f aca="false">'Cuenta Ahorro-Inversión-Financi'!Y26+'Cuenta Ahorro-Inversión-Financi'!Z26</f>
        <v>8714727.55017</v>
      </c>
      <c r="Y26" s="632" t="n">
        <v>1771002.85036</v>
      </c>
      <c r="Z26" s="632" t="n">
        <v>6943724.69981</v>
      </c>
      <c r="AA26" s="632" t="n">
        <f aca="false">'Cuenta Ahorro-Inversión-Financi'!AB26+'Cuenta Ahorro-Inversión-Financi'!AC26</f>
        <v>860.96039</v>
      </c>
      <c r="AB26" s="632"/>
      <c r="AC26" s="632" t="n">
        <v>860.96039</v>
      </c>
      <c r="AD26" s="625" t="n">
        <f aca="false">'Cuenta Ahorro-Inversión-Financi'!AE26+'Cuenta Ahorro-Inversión-Financi'!AF26</f>
        <v>75.02276</v>
      </c>
      <c r="AE26" s="632" t="n">
        <v>75.02276</v>
      </c>
      <c r="AF26" s="632"/>
      <c r="AG26" s="625" t="n">
        <f aca="false">'Cuenta Ahorro-Inversión-Financi'!AD26+'Cuenta Ahorro-Inversión-Financi'!F26</f>
        <v>126910673.65872</v>
      </c>
      <c r="AH26" s="629" t="n">
        <v>24603896.96684</v>
      </c>
      <c r="AI26" s="628" t="n">
        <f aca="false">'Cálculo masa impuestos copartic'!V22*1000</f>
        <v>24500782.05837</v>
      </c>
      <c r="AJ26" s="628"/>
      <c r="AK26" s="628" t="n">
        <v>79500</v>
      </c>
      <c r="AL26" s="628"/>
      <c r="AM26" s="628"/>
      <c r="AN26" s="627" t="n">
        <f aca="false">'Cuenta Ahorro-Inversión-Financi'!AH26-('Cuenta Ahorro-Inversión-Financi'!AI26+'Cuenta Ahorro-Inversión-Financi'!AK26+'Cuenta Ahorro-Inversión-Financi'!AL26+'Cuenta Ahorro-Inversión-Financi'!AM26)</f>
        <v>23614.9084699973</v>
      </c>
      <c r="AO26" s="627" t="n">
        <f aca="false">'Cuenta Ahorro-Inversión-Financi'!AI26-'Cuenta Ahorro-Inversión-Financi'!CH26+'Cuenta Ahorro-Inversión-Financi'!AK26</f>
        <v>8023574.68979</v>
      </c>
      <c r="AP26" s="627" t="n">
        <f aca="false">'Cuenta Ahorro-Inversión-Financi'!AO26</f>
        <v>8023574.68979</v>
      </c>
      <c r="AQ26" s="630" t="s">
        <v>894</v>
      </c>
      <c r="AR26" s="630"/>
      <c r="AS26" s="630"/>
      <c r="AT26" s="615"/>
      <c r="AU26" s="643" t="n">
        <f aca="false">'Cuenta Ahorro-Inversión-Financi'!BS26/'Cuenta Ahorro-Inversión-Financi'!AV26</f>
        <v>0.0361163487499761</v>
      </c>
      <c r="AV26" s="615" t="n">
        <f aca="false">'Cuenta Ahorro-Inversión-Financi'!BF26-'Cuenta Ahorro-Inversión-Financi'!BL26</f>
        <v>87610791.81245</v>
      </c>
      <c r="AW26" s="631" t="n">
        <v>2010</v>
      </c>
      <c r="AX26" s="625" t="n">
        <f aca="false">'Cuenta Ahorro-Inversión-Financi'!AY26+'Cuenta Ahorro-Inversión-Financi'!BC26+'Cuenta Ahorro-Inversión-Financi'!BF26+'Cuenta Ahorro-Inversión-Financi'!BX26</f>
        <v>117002353.53762</v>
      </c>
      <c r="AY26" s="627" t="n">
        <f aca="false">'Cuenta Ahorro-Inversión-Financi'!AZ26+'Cuenta Ahorro-Inversión-Financi'!BA26</f>
        <v>3204177.57701</v>
      </c>
      <c r="AZ26" s="627" t="n">
        <v>2053309.91602</v>
      </c>
      <c r="BA26" s="627" t="n">
        <v>1150867.66099</v>
      </c>
      <c r="BB26" s="627"/>
      <c r="BC26" s="627" t="n">
        <v>7486.75504</v>
      </c>
      <c r="BD26" s="627"/>
      <c r="BE26" s="627"/>
      <c r="BF26" s="625" t="n">
        <v>88357565.53045</v>
      </c>
      <c r="BG26" s="625"/>
      <c r="BH26" s="625"/>
      <c r="BI26" s="625"/>
      <c r="BJ26" s="625"/>
      <c r="BK26" s="625"/>
      <c r="BL26" s="627" t="n">
        <v>746773.718</v>
      </c>
      <c r="BM26" s="627" t="n">
        <v>43.72635</v>
      </c>
      <c r="BN26" s="627" t="n">
        <v>25433123.67512</v>
      </c>
      <c r="BO26" s="628" t="n">
        <v>22539373.99497</v>
      </c>
      <c r="BP26" s="628" t="n">
        <v>2892828.73941</v>
      </c>
      <c r="BQ26" s="628" t="n">
        <v>920.94074</v>
      </c>
      <c r="BR26" s="628" t="n">
        <v>22268941.76376</v>
      </c>
      <c r="BS26" s="628" t="n">
        <v>3164181.91136</v>
      </c>
      <c r="BT26" s="627"/>
      <c r="BU26" s="627"/>
      <c r="BV26" s="627"/>
      <c r="BW26" s="627"/>
      <c r="BX26" s="627" t="n">
        <f aca="false">'Cuenta Ahorro-Inversión-Financi'!BN26-'Cuenta Ahorro-Inversión-Financi'!BV26-'Cuenta Ahorro-Inversión-Financi'!BW26</f>
        <v>25433123.67512</v>
      </c>
      <c r="BY26" s="628" t="n">
        <v>6057010.65077</v>
      </c>
      <c r="BZ26" s="625" t="n">
        <f aca="false">'Cuenta Ahorro-Inversión-Financi'!CA26+'Cuenta Ahorro-Inversión-Financi'!CB26+'Cuenta Ahorro-Inversión-Financi'!CF26</f>
        <v>237204.35752</v>
      </c>
      <c r="CA26" s="627" t="n">
        <v>237204.35752</v>
      </c>
      <c r="CB26" s="627"/>
      <c r="CC26" s="627"/>
      <c r="CD26" s="627"/>
      <c r="CE26" s="627"/>
      <c r="CF26" s="641"/>
      <c r="CG26" s="625" t="n">
        <f aca="false">'Cuenta Ahorro-Inversión-Financi'!BZ26+'Cuenta Ahorro-Inversión-Financi'!AX26</f>
        <v>117239557.89514</v>
      </c>
      <c r="CH26" s="645" t="n">
        <v>16556707.36858</v>
      </c>
      <c r="CI26" s="645"/>
      <c r="CJ26" s="645" t="n">
        <f aca="false">4575635745.62/1000</f>
        <v>4575635.74562</v>
      </c>
      <c r="CK26" s="645" t="n">
        <f aca="false">9937274669.41/1000</f>
        <v>9937274.66941</v>
      </c>
      <c r="CL26" s="645" t="n">
        <f aca="false">11981071622.96/1000-CK26</f>
        <v>2043796.95355</v>
      </c>
      <c r="CM26" s="645" t="n">
        <v>2146300</v>
      </c>
      <c r="CN26" s="645"/>
      <c r="CO26" s="625" t="n">
        <f aca="false">'Cuenta Ahorro-Inversión-Financi'!F26-'Cuenta Ahorro-Inversión-Financi'!AX26</f>
        <v>9908245.09834002</v>
      </c>
      <c r="CP26" s="627" t="n">
        <f aca="false">'Cuenta Ahorro-Inversión-Financi'!CO26+'Cuenta Ahorro-Inversión-Financi'!AD26-'Cuenta Ahorro-Inversión-Financi'!BZ26</f>
        <v>9671115.76358002</v>
      </c>
      <c r="CQ26" s="627" t="n">
        <f aca="false">'Cuenta Ahorro-Inversión-Financi'!T26-'Cuenta Ahorro-Inversión-Financi'!BF26-'Cuenta Ahorro-Inversión-Financi'!BN26</f>
        <v>-29894867.06179</v>
      </c>
      <c r="CR26" s="627" t="n">
        <f aca="false">'Cuenta Ahorro-Inversión-Financi'!F26-'Cuenta Ahorro-Inversión-Financi'!BF26-'Cuenta Ahorro-Inversión-Financi'!BN26-'Cuenta Ahorro-Inversión-Financi'!X26</f>
        <v>4405181.88022001</v>
      </c>
      <c r="CS26" s="627"/>
      <c r="CT26" s="634" t="s">
        <v>895</v>
      </c>
      <c r="CU26" s="634"/>
      <c r="CW26" s="600" t="n">
        <v>2011</v>
      </c>
      <c r="CX26" s="605" t="n">
        <f aca="false">'PIB corriente base 1993'!V113*1000</f>
        <v>1567580176.90291</v>
      </c>
      <c r="CY26" s="605" t="n">
        <f aca="false">'PIB corriente base 1993'!V114*1000</f>
        <v>1976227335.64862</v>
      </c>
      <c r="CZ26" s="605" t="n">
        <f aca="false">'PIB corriente base 1993'!V115*1000</f>
        <v>1865390901.29288</v>
      </c>
      <c r="DA26" s="605" t="n">
        <f aca="false">'PIB corriente base 1993'!V116*1000</f>
        <v>1958890125.10449</v>
      </c>
      <c r="DB26" s="606" t="n">
        <f aca="false">'PIB corriente base 1993'!V26*1000</f>
        <v>1842022134.73722</v>
      </c>
      <c r="DC26" s="607" t="n">
        <f aca="false">'PIB corriente base 2004'!X68*1000</f>
        <v>1888827151.8458</v>
      </c>
      <c r="DD26" s="605" t="n">
        <f aca="false">'PIB corriente base 2004'!X69*1000</f>
        <v>2237123835.41491</v>
      </c>
      <c r="DE26" s="605" t="n">
        <f aca="false">'PIB corriente base 2004'!X70*1000</f>
        <v>2250487263.79217</v>
      </c>
      <c r="DF26" s="605" t="n">
        <f aca="false">'PIB corriente base 2004'!X71*1000</f>
        <v>2339658163.47023</v>
      </c>
      <c r="DG26" s="606" t="n">
        <f aca="false">('Cuenta Ahorro-Inversión-Financi'!DC26+'Cuenta Ahorro-Inversión-Financi'!DD26+'Cuenta Ahorro-Inversión-Financi'!DE26+'Cuenta Ahorro-Inversión-Financi'!DF26)/4</f>
        <v>2179024103.63078</v>
      </c>
      <c r="DT26" s="1" t="n">
        <v>38970.96</v>
      </c>
      <c r="DZ26" s="1" t="n">
        <f aca="false">DZ25+1</f>
        <v>2010</v>
      </c>
      <c r="EB26" s="28" t="n">
        <f aca="false">BO26-BV26-BW26</f>
        <v>22539373.99497</v>
      </c>
      <c r="EC26" s="28" t="n">
        <f aca="false">BS26</f>
        <v>3164181.91136</v>
      </c>
      <c r="ED26" s="456" t="n">
        <f aca="false">EB26/1000/'PIB corriente base 2004'!X14</f>
        <v>0.0135638744406843</v>
      </c>
      <c r="EE26" s="456" t="n">
        <f aca="false">EC26/1000/'PIB corriente base 2004'!X14</f>
        <v>0.00190415963472409</v>
      </c>
      <c r="EF26" s="456" t="n">
        <f aca="false">ED26+EE26</f>
        <v>0.0154680340754084</v>
      </c>
    </row>
    <row r="27" customFormat="false" ht="15.75" hidden="false" customHeight="true" outlineLevel="0" collapsed="false">
      <c r="A27" s="456" t="n">
        <f aca="false">'Cuenta Ahorro-Inversión-Financi'!X27/'Cuenta Ahorro-Inversión-Financi'!F27</f>
        <v>0.0651599327288397</v>
      </c>
      <c r="B27" s="456" t="n">
        <f aca="false">'Cuenta Ahorro-Inversión-Financi'!G27/'Cuenta Ahorro-Inversión-Financi'!F27</f>
        <v>0.270015059687846</v>
      </c>
      <c r="C27" s="456" t="n">
        <f aca="false">'Cuenta Ahorro-Inversión-Financi'!T27/'Cuenta Ahorro-Inversión-Financi'!F27</f>
        <v>0.664013268081788</v>
      </c>
      <c r="E27" s="609" t="n">
        <v>2011</v>
      </c>
      <c r="F27" s="610" t="n">
        <f aca="false">'Cuenta Ahorro-Inversión-Financi'!G27+'Cuenta Ahorro-Inversión-Financi'!S27+'Cuenta Ahorro-Inversión-Financi'!T27+'Cuenta Ahorro-Inversión-Financi'!X27+'Cuenta Ahorro-Inversión-Financi'!AA27</f>
        <v>169409001.69506</v>
      </c>
      <c r="G27" s="611" t="n">
        <f aca="false">'Cuenta Ahorro-Inversión-Financi'!H27+'Cuenta Ahorro-Inversión-Financi'!J27+'Cuenta Ahorro-Inversión-Financi'!P27+'Cuenta Ahorro-Inversión-Financi'!S27</f>
        <v>45742981.70435</v>
      </c>
      <c r="H27" s="612" t="n">
        <v>21562243.17099</v>
      </c>
      <c r="I27" s="612"/>
      <c r="J27" s="612" t="n">
        <v>20944519.45477</v>
      </c>
      <c r="K27" s="613" t="n">
        <v>15229500</v>
      </c>
      <c r="L27" s="613" t="n">
        <v>5715000</v>
      </c>
      <c r="M27" s="613" t="n">
        <f aca="false">IVA!AU126</f>
        <v>4027488</v>
      </c>
      <c r="N27" s="613" t="n">
        <f aca="false">IVA!AU160</f>
        <v>1693100.85</v>
      </c>
      <c r="O27" s="613"/>
      <c r="P27" s="612" t="n">
        <v>3098703.1</v>
      </c>
      <c r="Q27" s="612" t="n">
        <v>1013100</v>
      </c>
      <c r="R27" s="612" t="n">
        <v>2085600</v>
      </c>
      <c r="S27" s="612" t="n">
        <v>137515.97859</v>
      </c>
      <c r="T27" s="610" t="n">
        <f aca="false">'Cuenta Ahorro-Inversión-Financi'!U27+'Cuenta Ahorro-Inversión-Financi'!V27</f>
        <v>112489824.85801</v>
      </c>
      <c r="U27" s="612" t="n">
        <v>112486968.44241</v>
      </c>
      <c r="V27" s="612" t="n">
        <v>2856.4156</v>
      </c>
      <c r="W27" s="612"/>
      <c r="X27" s="612" t="n">
        <f aca="false">'Cuenta Ahorro-Inversión-Financi'!Y27+'Cuenta Ahorro-Inversión-Financi'!Z27</f>
        <v>11038679.15411</v>
      </c>
      <c r="Y27" s="612" t="n">
        <v>2490628.58199</v>
      </c>
      <c r="Z27" s="612" t="n">
        <v>8548050.57212</v>
      </c>
      <c r="AA27" s="612"/>
      <c r="AB27" s="612"/>
      <c r="AC27" s="612"/>
      <c r="AD27" s="610" t="n">
        <f aca="false">'Cuenta Ahorro-Inversión-Financi'!AE27+'Cuenta Ahorro-Inversión-Financi'!AF27</f>
        <v>948.60499</v>
      </c>
      <c r="AE27" s="612" t="n">
        <v>948.60499</v>
      </c>
      <c r="AF27" s="612"/>
      <c r="AG27" s="610" t="n">
        <f aca="false">'Cuenta Ahorro-Inversión-Financi'!AD27+'Cuenta Ahorro-Inversión-Financi'!F27</f>
        <v>169409950.30005</v>
      </c>
      <c r="AH27" s="610" t="n">
        <v>35217634.12208</v>
      </c>
      <c r="AI27" s="613" t="n">
        <f aca="false">'Cálculo masa impuestos copartic'!V23*1000</f>
        <v>32436095.45798</v>
      </c>
      <c r="AJ27" s="613"/>
      <c r="AK27" s="613" t="n">
        <v>3599400</v>
      </c>
      <c r="AL27" s="613"/>
      <c r="AM27" s="613"/>
      <c r="AN27" s="612" t="n">
        <f aca="false">'Cuenta Ahorro-Inversión-Financi'!AH27-('Cuenta Ahorro-Inversión-Financi'!AI27+'Cuenta Ahorro-Inversión-Financi'!AK27+'Cuenta Ahorro-Inversión-Financi'!AL27+'Cuenta Ahorro-Inversión-Financi'!AM27)</f>
        <v>-817861.335900009</v>
      </c>
      <c r="AO27" s="612" t="n">
        <f aca="false">'Cuenta Ahorro-Inversión-Financi'!AI27-'Cuenta Ahorro-Inversión-Financi'!CH27+'Cuenta Ahorro-Inversión-Financi'!AK27</f>
        <v>13102459.96482</v>
      </c>
      <c r="AP27" s="612" t="n">
        <f aca="false">'Cuenta Ahorro-Inversión-Financi'!AO27</f>
        <v>13102459.96482</v>
      </c>
      <c r="AQ27" s="635" t="s">
        <v>896</v>
      </c>
      <c r="AR27" s="635"/>
      <c r="AS27" s="635"/>
      <c r="AT27" s="615"/>
      <c r="AU27" s="643" t="n">
        <f aca="false">'Cuenta Ahorro-Inversión-Financi'!BS27/'Cuenta Ahorro-Inversión-Financi'!AV27</f>
        <v>0.0361466329034587</v>
      </c>
      <c r="AV27" s="615" t="n">
        <f aca="false">'Cuenta Ahorro-Inversión-Financi'!BF27-'Cuenta Ahorro-Inversión-Financi'!BL27</f>
        <v>120983243.7165</v>
      </c>
      <c r="AW27" s="631" t="n">
        <v>2011</v>
      </c>
      <c r="AX27" s="617" t="n">
        <f aca="false">'Cuenta Ahorro-Inversión-Financi'!AY27+'Cuenta Ahorro-Inversión-Financi'!BC27+'Cuenta Ahorro-Inversión-Financi'!BF27+'Cuenta Ahorro-Inversión-Financi'!BX27</f>
        <v>155084199.71855</v>
      </c>
      <c r="AY27" s="620" t="n">
        <f aca="false">'Cuenta Ahorro-Inversión-Financi'!AZ27+'Cuenta Ahorro-Inversión-Financi'!BA27</f>
        <v>4769282.46596</v>
      </c>
      <c r="AZ27" s="618" t="n">
        <v>2904073.58275</v>
      </c>
      <c r="BA27" s="618" t="n">
        <v>1865208.88321</v>
      </c>
      <c r="BB27" s="618"/>
      <c r="BC27" s="618" t="n">
        <v>7431.09504</v>
      </c>
      <c r="BD27" s="618"/>
      <c r="BE27" s="618"/>
      <c r="BF27" s="617" t="n">
        <v>122008681.1515</v>
      </c>
      <c r="BG27" s="617"/>
      <c r="BH27" s="617"/>
      <c r="BI27" s="618"/>
      <c r="BJ27" s="618"/>
      <c r="BK27" s="618"/>
      <c r="BL27" s="618" t="n">
        <v>1025437.435</v>
      </c>
      <c r="BM27" s="618" t="n">
        <v>16.95753</v>
      </c>
      <c r="BN27" s="618" t="n">
        <v>28298805.00605</v>
      </c>
      <c r="BO27" s="619" t="n">
        <v>26849972.03183</v>
      </c>
      <c r="BP27" s="619" t="n">
        <v>1446422.66327</v>
      </c>
      <c r="BQ27" s="619" t="n">
        <v>2410.31095</v>
      </c>
      <c r="BR27" s="619" t="n">
        <v>23925668.10796</v>
      </c>
      <c r="BS27" s="619" t="n">
        <v>4373136.89809</v>
      </c>
      <c r="BT27" s="618"/>
      <c r="BU27" s="618"/>
      <c r="BV27" s="618"/>
      <c r="BW27" s="618"/>
      <c r="BX27" s="618" t="n">
        <f aca="false">'Cuenta Ahorro-Inversión-Financi'!BN27-'Cuenta Ahorro-Inversión-Financi'!BV27-'Cuenta Ahorro-Inversión-Financi'!BW27</f>
        <v>28298805.00605</v>
      </c>
      <c r="BY27" s="619" t="n">
        <v>5819559.56136</v>
      </c>
      <c r="BZ27" s="617" t="n">
        <f aca="false">'Cuenta Ahorro-Inversión-Financi'!CA27+'Cuenta Ahorro-Inversión-Financi'!CB27+'Cuenta Ahorro-Inversión-Financi'!CF27</f>
        <v>3431554.86602</v>
      </c>
      <c r="CA27" s="618" t="n">
        <v>3431554.86602</v>
      </c>
      <c r="CB27" s="618"/>
      <c r="CC27" s="618"/>
      <c r="CD27" s="618"/>
      <c r="CE27" s="618"/>
      <c r="CF27" s="618"/>
      <c r="CG27" s="617" t="n">
        <f aca="false">'Cuenta Ahorro-Inversión-Financi'!BZ27+'Cuenta Ahorro-Inversión-Financi'!AX27</f>
        <v>158515754.58457</v>
      </c>
      <c r="CH27" s="617" t="n">
        <v>22933035.49316</v>
      </c>
      <c r="CI27" s="617"/>
      <c r="CJ27" s="617" t="n">
        <f aca="false">5370180455.24/1000</f>
        <v>5370180.45524</v>
      </c>
      <c r="CK27" s="617" t="n">
        <f aca="false">14911309725.59/1000</f>
        <v>14911309.72559</v>
      </c>
      <c r="CL27" s="617" t="n">
        <f aca="false">17562855037.92/1000-CK27</f>
        <v>2651545.31233</v>
      </c>
      <c r="CM27" s="617" t="n">
        <v>2247300</v>
      </c>
      <c r="CN27" s="617"/>
      <c r="CO27" s="617" t="n">
        <f aca="false">'Cuenta Ahorro-Inversión-Financi'!F27-'Cuenta Ahorro-Inversión-Financi'!AX27</f>
        <v>14324801.97651</v>
      </c>
      <c r="CP27" s="618" t="n">
        <f aca="false">'Cuenta Ahorro-Inversión-Financi'!CO27+'Cuenta Ahorro-Inversión-Financi'!AD27-'Cuenta Ahorro-Inversión-Financi'!BZ27</f>
        <v>10894195.71548</v>
      </c>
      <c r="CQ27" s="618" t="n">
        <f aca="false">'Cuenta Ahorro-Inversión-Financi'!T27-'Cuenta Ahorro-Inversión-Financi'!BF27-'Cuenta Ahorro-Inversión-Financi'!BN27</f>
        <v>-37817661.29954</v>
      </c>
      <c r="CR27" s="618" t="n">
        <f aca="false">'Cuenta Ahorro-Inversión-Financi'!F27-'Cuenta Ahorro-Inversión-Financi'!BF27-'Cuenta Ahorro-Inversión-Financi'!BN27-'Cuenta Ahorro-Inversión-Financi'!X27</f>
        <v>8062836.38340001</v>
      </c>
      <c r="CS27" s="618"/>
      <c r="CT27" s="637" t="s">
        <v>897</v>
      </c>
      <c r="CU27" s="637"/>
      <c r="CW27" s="600" t="n">
        <v>2012</v>
      </c>
      <c r="CX27" s="98" t="n">
        <f aca="false">'PIB corriente base 1993'!V117*1000</f>
        <v>1874935021.52041</v>
      </c>
      <c r="CY27" s="98" t="n">
        <f aca="false">'PIB corriente base 1993'!V118*1000</f>
        <v>2273161692.87246</v>
      </c>
      <c r="CZ27" s="98" t="n">
        <f aca="false">'PIB corriente base 1993'!V119*1000</f>
        <v>2182909396.91315</v>
      </c>
      <c r="DA27" s="98" t="n">
        <f aca="false">'PIB corriente base 1993'!V120*1000</f>
        <v>2325977392.34812</v>
      </c>
      <c r="DB27" s="622" t="n">
        <f aca="false">'PIB corriente base 1993'!V27*1000</f>
        <v>2164245875.91353</v>
      </c>
      <c r="DC27" s="623" t="n">
        <f aca="false">'PIB corriente base 2004'!X72*1000</f>
        <v>2345559603.35263</v>
      </c>
      <c r="DD27" s="98" t="n">
        <f aca="false">'PIB corriente base 2004'!X73*1000</f>
        <v>2651098046.38803</v>
      </c>
      <c r="DE27" s="98" t="n">
        <f aca="false">'PIB corriente base 2004'!X74*1000</f>
        <v>2704827549.85526</v>
      </c>
      <c r="DF27" s="98" t="n">
        <f aca="false">'PIB corriente base 2004'!X75*1000</f>
        <v>2850170193.26628</v>
      </c>
      <c r="DG27" s="622" t="n">
        <f aca="false">('Cuenta Ahorro-Inversión-Financi'!DC27+'Cuenta Ahorro-Inversión-Financi'!DD27+'Cuenta Ahorro-Inversión-Financi'!DE27+'Cuenta Ahorro-Inversión-Financi'!DF27)/4</f>
        <v>2637913848.21555</v>
      </c>
      <c r="DT27" s="1" t="n">
        <f aca="false">DT25+DT26</f>
        <v>142501.75</v>
      </c>
      <c r="DZ27" s="1" t="n">
        <f aca="false">DZ26+1</f>
        <v>2011</v>
      </c>
      <c r="EB27" s="28" t="n">
        <f aca="false">BO27-BV27-BW27</f>
        <v>26849972.03183</v>
      </c>
      <c r="EC27" s="28" t="n">
        <f aca="false">BS27</f>
        <v>4373136.89809</v>
      </c>
      <c r="ED27" s="456" t="n">
        <f aca="false">EB27/1000/'PIB corriente base 2004'!X15</f>
        <v>0.0123220169924195</v>
      </c>
      <c r="EE27" s="456" t="n">
        <f aca="false">EC27/1000/'PIB corriente base 2004'!X15</f>
        <v>0.00200692451763306</v>
      </c>
      <c r="EF27" s="456" t="n">
        <f aca="false">ED27+EE27</f>
        <v>0.0143289415100525</v>
      </c>
    </row>
    <row r="28" customFormat="false" ht="15.75" hidden="false" customHeight="true" outlineLevel="0" collapsed="false">
      <c r="A28" s="456" t="n">
        <f aca="false">'Cuenta Ahorro-Inversión-Financi'!X28/'Cuenta Ahorro-Inversión-Financi'!F28</f>
        <v>0.0775620664073341</v>
      </c>
      <c r="B28" s="456" t="n">
        <f aca="false">'Cuenta Ahorro-Inversión-Financi'!G28/'Cuenta Ahorro-Inversión-Financi'!F28</f>
        <v>0.263983421001382</v>
      </c>
      <c r="C28" s="456" t="n">
        <f aca="false">'Cuenta Ahorro-Inversión-Financi'!T28/'Cuenta Ahorro-Inversión-Financi'!F28</f>
        <v>0.657799376550832</v>
      </c>
      <c r="D28" s="456" t="n">
        <f aca="false">'Cuenta Ahorro-Inversión-Financi'!D30/'Cuenta Ahorro-Inversión-Financi'!F30</f>
        <v>0.184611548175588</v>
      </c>
      <c r="E28" s="609" t="n">
        <v>2012</v>
      </c>
      <c r="F28" s="625" t="n">
        <f aca="false">'Cuenta Ahorro-Inversión-Financi'!G28+'Cuenta Ahorro-Inversión-Financi'!S28+'Cuenta Ahorro-Inversión-Financi'!T28+'Cuenta Ahorro-Inversión-Financi'!X28+'Cuenta Ahorro-Inversión-Financi'!AA28</f>
        <v>223682627.12131</v>
      </c>
      <c r="G28" s="626" t="n">
        <f aca="false">'Cuenta Ahorro-Inversión-Financi'!H28+'Cuenta Ahorro-Inversión-Financi'!I28+'Cuenta Ahorro-Inversión-Financi'!J28+'Cuenta Ahorro-Inversión-Financi'!P28</f>
        <v>59048505.12606</v>
      </c>
      <c r="H28" s="632" t="n">
        <v>27594331.3664</v>
      </c>
      <c r="I28" s="632"/>
      <c r="J28" s="632" t="n">
        <v>27552352.55966</v>
      </c>
      <c r="K28" s="633" t="n">
        <v>19313800</v>
      </c>
      <c r="L28" s="633" t="n">
        <v>8238600</v>
      </c>
      <c r="M28" s="633" t="n">
        <f aca="false">IVA!AU127</f>
        <v>5790030.36488</v>
      </c>
      <c r="N28" s="633" t="n">
        <f aca="false">IVA!AU161</f>
        <v>2383408.8533178</v>
      </c>
      <c r="O28" s="633"/>
      <c r="P28" s="632" t="n">
        <v>3901821.2</v>
      </c>
      <c r="Q28" s="632" t="n">
        <v>1229100</v>
      </c>
      <c r="R28" s="632" t="n">
        <v>2672800</v>
      </c>
      <c r="S28" s="632" t="n">
        <v>146542.55065</v>
      </c>
      <c r="T28" s="625" t="n">
        <f aca="false">'Cuenta Ahorro-Inversión-Financi'!U28+'Cuenta Ahorro-Inversión-Financi'!V28</f>
        <v>147138292.66565</v>
      </c>
      <c r="U28" s="632" t="n">
        <v>147135247.57891</v>
      </c>
      <c r="V28" s="632" t="n">
        <v>3045.08674</v>
      </c>
      <c r="W28" s="632"/>
      <c r="X28" s="632" t="n">
        <f aca="false">'Cuenta Ahorro-Inversión-Financi'!Y28+'Cuenta Ahorro-Inversión-Financi'!Z28</f>
        <v>17349286.77895</v>
      </c>
      <c r="Y28" s="632" t="n">
        <v>3941953.62273</v>
      </c>
      <c r="Z28" s="632" t="n">
        <v>13407333.15622</v>
      </c>
      <c r="AA28" s="632"/>
      <c r="AB28" s="632"/>
      <c r="AC28" s="632"/>
      <c r="AD28" s="625" t="n">
        <f aca="false">'Cuenta Ahorro-Inversión-Financi'!AE28+'Cuenta Ahorro-Inversión-Financi'!AF28</f>
        <v>1242.817</v>
      </c>
      <c r="AE28" s="632" t="n">
        <v>1242.817</v>
      </c>
      <c r="AF28" s="632"/>
      <c r="AG28" s="625" t="n">
        <f aca="false">'Cuenta Ahorro-Inversión-Financi'!AD28+'Cuenta Ahorro-Inversión-Financi'!F28</f>
        <v>223683869.93831</v>
      </c>
      <c r="AH28" s="629" t="n">
        <v>42293145.4656</v>
      </c>
      <c r="AI28" s="628" t="n">
        <f aca="false">'Cálculo masa impuestos copartic'!V24*1000</f>
        <v>41041468.20529</v>
      </c>
      <c r="AJ28" s="628"/>
      <c r="AK28" s="628" t="n">
        <v>1257700</v>
      </c>
      <c r="AL28" s="628"/>
      <c r="AM28" s="628"/>
      <c r="AN28" s="627" t="n">
        <f aca="false">'Cuenta Ahorro-Inversión-Financi'!AH28-('Cuenta Ahorro-Inversión-Financi'!AI28+'Cuenta Ahorro-Inversión-Financi'!AK28+'Cuenta Ahorro-Inversión-Financi'!AL28+'Cuenta Ahorro-Inversión-Financi'!AM28)</f>
        <v>-6022.73969000578</v>
      </c>
      <c r="AO28" s="627" t="n">
        <f aca="false">'Cuenta Ahorro-Inversión-Financi'!AI28-'Cuenta Ahorro-Inversión-Financi'!CH28+'Cuenta Ahorro-Inversión-Financi'!AK28</f>
        <v>9009095.58106</v>
      </c>
      <c r="AP28" s="627" t="n">
        <f aca="false">'Cuenta Ahorro-Inversión-Financi'!AO28</f>
        <v>9009095.58106</v>
      </c>
      <c r="AQ28" s="630" t="s">
        <v>896</v>
      </c>
      <c r="AR28" s="630"/>
      <c r="AS28" s="630"/>
      <c r="AT28" s="615"/>
      <c r="AU28" s="643" t="n">
        <f aca="false">'Cuenta Ahorro-Inversión-Financi'!BS28/'Cuenta Ahorro-Inversión-Financi'!AV28</f>
        <v>0.0361332920963871</v>
      </c>
      <c r="AV28" s="615" t="n">
        <f aca="false">'Cuenta Ahorro-Inversión-Financi'!BF28-'Cuenta Ahorro-Inversión-Financi'!BL28</f>
        <v>167310862.62728</v>
      </c>
      <c r="AW28" s="631" t="n">
        <v>2012</v>
      </c>
      <c r="AX28" s="625" t="n">
        <f aca="false">'Cuenta Ahorro-Inversión-Financi'!AY28+'Cuenta Ahorro-Inversión-Financi'!BC28+'Cuenta Ahorro-Inversión-Financi'!BF28+'Cuenta Ahorro-Inversión-Financi'!BX28</f>
        <v>207264644.51784</v>
      </c>
      <c r="AY28" s="627" t="n">
        <f aca="false">'Cuenta Ahorro-Inversión-Financi'!AZ28+'Cuenta Ahorro-Inversión-Financi'!BA28</f>
        <v>6238307.1858</v>
      </c>
      <c r="AZ28" s="627" t="n">
        <v>4036963.62681</v>
      </c>
      <c r="BA28" s="627" t="n">
        <v>2201343.55899</v>
      </c>
      <c r="BB28" s="627"/>
      <c r="BC28" s="627" t="n">
        <v>5139.49715</v>
      </c>
      <c r="BD28" s="627"/>
      <c r="BE28" s="627"/>
      <c r="BF28" s="625" t="n">
        <v>168714869.37028</v>
      </c>
      <c r="BG28" s="625"/>
      <c r="BH28" s="625"/>
      <c r="BI28" s="625"/>
      <c r="BJ28" s="625"/>
      <c r="BK28" s="625"/>
      <c r="BL28" s="627" t="n">
        <v>1404006.743</v>
      </c>
      <c r="BM28" s="627" t="n">
        <v>46.41546</v>
      </c>
      <c r="BN28" s="627" t="n">
        <v>32306328.46461</v>
      </c>
      <c r="BO28" s="628" t="n">
        <v>31350207.37518</v>
      </c>
      <c r="BP28" s="628" t="n">
        <v>953762.92164</v>
      </c>
      <c r="BQ28" s="628" t="n">
        <v>2358.16779</v>
      </c>
      <c r="BR28" s="628" t="n">
        <v>26260836.1944</v>
      </c>
      <c r="BS28" s="628" t="n">
        <v>6045492.27021</v>
      </c>
      <c r="BT28" s="627"/>
      <c r="BU28" s="627"/>
      <c r="BV28" s="627"/>
      <c r="BW28" s="627"/>
      <c r="BX28" s="627" t="n">
        <f aca="false">'Cuenta Ahorro-Inversión-Financi'!BN28-'Cuenta Ahorro-Inversión-Financi'!BV28-'Cuenta Ahorro-Inversión-Financi'!BW28</f>
        <v>32306328.46461</v>
      </c>
      <c r="BY28" s="640" t="n">
        <v>6999255.19185</v>
      </c>
      <c r="BZ28" s="625" t="n">
        <f aca="false">'Cuenta Ahorro-Inversión-Financi'!CA28+'Cuenta Ahorro-Inversión-Financi'!CB28+'Cuenta Ahorro-Inversión-Financi'!CF28</f>
        <v>787215.01216</v>
      </c>
      <c r="CA28" s="627" t="n">
        <v>787215.01216</v>
      </c>
      <c r="CB28" s="627"/>
      <c r="CC28" s="627"/>
      <c r="CD28" s="627"/>
      <c r="CE28" s="627"/>
      <c r="CF28" s="641"/>
      <c r="CG28" s="625" t="n">
        <f aca="false">'Cuenta Ahorro-Inversión-Financi'!BZ28+'Cuenta Ahorro-Inversión-Financi'!AX28</f>
        <v>208051859.53</v>
      </c>
      <c r="CH28" s="625" t="n">
        <v>33290072.62423</v>
      </c>
      <c r="CI28" s="625"/>
      <c r="CJ28" s="625" t="n">
        <f aca="false">6683313773.34/1000</f>
        <v>6683313.77334</v>
      </c>
      <c r="CK28" s="625" t="n">
        <f aca="false">22968771929.72/1000</f>
        <v>22968771.92972</v>
      </c>
      <c r="CL28" s="625" t="n">
        <f aca="false">26606758850.89/1000-CK28</f>
        <v>3637986.92117</v>
      </c>
      <c r="CM28" s="625" t="n">
        <v>3258800</v>
      </c>
      <c r="CN28" s="625"/>
      <c r="CO28" s="625" t="n">
        <f aca="false">'Cuenta Ahorro-Inversión-Financi'!F28-'Cuenta Ahorro-Inversión-Financi'!AX28</f>
        <v>16417982.60347</v>
      </c>
      <c r="CP28" s="627" t="n">
        <f aca="false">'Cuenta Ahorro-Inversión-Financi'!CO28+'Cuenta Ahorro-Inversión-Financi'!AD28-'Cuenta Ahorro-Inversión-Financi'!BZ28</f>
        <v>15632010.40831</v>
      </c>
      <c r="CQ28" s="627" t="n">
        <f aca="false">'Cuenta Ahorro-Inversión-Financi'!T28-'Cuenta Ahorro-Inversión-Financi'!BF28-'Cuenta Ahorro-Inversión-Financi'!BN28</f>
        <v>-53882905.16924</v>
      </c>
      <c r="CR28" s="627" t="n">
        <f aca="false">'Cuenta Ahorro-Inversión-Financi'!F28-'Cuenta Ahorro-Inversión-Financi'!BF28-'Cuenta Ahorro-Inversión-Financi'!BN28-'Cuenta Ahorro-Inversión-Financi'!X28</f>
        <v>5312142.50747</v>
      </c>
      <c r="CS28" s="627"/>
      <c r="CT28" s="634" t="s">
        <v>898</v>
      </c>
      <c r="CU28" s="634"/>
      <c r="CW28" s="600" t="n">
        <v>2013</v>
      </c>
      <c r="CX28" s="605" t="n">
        <f aca="false">'PIB corriente base 1993'!V121*1000</f>
        <v>2279489347.68641</v>
      </c>
      <c r="CY28" s="605" t="n">
        <f aca="false">'PIB corriente base 1993'!V122*1000</f>
        <v>2907278370.40264</v>
      </c>
      <c r="CZ28" s="605" t="n">
        <f aca="false">'PIB corriente base 1993'!V123*1000</f>
        <v>2711457487.65021</v>
      </c>
      <c r="DA28" s="605"/>
      <c r="DB28" s="608"/>
      <c r="DC28" s="607" t="n">
        <f aca="false">'PIB corriente base 2004'!X76*1000</f>
        <v>2888980859.07111</v>
      </c>
      <c r="DD28" s="605" t="n">
        <f aca="false">'PIB corriente base 2004'!X77*1000</f>
        <v>3387810912.05468</v>
      </c>
      <c r="DE28" s="605" t="n">
        <f aca="false">'PIB corriente base 2004'!X78*1000</f>
        <v>3436546546.3782</v>
      </c>
      <c r="DF28" s="605" t="n">
        <f aca="false">'PIB corriente base 2004'!X79*1000</f>
        <v>3679895635.40483</v>
      </c>
      <c r="DG28" s="606" t="n">
        <f aca="false">('Cuenta Ahorro-Inversión-Financi'!DC28+'Cuenta Ahorro-Inversión-Financi'!DD28+'Cuenta Ahorro-Inversión-Financi'!DE28+'Cuenta Ahorro-Inversión-Financi'!DF28)/4</f>
        <v>3348308488.22721</v>
      </c>
      <c r="DZ28" s="1" t="n">
        <f aca="false">DZ27+1</f>
        <v>2012</v>
      </c>
      <c r="EB28" s="28" t="n">
        <f aca="false">BO28-BV28-BW28</f>
        <v>31350207.37518</v>
      </c>
      <c r="EC28" s="28" t="n">
        <f aca="false">BS28</f>
        <v>6045492.27021</v>
      </c>
      <c r="ED28" s="456" t="n">
        <f aca="false">EB28/1000/'PIB corriente base 2004'!X16</f>
        <v>0.0118844697662842</v>
      </c>
      <c r="EE28" s="456" t="n">
        <f aca="false">EC28/1000/'PIB corriente base 2004'!X16</f>
        <v>0.0022917701706974</v>
      </c>
      <c r="EF28" s="456" t="n">
        <f aca="false">ED28+EE28</f>
        <v>0.0141762399369816</v>
      </c>
    </row>
    <row r="29" customFormat="false" ht="15.75" hidden="false" customHeight="true" outlineLevel="0" collapsed="false">
      <c r="A29" s="456" t="n">
        <f aca="false">'Cuenta Ahorro-Inversión-Financi'!X29/'Cuenta Ahorro-Inversión-Financi'!F29</f>
        <v>0.0786692756443367</v>
      </c>
      <c r="B29" s="456" t="n">
        <f aca="false">'Cuenta Ahorro-Inversión-Financi'!G29/'Cuenta Ahorro-Inversión-Financi'!F29</f>
        <v>0.25656581837507</v>
      </c>
      <c r="C29" s="456" t="n">
        <f aca="false">'Cuenta Ahorro-Inversión-Financi'!T29/'Cuenta Ahorro-Inversión-Financi'!F29</f>
        <v>0.664155019013831</v>
      </c>
      <c r="D29" s="646" t="n">
        <f aca="false">'Cuenta Ahorro-Inversión-Financi'!D30/'PIB corriente base 2004'!X18/1000</f>
        <v>0.0157236604228433</v>
      </c>
      <c r="E29" s="609" t="s">
        <v>899</v>
      </c>
      <c r="F29" s="610" t="n">
        <f aca="false">'Cuenta Ahorro-Inversión-Financi'!G29+'Cuenta Ahorro-Inversión-Financi'!S29+'Cuenta Ahorro-Inversión-Financi'!T29+'Cuenta Ahorro-Inversión-Financi'!X29+'Cuenta Ahorro-Inversión-Financi'!AA29</f>
        <v>290750376.14137</v>
      </c>
      <c r="G29" s="611" t="n">
        <f aca="false">'Cuenta Ahorro-Inversión-Financi'!H29+'Cuenta Ahorro-Inversión-Financi'!I29+'Cuenta Ahorro-Inversión-Financi'!J29+'Cuenta Ahorro-Inversión-Financi'!P29</f>
        <v>74596608.19757</v>
      </c>
      <c r="H29" s="612" t="n">
        <v>36576358.35</v>
      </c>
      <c r="I29" s="612"/>
      <c r="J29" s="612" t="n">
        <v>33588815.15742</v>
      </c>
      <c r="K29" s="613" t="n">
        <v>24906800</v>
      </c>
      <c r="L29" s="613" t="n">
        <v>8682000</v>
      </c>
      <c r="M29" s="647" t="n">
        <v>5520810</v>
      </c>
      <c r="N29" s="613" t="n">
        <v>3143729.149</v>
      </c>
      <c r="O29" s="613"/>
      <c r="P29" s="612" t="n">
        <v>4431434.69015</v>
      </c>
      <c r="Q29" s="612" t="n">
        <v>1332400</v>
      </c>
      <c r="R29" s="612" t="n">
        <v>3099000</v>
      </c>
      <c r="S29" s="612" t="n">
        <v>177324.86499</v>
      </c>
      <c r="T29" s="610" t="n">
        <f aca="false">'Cuenta Ahorro-Inversión-Financi'!U29+'Cuenta Ahorro-Inversión-Financi'!V29</f>
        <v>193103321.59445</v>
      </c>
      <c r="U29" s="612" t="n">
        <v>193099315.67488</v>
      </c>
      <c r="V29" s="612" t="n">
        <v>4005.91957</v>
      </c>
      <c r="W29" s="612"/>
      <c r="X29" s="612" t="n">
        <f aca="false">'Cuenta Ahorro-Inversión-Financi'!Y29+'Cuenta Ahorro-Inversión-Financi'!Z29</f>
        <v>22873121.48436</v>
      </c>
      <c r="Y29" s="612" t="n">
        <v>2956717.95669</v>
      </c>
      <c r="Z29" s="612" t="n">
        <v>19916403.52767</v>
      </c>
      <c r="AA29" s="612"/>
      <c r="AB29" s="612"/>
      <c r="AC29" s="612"/>
      <c r="AD29" s="610" t="n">
        <f aca="false">'Cuenta Ahorro-Inversión-Financi'!AE29+'Cuenta Ahorro-Inversión-Financi'!AF29</f>
        <v>133.18862</v>
      </c>
      <c r="AE29" s="612" t="n">
        <v>133.18862</v>
      </c>
      <c r="AF29" s="612"/>
      <c r="AG29" s="610" t="n">
        <f aca="false">'Cuenta Ahorro-Inversión-Financi'!AD29+'Cuenta Ahorro-Inversión-Financi'!F29</f>
        <v>290750509.32999</v>
      </c>
      <c r="AH29" s="610" t="n">
        <v>57546857.63431</v>
      </c>
      <c r="AI29" s="613" t="n">
        <f aca="false">'Cálculo masa impuestos copartic'!V25*1000</f>
        <v>53287660.80492</v>
      </c>
      <c r="AJ29" s="613"/>
      <c r="AK29" s="613" t="n">
        <v>4091400</v>
      </c>
      <c r="AL29" s="613"/>
      <c r="AM29" s="613"/>
      <c r="AN29" s="612" t="n">
        <f aca="false">'Cuenta Ahorro-Inversión-Financi'!AH29-('Cuenta Ahorro-Inversión-Financi'!AI29+'Cuenta Ahorro-Inversión-Financi'!AK29+'Cuenta Ahorro-Inversión-Financi'!AL29+'Cuenta Ahorro-Inversión-Financi'!AM29)</f>
        <v>167796.829389997</v>
      </c>
      <c r="AO29" s="612" t="n">
        <f aca="false">'Cuenta Ahorro-Inversión-Financi'!AI29-'Cuenta Ahorro-Inversión-Financi'!CH29+'Cuenta Ahorro-Inversión-Financi'!AK29</f>
        <v>12400660.45675</v>
      </c>
      <c r="AP29" s="612" t="n">
        <f aca="false">'Cuenta Ahorro-Inversión-Financi'!AO29</f>
        <v>12400660.45675</v>
      </c>
      <c r="AQ29" s="635" t="s">
        <v>894</v>
      </c>
      <c r="AR29" s="635"/>
      <c r="AS29" s="635"/>
      <c r="AT29" s="615"/>
      <c r="AU29" s="643" t="n">
        <f aca="false">'Cuenta Ahorro-Inversión-Financi'!BS29/'Cuenta Ahorro-Inversión-Financi'!AV29</f>
        <v>0.0361230925341285</v>
      </c>
      <c r="AV29" s="615" t="n">
        <f aca="false">'Cuenta Ahorro-Inversión-Financi'!BF29-'Cuenta Ahorro-Inversión-Financi'!BL29</f>
        <v>221127013.62164</v>
      </c>
      <c r="AW29" s="631" t="n">
        <v>2013</v>
      </c>
      <c r="AX29" s="617" t="n">
        <f aca="false">'Cuenta Ahorro-Inversión-Financi'!AY29+'Cuenta Ahorro-Inversión-Financi'!BC29+'Cuenta Ahorro-Inversión-Financi'!BF29+'Cuenta Ahorro-Inversión-Financi'!BX29</f>
        <v>273893831.25088</v>
      </c>
      <c r="AY29" s="620" t="n">
        <f aca="false">'Cuenta Ahorro-Inversión-Financi'!AZ29+'Cuenta Ahorro-Inversión-Financi'!BA29</f>
        <v>7042799.31211</v>
      </c>
      <c r="AZ29" s="618" t="n">
        <v>4924354.26817</v>
      </c>
      <c r="BA29" s="618" t="n">
        <v>2118445.04394</v>
      </c>
      <c r="BB29" s="618"/>
      <c r="BC29" s="618" t="n">
        <v>15667.92188</v>
      </c>
      <c r="BD29" s="618"/>
      <c r="BE29" s="618"/>
      <c r="BF29" s="617" t="n">
        <v>222971544.92064</v>
      </c>
      <c r="BG29" s="617"/>
      <c r="BH29" s="617"/>
      <c r="BI29" s="618"/>
      <c r="BJ29" s="618"/>
      <c r="BK29" s="618"/>
      <c r="BL29" s="618" t="n">
        <v>1844531.299</v>
      </c>
      <c r="BM29" s="618" t="n">
        <v>49.19102</v>
      </c>
      <c r="BN29" s="618" t="n">
        <v>43863819.09625</v>
      </c>
      <c r="BO29" s="619" t="n">
        <v>42607031.08229</v>
      </c>
      <c r="BP29" s="619" t="n">
        <v>1253574.1296</v>
      </c>
      <c r="BQ29" s="619" t="n">
        <v>3213.88436</v>
      </c>
      <c r="BR29" s="619" t="n">
        <v>35876027.5214</v>
      </c>
      <c r="BS29" s="619" t="n">
        <v>7987791.57485</v>
      </c>
      <c r="BT29" s="618"/>
      <c r="BU29" s="618"/>
      <c r="BV29" s="618"/>
      <c r="BW29" s="618"/>
      <c r="BX29" s="618" t="n">
        <f aca="false">'Cuenta Ahorro-Inversión-Financi'!BN29-'Cuenta Ahorro-Inversión-Financi'!BV29-'Cuenta Ahorro-Inversión-Financi'!BW29</f>
        <v>43863819.09625</v>
      </c>
      <c r="BY29" s="619" t="n">
        <v>9241365.70445</v>
      </c>
      <c r="BZ29" s="617" t="n">
        <f aca="false">'Cuenta Ahorro-Inversión-Financi'!CA29+'Cuenta Ahorro-Inversión-Financi'!CB29+'Cuenta Ahorro-Inversión-Financi'!CF29</f>
        <v>3979963.77415</v>
      </c>
      <c r="CA29" s="618" t="n">
        <v>3979963.77415</v>
      </c>
      <c r="CB29" s="618"/>
      <c r="CC29" s="618"/>
      <c r="CD29" s="618"/>
      <c r="CE29" s="618"/>
      <c r="CF29" s="618"/>
      <c r="CG29" s="617" t="n">
        <f aca="false">'Cuenta Ahorro-Inversión-Financi'!BZ29+'Cuenta Ahorro-Inversión-Financi'!AX29</f>
        <v>277873795.02503</v>
      </c>
      <c r="CH29" s="617" t="n">
        <v>44978400.34817</v>
      </c>
      <c r="CI29" s="617"/>
      <c r="CJ29" s="617" t="n">
        <f aca="false">8856389210.15/1000</f>
        <v>8856389.21015</v>
      </c>
      <c r="CK29" s="617" t="n">
        <f aca="false">31731419637.49/1000</f>
        <v>31731419.63749</v>
      </c>
      <c r="CL29" s="617" t="n">
        <f aca="false">36122011138.02/1000-CK29</f>
        <v>4390591.50052999</v>
      </c>
      <c r="CM29" s="617" t="n">
        <v>5590600</v>
      </c>
      <c r="CN29" s="617"/>
      <c r="CO29" s="617" t="n">
        <f aca="false">'Cuenta Ahorro-Inversión-Financi'!F29-'Cuenta Ahorro-Inversión-Financi'!AX29</f>
        <v>16856544.89049</v>
      </c>
      <c r="CP29" s="618" t="n">
        <f aca="false">'Cuenta Ahorro-Inversión-Financi'!CO29+'Cuenta Ahorro-Inversión-Financi'!AD29-'Cuenta Ahorro-Inversión-Financi'!BZ29</f>
        <v>12876714.30496</v>
      </c>
      <c r="CQ29" s="618" t="n">
        <f aca="false">'Cuenta Ahorro-Inversión-Financi'!T29-'Cuenta Ahorro-Inversión-Financi'!BF29-'Cuenta Ahorro-Inversión-Financi'!BN29</f>
        <v>-73732042.42244</v>
      </c>
      <c r="CR29" s="618" t="n">
        <f aca="false">'Cuenta Ahorro-Inversión-Financi'!F29-'Cuenta Ahorro-Inversión-Financi'!BF29-'Cuenta Ahorro-Inversión-Financi'!BN29-'Cuenta Ahorro-Inversión-Financi'!X29</f>
        <v>1041890.64012001</v>
      </c>
      <c r="CS29" s="618"/>
      <c r="CT29" s="637" t="s">
        <v>900</v>
      </c>
      <c r="CU29" s="637"/>
      <c r="CW29" s="600" t="n">
        <v>2014</v>
      </c>
      <c r="CX29" s="98"/>
      <c r="CY29" s="98"/>
      <c r="CZ29" s="98"/>
      <c r="DA29" s="98"/>
      <c r="DB29" s="624"/>
      <c r="DC29" s="623" t="n">
        <f aca="false">'PIB corriente base 2004'!X80*1000</f>
        <v>3917648861.17108</v>
      </c>
      <c r="DD29" s="98" t="n">
        <f aca="false">'PIB corriente base 2004'!X81*1000</f>
        <v>4702629524.92031</v>
      </c>
      <c r="DE29" s="98" t="n">
        <f aca="false">'PIB corriente base 2004'!X82*1000</f>
        <v>4685503118.67828</v>
      </c>
      <c r="DF29" s="98" t="n">
        <f aca="false">'PIB corriente base 2004'!X83*1000</f>
        <v>5010564196.87073</v>
      </c>
      <c r="DG29" s="622" t="n">
        <f aca="false">('Cuenta Ahorro-Inversión-Financi'!DC29+'Cuenta Ahorro-Inversión-Financi'!DD29+'Cuenta Ahorro-Inversión-Financi'!DE29+'Cuenta Ahorro-Inversión-Financi'!DF29)/4</f>
        <v>4579086425.4101</v>
      </c>
      <c r="DZ29" s="1" t="n">
        <f aca="false">DZ28+1</f>
        <v>2013</v>
      </c>
      <c r="EB29" s="28" t="n">
        <f aca="false">BO29-BV29-BW29</f>
        <v>42607031.08229</v>
      </c>
      <c r="EC29" s="28" t="n">
        <f aca="false">BS29</f>
        <v>7987791.57485</v>
      </c>
      <c r="ED29" s="456" t="n">
        <f aca="false">EB29/1000/'PIB corriente base 2004'!X17</f>
        <v>0.0127249419317539</v>
      </c>
      <c r="EE29" s="456" t="n">
        <f aca="false">EC29/1000/'PIB corriente base 2004'!X17</f>
        <v>0.00238561996391175</v>
      </c>
      <c r="EF29" s="456" t="n">
        <f aca="false">ED29+EE29</f>
        <v>0.0151105618956657</v>
      </c>
    </row>
    <row r="30" customFormat="false" ht="15.75" hidden="false" customHeight="true" outlineLevel="0" collapsed="false">
      <c r="A30" s="456" t="n">
        <f aca="false">'Cuenta Ahorro-Inversión-Financi'!X30/'Cuenta Ahorro-Inversión-Financi'!F30</f>
        <v>0.0984179649671725</v>
      </c>
      <c r="B30" s="456" t="n">
        <f aca="false">'Cuenta Ahorro-Inversión-Financi'!G30/'Cuenta Ahorro-Inversión-Financi'!F30</f>
        <v>0.264378341074927</v>
      </c>
      <c r="C30" s="456" t="n">
        <f aca="false">'Cuenta Ahorro-Inversión-Financi'!T30/'Cuenta Ahorro-Inversión-Financi'!F30</f>
        <v>0.636477518756475</v>
      </c>
      <c r="D30" s="1" t="n">
        <v>72000000</v>
      </c>
      <c r="E30" s="609" t="s">
        <v>901</v>
      </c>
      <c r="F30" s="625" t="n">
        <f aca="false">'Cuenta Ahorro-Inversión-Financi'!G30+'Cuenta Ahorro-Inversión-Financi'!S30+'Cuenta Ahorro-Inversión-Financi'!T30+'Cuenta Ahorro-Inversión-Financi'!X30+'Cuenta Ahorro-Inversión-Financi'!AA30</f>
        <v>390008104.64749</v>
      </c>
      <c r="G30" s="626" t="n">
        <f aca="false">'Cuenta Ahorro-Inversión-Financi'!H30+'Cuenta Ahorro-Inversión-Financi'!I30+'Cuenta Ahorro-Inversión-Financi'!J30+'Cuenta Ahorro-Inversión-Financi'!P30</f>
        <v>103109695.71248</v>
      </c>
      <c r="H30" s="632" t="n">
        <v>53294684.66403</v>
      </c>
      <c r="I30" s="632"/>
      <c r="J30" s="632" t="n">
        <v>44889253.64845</v>
      </c>
      <c r="K30" s="633" t="n">
        <v>32721600</v>
      </c>
      <c r="L30" s="633" t="n">
        <v>12167700</v>
      </c>
      <c r="M30" s="633" t="n">
        <v>7811771</v>
      </c>
      <c r="N30" s="633" t="n">
        <v>4318885</v>
      </c>
      <c r="O30" s="633"/>
      <c r="P30" s="632" t="n">
        <v>4925757.4</v>
      </c>
      <c r="Q30" s="632" t="n">
        <v>1984900</v>
      </c>
      <c r="R30" s="632" t="n">
        <v>2940800</v>
      </c>
      <c r="S30" s="632" t="n">
        <v>283214.21395</v>
      </c>
      <c r="T30" s="625" t="n">
        <f aca="false">'Cuenta Ahorro-Inversión-Financi'!U30+'Cuenta Ahorro-Inversión-Financi'!V30</f>
        <v>248231390.74095</v>
      </c>
      <c r="U30" s="632" t="n">
        <v>248228590.16214</v>
      </c>
      <c r="V30" s="632" t="n">
        <v>2800.57881</v>
      </c>
      <c r="W30" s="632"/>
      <c r="X30" s="632" t="n">
        <f aca="false">'Cuenta Ahorro-Inversión-Financi'!Y30+'Cuenta Ahorro-Inversión-Financi'!Z30</f>
        <v>38383803.98011</v>
      </c>
      <c r="Y30" s="632" t="n">
        <v>3301753.47312</v>
      </c>
      <c r="Z30" s="632" t="n">
        <v>35082050.50699</v>
      </c>
      <c r="AA30" s="632"/>
      <c r="AB30" s="632"/>
      <c r="AC30" s="632"/>
      <c r="AD30" s="625" t="n">
        <f aca="false">'Cuenta Ahorro-Inversión-Financi'!AE30+'Cuenta Ahorro-Inversión-Financi'!AF30</f>
        <v>1799.84515</v>
      </c>
      <c r="AE30" s="632" t="n">
        <v>1799.84515</v>
      </c>
      <c r="AF30" s="632"/>
      <c r="AG30" s="625" t="n">
        <f aca="false">'Cuenta Ahorro-Inversión-Financi'!AD30+'Cuenta Ahorro-Inversión-Financi'!F30</f>
        <v>390009904.49264</v>
      </c>
      <c r="AH30" s="629" t="n">
        <v>101131559.31548</v>
      </c>
      <c r="AI30" s="628" t="n">
        <f aca="false">'Cálculo masa impuestos copartic'!V26*1000</f>
        <v>72676066.20744</v>
      </c>
      <c r="AJ30" s="628"/>
      <c r="AK30" s="628" t="n">
        <v>4120200</v>
      </c>
      <c r="AL30" s="628" t="n">
        <f aca="false">'Cuenta Ahorro-Inversión-Financi'!BW30</f>
        <v>998092.652</v>
      </c>
      <c r="AM30" s="628" t="n">
        <v>2358010.21</v>
      </c>
      <c r="AN30" s="627" t="n">
        <f aca="false">'Cuenta Ahorro-Inversión-Financi'!AH30-('Cuenta Ahorro-Inversión-Financi'!AI30+'Cuenta Ahorro-Inversión-Financi'!AK30+'Cuenta Ahorro-Inversión-Financi'!AL30+'Cuenta Ahorro-Inversión-Financi'!AM30)</f>
        <v>20979190.24604</v>
      </c>
      <c r="AO30" s="627" t="n">
        <f aca="false">'Cuenta Ahorro-Inversión-Financi'!AI30-'Cuenta Ahorro-Inversión-Financi'!CH30+'Cuenta Ahorro-Inversión-Financi'!AK30+'Cuenta Ahorro-Inversión-Financi'!AL30+'Cuenta Ahorro-Inversión-Financi'!AM30</f>
        <v>19237296.7251</v>
      </c>
      <c r="AP30" s="627" t="n">
        <f aca="false">'Cuenta Ahorro-Inversión-Financi'!AO30</f>
        <v>19237296.7251</v>
      </c>
      <c r="AQ30" s="630" t="s">
        <v>894</v>
      </c>
      <c r="AR30" s="630"/>
      <c r="AS30" s="630"/>
      <c r="AT30" s="615"/>
      <c r="AU30" s="643" t="n">
        <f aca="false">'Cuenta Ahorro-Inversión-Financi'!BS30/'Cuenta Ahorro-Inversión-Financi'!AV30</f>
        <v>0.0363451243435301</v>
      </c>
      <c r="AV30" s="615" t="n">
        <f aca="false">'Cuenta Ahorro-Inversión-Financi'!BF30-'Cuenta Ahorro-Inversión-Financi'!BL30</f>
        <v>293203308.45166</v>
      </c>
      <c r="AW30" s="631" t="n">
        <v>2014</v>
      </c>
      <c r="AX30" s="625" t="n">
        <f aca="false">'Cuenta Ahorro-Inversión-Financi'!AY30+'Cuenta Ahorro-Inversión-Financi'!BC30+'Cuenta Ahorro-Inversión-Financi'!BF30+'Cuenta Ahorro-Inversión-Financi'!BX30</f>
        <v>364676681.37829</v>
      </c>
      <c r="AY30" s="627" t="n">
        <f aca="false">'Cuenta Ahorro-Inversión-Financi'!AZ30+'Cuenta Ahorro-Inversión-Financi'!BA30</f>
        <v>9516808.09741</v>
      </c>
      <c r="AZ30" s="627" t="n">
        <v>6352438.58382</v>
      </c>
      <c r="BA30" s="627" t="n">
        <v>3164369.51359</v>
      </c>
      <c r="BB30" s="627"/>
      <c r="BC30" s="627" t="n">
        <v>13799.32176</v>
      </c>
      <c r="BD30" s="627"/>
      <c r="BE30" s="627"/>
      <c r="BF30" s="625" t="n">
        <v>295607149.89466</v>
      </c>
      <c r="BG30" s="625"/>
      <c r="BH30" s="625"/>
      <c r="BI30" s="625"/>
      <c r="BJ30" s="625"/>
      <c r="BK30" s="625"/>
      <c r="BL30" s="627" t="n">
        <v>2403841.443</v>
      </c>
      <c r="BM30" s="627" t="n">
        <v>188.35081</v>
      </c>
      <c r="BN30" s="627" t="n">
        <v>62895026.92646</v>
      </c>
      <c r="BO30" s="628" t="n">
        <v>61284342.35352</v>
      </c>
      <c r="BP30" s="628" t="n">
        <v>1610245.75254</v>
      </c>
      <c r="BQ30" s="628" t="n">
        <v>438.8204</v>
      </c>
      <c r="BR30" s="628" t="n">
        <v>52238516.22285</v>
      </c>
      <c r="BS30" s="628" t="n">
        <v>10656510.70361</v>
      </c>
      <c r="BT30" s="627"/>
      <c r="BU30" s="627"/>
      <c r="BV30" s="628" t="n">
        <v>2358010.21</v>
      </c>
      <c r="BW30" s="628" t="n">
        <v>998092.652</v>
      </c>
      <c r="BX30" s="628" t="n">
        <f aca="false">'Cuenta Ahorro-Inversión-Financi'!BN30-'Cuenta Ahorro-Inversión-Financi'!BV30-'Cuenta Ahorro-Inversión-Financi'!BW30</f>
        <v>59538924.06446</v>
      </c>
      <c r="BY30" s="628" t="n">
        <v>12266756.45615</v>
      </c>
      <c r="BZ30" s="625" t="n">
        <f aca="false">'Cuenta Ahorro-Inversión-Financi'!CA30+'Cuenta Ahorro-Inversión-Financi'!CB30+'Cuenta Ahorro-Inversión-Financi'!CF30</f>
        <v>3838850.88905</v>
      </c>
      <c r="CA30" s="627" t="n">
        <v>3838850.88905</v>
      </c>
      <c r="CB30" s="627"/>
      <c r="CC30" s="627"/>
      <c r="CD30" s="627"/>
      <c r="CE30" s="627"/>
      <c r="CF30" s="641"/>
      <c r="CG30" s="625" t="n">
        <f aca="false">'Cuenta Ahorro-Inversión-Financi'!BZ30+'Cuenta Ahorro-Inversión-Financi'!AX30</f>
        <v>368515532.26734</v>
      </c>
      <c r="CH30" s="625" t="n">
        <v>60915072.34434</v>
      </c>
      <c r="CI30" s="625"/>
      <c r="CJ30" s="625" t="n">
        <f aca="false">11872462076.07/1000</f>
        <v>11872462.07607</v>
      </c>
      <c r="CK30" s="625" t="n">
        <f aca="false">44166117045.35/1000</f>
        <v>44166117.04535</v>
      </c>
      <c r="CL30" s="625" t="n">
        <f aca="false">49042610268.27/1000-CK30</f>
        <v>4876493.22291999</v>
      </c>
      <c r="CM30" s="625" t="n">
        <v>8266200</v>
      </c>
      <c r="CN30" s="625"/>
      <c r="CO30" s="625" t="n">
        <f aca="false">'Cuenta Ahorro-Inversión-Financi'!F30-'Cuenta Ahorro-Inversión-Financi'!AX30</f>
        <v>25331423.2692</v>
      </c>
      <c r="CP30" s="627" t="n">
        <f aca="false">'Cuenta Ahorro-Inversión-Financi'!CO30+'Cuenta Ahorro-Inversión-Financi'!AD30-'Cuenta Ahorro-Inversión-Financi'!BZ30</f>
        <v>21494372.2253</v>
      </c>
      <c r="CQ30" s="627" t="n">
        <f aca="false">'Cuenta Ahorro-Inversión-Financi'!T30-'Cuenta Ahorro-Inversión-Financi'!BF30-'Cuenta Ahorro-Inversión-Financi'!BN30</f>
        <v>-110270786.08017</v>
      </c>
      <c r="CR30" s="627" t="n">
        <f aca="false">'Cuenta Ahorro-Inversión-Financi'!F30-'Cuenta Ahorro-Inversión-Financi'!BF30-'Cuenta Ahorro-Inversión-Financi'!BN30-'Cuenta Ahorro-Inversión-Financi'!X30</f>
        <v>-6877876.15373997</v>
      </c>
      <c r="CS30" s="627"/>
      <c r="CT30" s="634" t="s">
        <v>900</v>
      </c>
      <c r="CU30" s="634"/>
      <c r="CW30" s="600" t="n">
        <v>2015</v>
      </c>
      <c r="CX30" s="605"/>
      <c r="CY30" s="605"/>
      <c r="CZ30" s="605"/>
      <c r="DA30" s="605"/>
      <c r="DB30" s="608"/>
      <c r="DC30" s="607" t="n">
        <v>5092693740.32864</v>
      </c>
      <c r="DD30" s="605" t="n">
        <v>5951478855.3666</v>
      </c>
      <c r="DE30" s="605" t="n">
        <v>6221730755.7716</v>
      </c>
      <c r="DF30" s="605" t="n">
        <v>6552140231.30253</v>
      </c>
      <c r="DG30" s="606" t="n">
        <f aca="false">('Cuenta Ahorro-Inversión-Financi'!DC30+'Cuenta Ahorro-Inversión-Financi'!DD30+'Cuenta Ahorro-Inversión-Financi'!DE30+'Cuenta Ahorro-Inversión-Financi'!DF30)/4</f>
        <v>5954510895.69234</v>
      </c>
      <c r="DI30" s="648"/>
      <c r="DJ30" s="456"/>
      <c r="DZ30" s="1" t="n">
        <f aca="false">DZ29+1</f>
        <v>2014</v>
      </c>
      <c r="EB30" s="28" t="n">
        <f aca="false">BO30-BV30-BW30</f>
        <v>57928239.49152</v>
      </c>
      <c r="EC30" s="28" t="n">
        <f aca="false">BS30</f>
        <v>10656510.70361</v>
      </c>
      <c r="ED30" s="456" t="n">
        <f aca="false">EB30/1000/'PIB corriente base 2004'!X18</f>
        <v>0.0126506106480251</v>
      </c>
      <c r="EE30" s="456" t="n">
        <f aca="false">EC30/1000/'PIB corriente base 2004'!X18</f>
        <v>0.0023272132721661</v>
      </c>
      <c r="EF30" s="456" t="n">
        <f aca="false">ED30+EE30</f>
        <v>0.0149778239201912</v>
      </c>
    </row>
    <row r="31" customFormat="false" ht="15.75" hidden="false" customHeight="true" outlineLevel="0" collapsed="false">
      <c r="A31" s="456" t="n">
        <f aca="false">'Cuenta Ahorro-Inversión-Financi'!X31/'Cuenta Ahorro-Inversión-Financi'!F31</f>
        <v>0.100346686055558</v>
      </c>
      <c r="B31" s="456" t="n">
        <f aca="false">'Cuenta Ahorro-Inversión-Financi'!G31/'Cuenta Ahorro-Inversión-Financi'!F31</f>
        <v>0.264458465155287</v>
      </c>
      <c r="C31" s="456" t="n">
        <f aca="false">'Cuenta Ahorro-Inversión-Financi'!T31/'Cuenta Ahorro-Inversión-Financi'!F31</f>
        <v>0.634016600955712</v>
      </c>
      <c r="D31" s="456" t="n">
        <f aca="false">'Cuenta Ahorro-Inversión-Financi'!G30/'Cuenta Ahorro-Inversión-Financi'!F30</f>
        <v>0.264378341074927</v>
      </c>
      <c r="E31" s="609" t="s">
        <v>902</v>
      </c>
      <c r="F31" s="610" t="n">
        <f aca="false">'Cuenta Ahorro-Inversión-Financi'!G31+'Cuenta Ahorro-Inversión-Financi'!S31+'Cuenta Ahorro-Inversión-Financi'!T31+'Cuenta Ahorro-Inversión-Financi'!X31+'Cuenta Ahorro-Inversión-Financi'!AA31</f>
        <v>529972491.64069</v>
      </c>
      <c r="G31" s="611" t="n">
        <f aca="false">'Cuenta Ahorro-Inversión-Financi'!H31+'Cuenta Ahorro-Inversión-Financi'!J31+'Cuenta Ahorro-Inversión-Financi'!P31</f>
        <v>140155711.71382</v>
      </c>
      <c r="H31" s="612" t="n">
        <f aca="false">75797809100/1000</f>
        <v>75797809.1</v>
      </c>
      <c r="I31" s="612"/>
      <c r="J31" s="612" t="n">
        <f aca="false">57472143652.47/1000</f>
        <v>57472143.65247</v>
      </c>
      <c r="K31" s="613" t="n">
        <v>43272400</v>
      </c>
      <c r="L31" s="613" t="n">
        <v>14199800</v>
      </c>
      <c r="M31" s="647" t="n">
        <v>9025654</v>
      </c>
      <c r="N31" s="613" t="n">
        <v>5345252</v>
      </c>
      <c r="O31" s="613"/>
      <c r="P31" s="612" t="n">
        <f aca="false">6885758961.35/1000</f>
        <v>6885758.96135</v>
      </c>
      <c r="Q31" s="612" t="n">
        <v>2916400</v>
      </c>
      <c r="R31" s="612" t="n">
        <v>3969300</v>
      </c>
      <c r="S31" s="612" t="n">
        <f aca="false">624438940.06/1000</f>
        <v>624438.94006</v>
      </c>
      <c r="T31" s="610" t="n">
        <f aca="false">'Cuenta Ahorro-Inversión-Financi'!U31+'Cuenta Ahorro-Inversión-Financi'!V31+'Cuenta Ahorro-Inversión-Financi'!W31</f>
        <v>336011357.75006</v>
      </c>
      <c r="U31" s="612" t="n">
        <f aca="false">334215514092.94/1000</f>
        <v>334215514.09294</v>
      </c>
      <c r="V31" s="612" t="n">
        <f aca="false">1795843657.12/1000</f>
        <v>1795843.65712</v>
      </c>
      <c r="W31" s="612"/>
      <c r="X31" s="612" t="n">
        <f aca="false">'Cuenta Ahorro-Inversión-Financi'!Y31+'Cuenta Ahorro-Inversión-Financi'!Z31</f>
        <v>53180983.23675</v>
      </c>
      <c r="Y31" s="612" t="n">
        <f aca="false">2756924911.15/1000</f>
        <v>2756924.91115</v>
      </c>
      <c r="Z31" s="612" t="n">
        <f aca="false">50424058325.6/1000</f>
        <v>50424058.3256</v>
      </c>
      <c r="AA31" s="612"/>
      <c r="AB31" s="612"/>
      <c r="AC31" s="612"/>
      <c r="AD31" s="610" t="n">
        <f aca="false">'Cuenta Ahorro-Inversión-Financi'!AE31+'Cuenta Ahorro-Inversión-Financi'!AF31</f>
        <v>191.19949</v>
      </c>
      <c r="AE31" s="612" t="n">
        <f aca="false">191199.49/1000</f>
        <v>191.19949</v>
      </c>
      <c r="AF31" s="612"/>
      <c r="AG31" s="610" t="n">
        <f aca="false">'Cuenta Ahorro-Inversión-Financi'!AD31+'Cuenta Ahorro-Inversión-Financi'!F31</f>
        <v>529972682.84018</v>
      </c>
      <c r="AH31" s="610" t="n">
        <f aca="false">156468938.20796</f>
        <v>156468938.20796</v>
      </c>
      <c r="AI31" s="613" t="n">
        <f aca="false">'Cálculo masa impuestos copartic'!V27*1000</f>
        <v>95600316.12798</v>
      </c>
      <c r="AJ31" s="613"/>
      <c r="AK31" s="613" t="n">
        <v>2316300</v>
      </c>
      <c r="AL31" s="613" t="n">
        <f aca="false">'Cuenta Ahorro-Inversión-Financi'!BW31</f>
        <v>1224387.812</v>
      </c>
      <c r="AM31" s="613" t="n">
        <v>6868294.927</v>
      </c>
      <c r="AN31" s="612" t="n">
        <f aca="false">'Cuenta Ahorro-Inversión-Financi'!AH31-('Cuenta Ahorro-Inversión-Financi'!AI31+'Cuenta Ahorro-Inversión-Financi'!AK31+'Cuenta Ahorro-Inversión-Financi'!AL31+'Cuenta Ahorro-Inversión-Financi'!AM31)</f>
        <v>50459639.34098</v>
      </c>
      <c r="AO31" s="612" t="n">
        <f aca="false">'Cuenta Ahorro-Inversión-Financi'!AI31-'Cuenta Ahorro-Inversión-Financi'!CH31+'Cuenta Ahorro-Inversión-Financi'!AK31+'Cuenta Ahorro-Inversión-Financi'!AL31+'Cuenta Ahorro-Inversión-Financi'!AM31</f>
        <v>21609162.75361</v>
      </c>
      <c r="AP31" s="612" t="n">
        <f aca="false">'Cuenta Ahorro-Inversión-Financi'!AO31</f>
        <v>21609162.75361</v>
      </c>
      <c r="AQ31" s="635" t="s">
        <v>896</v>
      </c>
      <c r="AR31" s="635"/>
      <c r="AS31" s="635"/>
      <c r="AT31" s="615"/>
      <c r="AU31" s="643" t="n">
        <f aca="false">'Cuenta Ahorro-Inversión-Financi'!BS31/'Cuenta Ahorro-Inversión-Financi'!AV31</f>
        <v>0.0361017403167091</v>
      </c>
      <c r="AV31" s="615" t="n">
        <f aca="false">'Cuenta Ahorro-Inversión-Financi'!BF31-'Cuenta Ahorro-Inversión-Financi'!BL31</f>
        <v>429971996.43463</v>
      </c>
      <c r="AW31" s="631" t="n">
        <v>2015</v>
      </c>
      <c r="AX31" s="617" t="n">
        <f aca="false">'Cuenta Ahorro-Inversión-Financi'!AY31+'Cuenta Ahorro-Inversión-Financi'!BC31+'Cuenta Ahorro-Inversión-Financi'!BF31+'Cuenta Ahorro-Inversión-Financi'!BX31</f>
        <v>530722384.97449</v>
      </c>
      <c r="AY31" s="620" t="n">
        <f aca="false">'Cuenta Ahorro-Inversión-Financi'!AZ31+'Cuenta Ahorro-Inversión-Financi'!BA31</f>
        <v>12485483.44174</v>
      </c>
      <c r="AZ31" s="618" t="n">
        <f aca="false">8267644289.66/1000</f>
        <v>8267644.28966</v>
      </c>
      <c r="BA31" s="618" t="n">
        <f aca="false">(113259490.74+4104579661.34)/1000</f>
        <v>4217839.15208</v>
      </c>
      <c r="BB31" s="618"/>
      <c r="BC31" s="618" t="n">
        <f aca="false">14546207.52/1000</f>
        <v>14546.20752</v>
      </c>
      <c r="BD31" s="618"/>
      <c r="BE31" s="618"/>
      <c r="BF31" s="617" t="n">
        <f aca="false">433431683656.63/1000</f>
        <v>433431683.65663</v>
      </c>
      <c r="BG31" s="617"/>
      <c r="BH31" s="617"/>
      <c r="BI31" s="618"/>
      <c r="BJ31" s="618"/>
      <c r="BK31" s="618"/>
      <c r="BL31" s="618" t="n">
        <v>3459687.222</v>
      </c>
      <c r="BM31" s="618" t="n">
        <f aca="false">34218.69/1000</f>
        <v>34.21869</v>
      </c>
      <c r="BN31" s="618" t="n">
        <f aca="false">92783271815.6/1000</f>
        <v>92783271.8156</v>
      </c>
      <c r="BO31" s="619" t="n">
        <f aca="false">'Cuenta Ahorro-Inversión-Financi'!BN31-'Cuenta Ahorro-Inversión-Financi'!BP31-'Cuenta Ahorro-Inversión-Financi'!BQ31</f>
        <v>90576617.55667</v>
      </c>
      <c r="BP31" s="619" t="n">
        <f aca="false">2204642015.53/1000</f>
        <v>2204642.01553</v>
      </c>
      <c r="BQ31" s="619" t="n">
        <f aca="false">2012243.4/1000</f>
        <v>2012.2434</v>
      </c>
      <c r="BR31" s="619" t="n">
        <f aca="false">77260534456.86/1000</f>
        <v>77260534.45686</v>
      </c>
      <c r="BS31" s="619" t="n">
        <f aca="false">15522737358.74/1000</f>
        <v>15522737.35874</v>
      </c>
      <c r="BT31" s="620"/>
      <c r="BU31" s="619"/>
      <c r="BV31" s="619" t="n">
        <v>6768212.335</v>
      </c>
      <c r="BW31" s="619" t="n">
        <v>1224387.812</v>
      </c>
      <c r="BX31" s="619" t="n">
        <f aca="false">'Cuenta Ahorro-Inversión-Financi'!BN31-'Cuenta Ahorro-Inversión-Financi'!BV31-'Cuenta Ahorro-Inversión-Financi'!BW31</f>
        <v>84790671.6686</v>
      </c>
      <c r="BY31" s="619" t="n">
        <f aca="false">'Cuenta Ahorro-Inversión-Financi'!BP31+'Cuenta Ahorro-Inversión-Financi'!BQ31+'Cuenta Ahorro-Inversión-Financi'!BS31</f>
        <v>17729391.61767</v>
      </c>
      <c r="BZ31" s="649" t="n">
        <f aca="false">'Cuenta Ahorro-Inversión-Financi'!CA31+'Cuenta Ahorro-Inversión-Financi'!CB31+'Cuenta Ahorro-Inversión-Financi'!CF31</f>
        <v>2173282.69698</v>
      </c>
      <c r="CA31" s="619" t="n">
        <f aca="false">2173282696.98/1000</f>
        <v>2173282.69698</v>
      </c>
      <c r="CB31" s="619"/>
      <c r="CC31" s="619"/>
      <c r="CD31" s="619"/>
      <c r="CE31" s="619"/>
      <c r="CF31" s="619"/>
      <c r="CG31" s="617" t="n">
        <f aca="false">'Cuenta Ahorro-Inversión-Financi'!BZ31+'Cuenta Ahorro-Inversión-Financi'!AX31</f>
        <v>532895667.67147</v>
      </c>
      <c r="CH31" s="617" t="n">
        <f aca="false">84400136113.37/1000</f>
        <v>84400136.11337</v>
      </c>
      <c r="CI31" s="649"/>
      <c r="CJ31" s="617" t="n">
        <f aca="false">16038444761.65/1000</f>
        <v>16038444.76165</v>
      </c>
      <c r="CK31" s="617" t="n">
        <f aca="false">62265526699.87/1000</f>
        <v>62265526.69987</v>
      </c>
      <c r="CL31" s="617" t="n">
        <f aca="false">68361691351.72/1000-CK31</f>
        <v>6096164.65185</v>
      </c>
      <c r="CM31" s="649" t="n">
        <v>10207500</v>
      </c>
      <c r="CN31" s="649"/>
      <c r="CO31" s="649" t="n">
        <f aca="false">'Cuenta Ahorro-Inversión-Financi'!F31-'Cuenta Ahorro-Inversión-Financi'!AX31</f>
        <v>-749893.333800018</v>
      </c>
      <c r="CP31" s="619" t="n">
        <f aca="false">'Cuenta Ahorro-Inversión-Financi'!CO31+'Cuenta Ahorro-Inversión-Financi'!AD31-'Cuenta Ahorro-Inversión-Financi'!BZ31</f>
        <v>-2922984.83129002</v>
      </c>
      <c r="CQ31" s="619" t="n">
        <f aca="false">'Cuenta Ahorro-Inversión-Financi'!T31-'Cuenta Ahorro-Inversión-Financi'!BF31-'Cuenta Ahorro-Inversión-Financi'!BN31</f>
        <v>-190203597.72217</v>
      </c>
      <c r="CR31" s="619" t="n">
        <f aca="false">'Cuenta Ahorro-Inversión-Financi'!F31-'Cuenta Ahorro-Inversión-Financi'!BF31-'Cuenta Ahorro-Inversión-Financi'!BN31-'Cuenta Ahorro-Inversión-Financi'!X31</f>
        <v>-49423447.06829</v>
      </c>
      <c r="CS31" s="619"/>
      <c r="CT31" s="637" t="s">
        <v>898</v>
      </c>
      <c r="CU31" s="637"/>
      <c r="CW31" s="650" t="n">
        <v>2016</v>
      </c>
      <c r="CX31" s="651"/>
      <c r="CY31" s="651"/>
      <c r="CZ31" s="651"/>
      <c r="DA31" s="651"/>
      <c r="DB31" s="652"/>
      <c r="DC31" s="623" t="n">
        <v>7006645045.10604</v>
      </c>
      <c r="DD31" s="98" t="n">
        <v>8414556482.17921</v>
      </c>
      <c r="DE31" s="98" t="n">
        <v>8527628825.27803</v>
      </c>
      <c r="DF31" s="98" t="n">
        <v>8963807873.58243</v>
      </c>
      <c r="DG31" s="622" t="n">
        <f aca="false">('Cuenta Ahorro-Inversión-Financi'!DC31+'Cuenta Ahorro-Inversión-Financi'!DD31+'Cuenta Ahorro-Inversión-Financi'!DE31+'Cuenta Ahorro-Inversión-Financi'!DF31)/4</f>
        <v>8228159556.53643</v>
      </c>
      <c r="DH31" s="456"/>
      <c r="DI31" s="1" t="n">
        <v>2996491748.43</v>
      </c>
      <c r="DJ31" s="456" t="n">
        <f aca="false">DI31/1000/DG31</f>
        <v>0.000364175211703278</v>
      </c>
      <c r="DK31" s="456"/>
      <c r="DL31" s="456"/>
      <c r="DZ31" s="1" t="n">
        <f aca="false">DZ30+1</f>
        <v>2015</v>
      </c>
      <c r="EB31" s="28" t="n">
        <f aca="false">BO31-BV31-BW31</f>
        <v>82584017.40967</v>
      </c>
      <c r="EC31" s="28" t="n">
        <f aca="false">BS31</f>
        <v>15522737.35874</v>
      </c>
      <c r="ED31" s="456" t="n">
        <f aca="false">EB31/1000/'PIB corriente base 2004'!X19</f>
        <v>0.0138691521195156</v>
      </c>
      <c r="EE31" s="456" t="n">
        <f aca="false">EC31/1000/'PIB corriente base 2004'!X19</f>
        <v>0.00260688705263258</v>
      </c>
      <c r="EF31" s="456" t="n">
        <f aca="false">ED31+EE31</f>
        <v>0.0164760391721481</v>
      </c>
    </row>
    <row r="32" customFormat="false" ht="15.75" hidden="false" customHeight="true" outlineLevel="0" collapsed="false">
      <c r="A32" s="456" t="n">
        <f aca="false">'Cuenta Ahorro-Inversión-Financi'!X32/('Cuenta Ahorro-Inversión-Financi'!F32-'Cuenta Ahorro-Inversión-Financi'!H32)</f>
        <v>0.101474546345976</v>
      </c>
      <c r="B32" s="456" t="n">
        <f aca="false">('Cuenta Ahorro-Inversión-Financi'!G32-'Cuenta Ahorro-Inversión-Financi'!I32)/('Cuenta Ahorro-Inversión-Financi'!F32-'Cuenta Ahorro-Inversión-Financi'!I32)</f>
        <v>0.249173076640277</v>
      </c>
      <c r="C32" s="456" t="n">
        <f aca="false">'Cuenta Ahorro-Inversión-Financi'!T32/('Cuenta Ahorro-Inversión-Financi'!F32-'Cuenta Ahorro-Inversión-Financi'!I32)</f>
        <v>0.645474956656556</v>
      </c>
      <c r="D32" s="456"/>
      <c r="E32" s="609" t="s">
        <v>903</v>
      </c>
      <c r="F32" s="625" t="n">
        <f aca="false">'Cuenta Ahorro-Inversión-Financi'!G32+'Cuenta Ahorro-Inversión-Financi'!S32+'Cuenta Ahorro-Inversión-Financi'!T32+'Cuenta Ahorro-Inversión-Financi'!X32+'Cuenta Ahorro-Inversión-Financi'!AA32</f>
        <v>800657297.14761</v>
      </c>
      <c r="G32" s="626" t="n">
        <f aca="false">'Cuenta Ahorro-Inversión-Financi'!H32+'Cuenta Ahorro-Inversión-Financi'!I32+'Cuenta Ahorro-Inversión-Financi'!J32+'Cuenta Ahorro-Inversión-Financi'!P32</f>
        <v>277235946.59346</v>
      </c>
      <c r="H32" s="632" t="n">
        <f aca="false">86485940416.4/1000</f>
        <v>86485940.4164</v>
      </c>
      <c r="I32" s="632" t="n">
        <f aca="false">103530790000/1000</f>
        <v>103530790</v>
      </c>
      <c r="J32" s="632" t="n">
        <f aca="false">78221505450.86/1000</f>
        <v>78221505.45086</v>
      </c>
      <c r="K32" s="633" t="n">
        <v>58259500</v>
      </c>
      <c r="L32" s="633" t="n">
        <v>19962000</v>
      </c>
      <c r="M32" s="633" t="n">
        <v>13243316</v>
      </c>
      <c r="N32" s="633" t="n">
        <v>6745924</v>
      </c>
      <c r="O32" s="633"/>
      <c r="P32" s="632" t="n">
        <f aca="false">8997710726.2/1000</f>
        <v>8997710.7262</v>
      </c>
      <c r="Q32" s="632" t="n">
        <v>4187600</v>
      </c>
      <c r="R32" s="632" t="n">
        <v>4810100</v>
      </c>
      <c r="S32" s="632" t="n">
        <f aca="false">973434131.32/1000</f>
        <v>973434.13132</v>
      </c>
      <c r="T32" s="625" t="n">
        <f aca="false">'Cuenta Ahorro-Inversión-Financi'!U32+'Cuenta Ahorro-Inversión-Financi'!V32</f>
        <v>449977701.98524</v>
      </c>
      <c r="U32" s="632" t="n">
        <f aca="false">449972439224.13/1000</f>
        <v>449972439.22413</v>
      </c>
      <c r="V32" s="632" t="n">
        <f aca="false">5262761.11/1000</f>
        <v>5262.76111</v>
      </c>
      <c r="W32" s="632"/>
      <c r="X32" s="632" t="n">
        <f aca="false">'Cuenta Ahorro-Inversión-Financi'!Y32+'Cuenta Ahorro-Inversión-Financi'!Z32</f>
        <v>72470214.43759</v>
      </c>
      <c r="Y32" s="632" t="n">
        <f aca="false">4964150262.98/1000</f>
        <v>4964150.26298</v>
      </c>
      <c r="Z32" s="632" t="n">
        <f aca="false">67506064174.61/1000</f>
        <v>67506064.17461</v>
      </c>
      <c r="AA32" s="632"/>
      <c r="AB32" s="632"/>
      <c r="AC32" s="632"/>
      <c r="AD32" s="625" t="n">
        <f aca="false">'Cuenta Ahorro-Inversión-Financi'!AE32+'Cuenta Ahorro-Inversión-Financi'!AF32</f>
        <v>4600.22741</v>
      </c>
      <c r="AE32" s="632" t="n">
        <f aca="false">4600227.41/1000</f>
        <v>4600.22741</v>
      </c>
      <c r="AF32" s="632"/>
      <c r="AG32" s="625" t="n">
        <f aca="false">'Cuenta Ahorro-Inversión-Financi'!AD32+'Cuenta Ahorro-Inversión-Financi'!F32</f>
        <v>800661897.37502</v>
      </c>
      <c r="AH32" s="629" t="n">
        <f aca="false">292815889687.8/1000</f>
        <v>292815889.6878</v>
      </c>
      <c r="AI32" s="628" t="n">
        <f aca="false">'Cálculo masa impuestos copartic'!X28*1000</f>
        <v>126199197.124</v>
      </c>
      <c r="AJ32" s="628" t="n">
        <f aca="false">BG32</f>
        <v>18177.00569</v>
      </c>
      <c r="AK32" s="628" t="n">
        <v>2271700</v>
      </c>
      <c r="AL32" s="628" t="n">
        <f aca="false">'Cuenta Ahorro-Inversión-Financi'!BW32</f>
        <v>2758020.679</v>
      </c>
      <c r="AM32" s="628" t="n">
        <v>9045301.221</v>
      </c>
      <c r="AN32" s="627" t="n">
        <f aca="false">'Cuenta Ahorro-Inversión-Financi'!AH32-('Cuenta Ahorro-Inversión-Financi'!AI32+'Cuenta Ahorro-Inversión-Financi'!AK32+'Cuenta Ahorro-Inversión-Financi'!AL32+'Cuenta Ahorro-Inversión-Financi'!AM32)</f>
        <v>152541670.6638</v>
      </c>
      <c r="AO32" s="627" t="n">
        <f aca="false">'Cuenta Ahorro-Inversión-Financi'!AI32-'Cuenta Ahorro-Inversión-Financi'!CH32+'Cuenta Ahorro-Inversión-Financi'!AK32+'Cuenta Ahorro-Inversión-Financi'!AL32+'Cuenta Ahorro-Inversión-Financi'!AM32</f>
        <v>29456784.59573</v>
      </c>
      <c r="AP32" s="627" t="n">
        <f aca="false">'Cuenta Ahorro-Inversión-Financi'!AO32</f>
        <v>29456784.59573</v>
      </c>
      <c r="AQ32" s="630" t="s">
        <v>904</v>
      </c>
      <c r="AR32" s="630"/>
      <c r="AS32" s="630"/>
      <c r="AT32" s="615"/>
      <c r="AU32" s="643" t="n">
        <f aca="false">'Cuenta Ahorro-Inversión-Financi'!BS32/'Cuenta Ahorro-Inversión-Financi'!AV32</f>
        <v>0.0362028255502935</v>
      </c>
      <c r="AV32" s="615" t="n">
        <f aca="false">'Cuenta Ahorro-Inversión-Financi'!BF32-'Cuenta Ahorro-Inversión-Financi'!BL32</f>
        <v>599178917.86085</v>
      </c>
      <c r="AW32" s="631" t="n">
        <v>2016</v>
      </c>
      <c r="AX32" s="625" t="n">
        <f aca="false">'Cuenta Ahorro-Inversión-Financi'!AY32+'Cuenta Ahorro-Inversión-Financi'!BC32+'Cuenta Ahorro-Inversión-Financi'!BF32+'Cuenta Ahorro-Inversión-Financi'!BX32</f>
        <v>774749619.23491</v>
      </c>
      <c r="AY32" s="627" t="n">
        <f aca="false">'Cuenta Ahorro-Inversión-Financi'!AZ32+'Cuenta Ahorro-Inversión-Financi'!BA32</f>
        <v>14554479.38537</v>
      </c>
      <c r="AZ32" s="627" t="n">
        <f aca="false">10969997104.06/1000</f>
        <v>10969997.10406</v>
      </c>
      <c r="BA32" s="627" t="n">
        <f aca="false">(77009081.68+3507473199.63)/1000</f>
        <v>3584482.28131</v>
      </c>
      <c r="BB32" s="627"/>
      <c r="BC32" s="627" t="n">
        <f aca="false">15332488.99/1000</f>
        <v>15332.48899</v>
      </c>
      <c r="BD32" s="627"/>
      <c r="BE32" s="627"/>
      <c r="BF32" s="625" t="n">
        <f aca="false">603990105931.85/1000</f>
        <v>603990105.93185</v>
      </c>
      <c r="BG32" s="625" t="n">
        <f aca="false">18177005.69/1000</f>
        <v>18177.00569</v>
      </c>
      <c r="BH32" s="625"/>
      <c r="BI32" s="625"/>
      <c r="BJ32" s="625"/>
      <c r="BK32" s="625"/>
      <c r="BL32" s="627" t="n">
        <v>4811188.071</v>
      </c>
      <c r="BM32" s="627" t="n">
        <f aca="false">58079.42/1000</f>
        <v>58.07942</v>
      </c>
      <c r="BN32" s="627" t="n">
        <f aca="false">167993739749.3/1000</f>
        <v>167993739.7493</v>
      </c>
      <c r="BO32" s="628" t="n">
        <f aca="false">146118653025.68/1000-215229504.63/1000</f>
        <v>145903423.52105</v>
      </c>
      <c r="BP32" s="628" t="n">
        <f aca="false">22088370468.25/1000</f>
        <v>22088370.46825</v>
      </c>
      <c r="BQ32" s="627" t="n">
        <f aca="false">1945760/1000</f>
        <v>1945.76</v>
      </c>
      <c r="BR32" s="628" t="n">
        <f aca="false">137470981775.6/1000-215229504.63/1000</f>
        <v>137255752.27097</v>
      </c>
      <c r="BS32" s="628" t="n">
        <f aca="false">21691969836.73/1000</f>
        <v>21691969.83673</v>
      </c>
      <c r="BT32" s="641"/>
      <c r="BU32" s="627"/>
      <c r="BV32" s="628" t="n">
        <f aca="false">9046017641.6/1000</f>
        <v>9046017.6416</v>
      </c>
      <c r="BW32" s="628" t="n">
        <v>2758020.679</v>
      </c>
      <c r="BX32" s="628" t="n">
        <f aca="false">'Cuenta Ahorro-Inversión-Financi'!BN32-'Cuenta Ahorro-Inversión-Financi'!BV32-'Cuenta Ahorro-Inversión-Financi'!BW32</f>
        <v>156189701.4287</v>
      </c>
      <c r="BY32" s="628"/>
      <c r="BZ32" s="625" t="n">
        <f aca="false">'Cuenta Ahorro-Inversión-Financi'!CA32+'Cuenta Ahorro-Inversión-Financi'!CB32+'Cuenta Ahorro-Inversión-Financi'!CF32</f>
        <v>2257806.5474</v>
      </c>
      <c r="CA32" s="627" t="n">
        <f aca="false">2257806547.4/1000</f>
        <v>2257806.5474</v>
      </c>
      <c r="CB32" s="627"/>
      <c r="CC32" s="627"/>
      <c r="CD32" s="627"/>
      <c r="CE32" s="627"/>
      <c r="CF32" s="641"/>
      <c r="CG32" s="625" t="n">
        <f aca="false">'Cuenta Ahorro-Inversión-Financi'!BZ32+'Cuenta Ahorro-Inversión-Financi'!AX32</f>
        <v>777007425.78231</v>
      </c>
      <c r="CH32" s="625" t="n">
        <f aca="false">110817434428.27/1000</f>
        <v>110817434.42827</v>
      </c>
      <c r="CI32" s="625"/>
      <c r="CJ32" s="625" t="n">
        <f aca="false">22415518308.14/1000</f>
        <v>22415518.30814</v>
      </c>
      <c r="CK32" s="625" t="n">
        <f aca="false">79945091341.32/1000</f>
        <v>79945091.34132</v>
      </c>
      <c r="CL32" s="625" t="n">
        <f aca="false">88401916120.13/1000-CK32</f>
        <v>8456824.77881</v>
      </c>
      <c r="CM32" s="625" t="n">
        <v>16218300</v>
      </c>
      <c r="CN32" s="625"/>
      <c r="CO32" s="625" t="n">
        <f aca="false">'Cuenta Ahorro-Inversión-Financi'!F32-'Cuenta Ahorro-Inversión-Financi'!AX32</f>
        <v>25907677.9127002</v>
      </c>
      <c r="CP32" s="627" t="n">
        <f aca="false">'Cuenta Ahorro-Inversión-Financi'!CO32+'Cuenta Ahorro-Inversión-Financi'!AD32-'Cuenta Ahorro-Inversión-Financi'!BZ32</f>
        <v>23654471.5927102</v>
      </c>
      <c r="CQ32" s="627" t="n">
        <f aca="false">'Cuenta Ahorro-Inversión-Financi'!T32-'Cuenta Ahorro-Inversión-Financi'!BF32-'Cuenta Ahorro-Inversión-Financi'!BN32</f>
        <v>-322006143.69591</v>
      </c>
      <c r="CR32" s="627" t="n">
        <f aca="false">'Cuenta Ahorro-Inversión-Financi'!F32-'Cuenta Ahorro-Inversión-Financi'!BF32-'Cuenta Ahorro-Inversión-Financi'!BN32-'Cuenta Ahorro-Inversión-Financi'!X32</f>
        <v>-43796762.9711299</v>
      </c>
      <c r="CS32" s="627" t="n">
        <f aca="false">31300557634.2019/1000</f>
        <v>31300557.6342019</v>
      </c>
      <c r="CT32" s="634" t="s">
        <v>905</v>
      </c>
      <c r="CU32" s="634"/>
      <c r="CW32" s="650" t="n">
        <v>2017</v>
      </c>
      <c r="CX32" s="605"/>
      <c r="CY32" s="605"/>
      <c r="CZ32" s="605"/>
      <c r="DA32" s="605"/>
      <c r="DB32" s="605"/>
      <c r="DC32" s="607" t="n">
        <v>9207047993.46307</v>
      </c>
      <c r="DD32" s="605" t="n">
        <v>10602469309.9181</v>
      </c>
      <c r="DE32" s="605" t="n">
        <v>11070090101.6518</v>
      </c>
      <c r="DF32" s="605" t="n">
        <v>11699507791.7232</v>
      </c>
      <c r="DG32" s="606" t="n">
        <f aca="false">('Cuenta Ahorro-Inversión-Financi'!DC32+'Cuenta Ahorro-Inversión-Financi'!DD32+'Cuenta Ahorro-Inversión-Financi'!DE32+'Cuenta Ahorro-Inversión-Financi'!DF32)/4</f>
        <v>10644778799.189</v>
      </c>
      <c r="DI32" s="1" t="n">
        <v>43471551159.65</v>
      </c>
      <c r="DJ32" s="456" t="n">
        <f aca="false">DI32/1000/DG32</f>
        <v>0.00408383790586253</v>
      </c>
      <c r="DK32" s="28"/>
      <c r="DL32" s="28"/>
      <c r="DZ32" s="1" t="n">
        <f aca="false">DZ31+1</f>
        <v>2016</v>
      </c>
      <c r="EB32" s="28" t="n">
        <f aca="false">BO32-BV32-BW32</f>
        <v>134099385.20045</v>
      </c>
      <c r="EC32" s="28" t="n">
        <f aca="false">BS32</f>
        <v>21691969.83673</v>
      </c>
      <c r="ED32" s="456" t="n">
        <f aca="false">EB32/1000/'PIB corriente base 2004'!X20</f>
        <v>0.0162976160439089</v>
      </c>
      <c r="EE32" s="456" t="n">
        <f aca="false">EC32/1000/'PIB corriente base 2004'!X20</f>
        <v>0.00263630884740172</v>
      </c>
      <c r="EF32" s="456" t="n">
        <f aca="false">ED32+EE32</f>
        <v>0.0189339248913106</v>
      </c>
    </row>
    <row r="33" customFormat="false" ht="15.75" hidden="false" customHeight="true" outlineLevel="0" collapsed="false">
      <c r="A33" s="456" t="n">
        <f aca="false">'Cuenta Ahorro-Inversión-Financi'!X33/'Cuenta Ahorro-Inversión-Financi'!F33</f>
        <v>0.113190173588059</v>
      </c>
      <c r="B33" s="456" t="n">
        <f aca="false">'Cuenta Ahorro-Inversión-Financi'!G33/'Cuenta Ahorro-Inversión-Financi'!F33</f>
        <v>0.278311438389141</v>
      </c>
      <c r="C33" s="456" t="n">
        <f aca="false">'Cuenta Ahorro-Inversión-Financi'!T33/'Cuenta Ahorro-Inversión-Financi'!F33</f>
        <v>0.607378610382594</v>
      </c>
      <c r="D33" s="456" t="s">
        <v>906</v>
      </c>
      <c r="E33" s="609" t="s">
        <v>907</v>
      </c>
      <c r="F33" s="610" t="n">
        <f aca="false">'Cuenta Ahorro-Inversión-Financi'!G33+'Cuenta Ahorro-Inversión-Financi'!S33+'Cuenta Ahorro-Inversión-Financi'!T33+'Cuenta Ahorro-Inversión-Financi'!X33+'Cuenta Ahorro-Inversión-Financi'!AA33</f>
        <v>974259326.61034</v>
      </c>
      <c r="G33" s="611" t="n">
        <f aca="false">'Cuenta Ahorro-Inversión-Financi'!H33+'Cuenta Ahorro-Inversión-Financi'!I33+'Cuenta Ahorro-Inversión-Financi'!J33+'Cuenta Ahorro-Inversión-Financi'!P33</f>
        <v>271147514.55296</v>
      </c>
      <c r="H33" s="612" t="n">
        <f aca="false">109245834216.93/1000</f>
        <v>109245834.21693</v>
      </c>
      <c r="I33" s="612" t="n">
        <f aca="false">44810647665.18/1000</f>
        <v>44810647.66518</v>
      </c>
      <c r="J33" s="612" t="n">
        <f aca="false">104183220070.85/1000</f>
        <v>104183220.07085</v>
      </c>
      <c r="K33" s="647" t="n">
        <f aca="false">74727.53313788*1000</f>
        <v>74727533.13788</v>
      </c>
      <c r="L33" s="613" t="n">
        <f aca="false">'Cuenta Ahorro-Inversión-Financi'!M33+'Cuenta Ahorro-Inversión-Financi'!N33</f>
        <v>29455686.93297</v>
      </c>
      <c r="M33" s="647" t="n">
        <v>20245771</v>
      </c>
      <c r="N33" s="613" t="n">
        <f aca="false">J33-(M33+K33)</f>
        <v>9209915.93297</v>
      </c>
      <c r="O33" s="613"/>
      <c r="P33" s="612" t="n">
        <f aca="false">12907812600/1000</f>
        <v>12907812.6</v>
      </c>
      <c r="Q33" s="653" t="n">
        <v>5625587</v>
      </c>
      <c r="R33" s="653" t="n">
        <v>7282225.6</v>
      </c>
      <c r="S33" s="612" t="n">
        <f aca="false">1090953809.7/1000</f>
        <v>1090953.8097</v>
      </c>
      <c r="T33" s="610" t="n">
        <f aca="false">U33+V33</f>
        <v>591744275.94887</v>
      </c>
      <c r="U33" s="612" t="n">
        <f aca="false">591737717484.36/1000</f>
        <v>591737717.48436</v>
      </c>
      <c r="V33" s="613" t="n">
        <f aca="false">6558464.51/1000</f>
        <v>6558.46451</v>
      </c>
      <c r="W33" s="613"/>
      <c r="X33" s="612" t="n">
        <f aca="false">Z33+Y33</f>
        <v>110276582.29881</v>
      </c>
      <c r="Y33" s="612" t="n">
        <f aca="false">7054651211.07/1000</f>
        <v>7054651.21107</v>
      </c>
      <c r="Z33" s="612" t="n">
        <f aca="false">103221931087.74/1000</f>
        <v>103221931.08774</v>
      </c>
      <c r="AA33" s="613"/>
      <c r="AB33" s="613"/>
      <c r="AC33" s="613"/>
      <c r="AD33" s="610" t="n">
        <f aca="false">'Cuenta Ahorro-Inversión-Financi'!AE33+'Cuenta Ahorro-Inversión-Financi'!AF33</f>
        <v>1444.23803</v>
      </c>
      <c r="AE33" s="654" t="n">
        <f aca="false">1444238.03/1000</f>
        <v>1444.23803</v>
      </c>
      <c r="AF33" s="613"/>
      <c r="AG33" s="654" t="n">
        <f aca="false">'Cuenta Ahorro-Inversión-Financi'!AD33+'Cuenta Ahorro-Inversión-Financi'!F33</f>
        <v>974260770.84837</v>
      </c>
      <c r="AH33" s="610" t="n">
        <f aca="false">377160739088.46/1000</f>
        <v>377160739.08846</v>
      </c>
      <c r="AI33" s="613" t="n">
        <f aca="false">'Cálculo masa impuestos copartic'!X29*1000</f>
        <v>166461992.04945</v>
      </c>
      <c r="AJ33" s="613" t="n">
        <f aca="false">BG33</f>
        <v>2970227.038</v>
      </c>
      <c r="AK33" s="613" t="n">
        <v>0</v>
      </c>
      <c r="AL33" s="613" t="n">
        <f aca="false">'Cuenta Ahorro-Inversión-Financi'!BW33</f>
        <v>3609378.409</v>
      </c>
      <c r="AM33" s="613" t="n">
        <v>8156877.3</v>
      </c>
      <c r="AN33" s="612" t="n">
        <f aca="false">'Cuenta Ahorro-Inversión-Financi'!AH33-('Cuenta Ahorro-Inversión-Financi'!AI33+'Cuenta Ahorro-Inversión-Financi'!AK33+'Cuenta Ahorro-Inversión-Financi'!AL33+'Cuenta Ahorro-Inversión-Financi'!AM33)</f>
        <v>198932491.33001</v>
      </c>
      <c r="AO33" s="612" t="n">
        <f aca="false">'Cuenta Ahorro-Inversión-Financi'!AI33-'Cuenta Ahorro-Inversión-Financi'!CH33+'Cuenta Ahorro-Inversión-Financi'!AK33+'Cuenta Ahorro-Inversión-Financi'!AL33+'Cuenta Ahorro-Inversión-Financi'!AM33+AJ33</f>
        <v>45654205.10556</v>
      </c>
      <c r="AP33" s="612" t="n">
        <f aca="false">'Cuenta Ahorro-Inversión-Financi'!AO33</f>
        <v>45654205.10556</v>
      </c>
      <c r="AQ33" s="635" t="s">
        <v>904</v>
      </c>
      <c r="AR33" s="655"/>
      <c r="AS33" s="655"/>
      <c r="AT33" s="656"/>
      <c r="AU33" s="656"/>
      <c r="AV33" s="656"/>
      <c r="AW33" s="631" t="n">
        <v>2017</v>
      </c>
      <c r="AX33" s="617" t="n">
        <f aca="false">'Cuenta Ahorro-Inversión-Financi'!AY33+'Cuenta Ahorro-Inversión-Financi'!BC33+'Cuenta Ahorro-Inversión-Financi'!BF33+'Cuenta Ahorro-Inversión-Financi'!BX33</f>
        <v>1063335715.50801</v>
      </c>
      <c r="AY33" s="620" t="n">
        <f aca="false">'Cuenta Ahorro-Inversión-Financi'!AZ33+'Cuenta Ahorro-Inversión-Financi'!BA33</f>
        <v>18322852.72915</v>
      </c>
      <c r="AZ33" s="618" t="n">
        <f aca="false">13817748058.41/1000</f>
        <v>13817748.05841</v>
      </c>
      <c r="BA33" s="618" t="n">
        <f aca="false">(133506595.07+4371598075.67)/1000</f>
        <v>4505104.67074</v>
      </c>
      <c r="BB33" s="619"/>
      <c r="BC33" s="618" t="n">
        <f aca="false">61222478.81/1000</f>
        <v>61222.47881</v>
      </c>
      <c r="BD33" s="619"/>
      <c r="BE33" s="619"/>
      <c r="BF33" s="617" t="n">
        <f aca="false">854575919983.15/1000</f>
        <v>854575919.98315</v>
      </c>
      <c r="BG33" s="617" t="n">
        <f aca="false">2970227038/1000</f>
        <v>2970227.038</v>
      </c>
      <c r="BH33" s="617" t="n">
        <f aca="false">9373728112/1000</f>
        <v>9373728.112</v>
      </c>
      <c r="BI33" s="619"/>
      <c r="BJ33" s="619"/>
      <c r="BK33" s="619"/>
      <c r="BL33" s="618" t="n">
        <v>6394236.85892</v>
      </c>
      <c r="BM33" s="618" t="n">
        <f aca="false">9870.05/1000</f>
        <v>9.87005</v>
      </c>
      <c r="BN33" s="618" t="n">
        <f aca="false">202141976025.9/1000</f>
        <v>202141976.0259</v>
      </c>
      <c r="BO33" s="619" t="n">
        <f aca="false">154650725422.93/1000</f>
        <v>154650725.42293</v>
      </c>
      <c r="BP33" s="619" t="n">
        <f aca="false">47486083873.78/1000</f>
        <v>47486083.87378</v>
      </c>
      <c r="BQ33" s="619" t="n">
        <f aca="false">5166729.19/1000</f>
        <v>5166.72919</v>
      </c>
      <c r="BR33" s="619" t="n">
        <f aca="false">162361618272.29/1000</f>
        <v>162361618.27229</v>
      </c>
      <c r="BS33" s="619" t="n">
        <f aca="false">31623480453.61/1000</f>
        <v>31623480.45361</v>
      </c>
      <c r="BT33" s="619"/>
      <c r="BU33" s="619"/>
      <c r="BV33" s="619" t="n">
        <v>8156877.3</v>
      </c>
      <c r="BW33" s="619" t="n">
        <v>3609378.409</v>
      </c>
      <c r="BX33" s="619" t="n">
        <f aca="false">'Cuenta Ahorro-Inversión-Financi'!BN33-'Cuenta Ahorro-Inversión-Financi'!BV33-'Cuenta Ahorro-Inversión-Financi'!BW33</f>
        <v>190375720.3169</v>
      </c>
      <c r="BY33" s="619"/>
      <c r="BZ33" s="617" t="n">
        <f aca="false">'Cuenta Ahorro-Inversión-Financi'!CA33+'Cuenta Ahorro-Inversión-Financi'!CB33+'Cuenta Ahorro-Inversión-Financi'!CF33</f>
        <v>567026.85153</v>
      </c>
      <c r="CA33" s="619" t="n">
        <f aca="false">567026851.53/1000</f>
        <v>567026.85153</v>
      </c>
      <c r="CB33" s="619"/>
      <c r="CC33" s="619"/>
      <c r="CD33" s="619"/>
      <c r="CE33" s="619"/>
      <c r="CF33" s="619"/>
      <c r="CG33" s="617" t="n">
        <f aca="false">'Cuenta Ahorro-Inversión-Financi'!BZ33+'Cuenta Ahorro-Inversión-Financi'!AX33</f>
        <v>1063902742.35954</v>
      </c>
      <c r="CH33" s="617" t="n">
        <f aca="false">135544269690.89/1000</f>
        <v>135544269.69089</v>
      </c>
      <c r="CI33" s="649"/>
      <c r="CJ33" s="617" t="n">
        <f aca="false">30933083008.08/1000</f>
        <v>30933083.00808</v>
      </c>
      <c r="CK33" s="617" t="n">
        <f aca="false">92478820884.8/1000</f>
        <v>92478820.8848</v>
      </c>
      <c r="CL33" s="617" t="n">
        <f aca="false">104611186682.81/1000-CK33</f>
        <v>12132365.79801</v>
      </c>
      <c r="CM33" s="657" t="n">
        <f aca="false">18023556128.08/1000</f>
        <v>18023556.12808</v>
      </c>
      <c r="CN33" s="657" t="n">
        <f aca="false">2012218469.46/1000</f>
        <v>2012218.46946</v>
      </c>
      <c r="CO33" s="649" t="n">
        <f aca="false">'Cuenta Ahorro-Inversión-Financi'!F33-'Cuenta Ahorro-Inversión-Financi'!AX33</f>
        <v>-89076388.89767</v>
      </c>
      <c r="CP33" s="619" t="n">
        <f aca="false">'Cuenta Ahorro-Inversión-Financi'!CO33+'Cuenta Ahorro-Inversión-Financi'!AD33-'Cuenta Ahorro-Inversión-Financi'!BZ33</f>
        <v>-89641971.51117</v>
      </c>
      <c r="CQ33" s="619" t="n">
        <f aca="false">'Cuenta Ahorro-Inversión-Financi'!T33-'Cuenta Ahorro-Inversión-Financi'!BF33-'Cuenta Ahorro-Inversión-Financi'!BN33</f>
        <v>-464973620.06018</v>
      </c>
      <c r="CR33" s="619"/>
      <c r="CS33" s="618" t="n">
        <f aca="false">77978.3298140266*1000</f>
        <v>77978329.8140266</v>
      </c>
      <c r="CT33" s="637" t="s">
        <v>908</v>
      </c>
      <c r="CU33" s="658"/>
      <c r="CW33" s="650" t="n">
        <v>2018</v>
      </c>
      <c r="CX33" s="651"/>
      <c r="CY33" s="651"/>
      <c r="CZ33" s="651"/>
      <c r="DA33" s="651"/>
      <c r="DB33" s="652"/>
      <c r="DC33" s="623" t="n">
        <v>12295597168.7493</v>
      </c>
      <c r="DD33" s="98" t="n">
        <v>14242781391.0506</v>
      </c>
      <c r="DE33" s="98" t="n">
        <v>14960937951.1837</v>
      </c>
      <c r="DF33" s="98" t="n">
        <v>16766919057.5723</v>
      </c>
      <c r="DG33" s="622" t="n">
        <f aca="false">('Cuenta Ahorro-Inversión-Financi'!DC33+'Cuenta Ahorro-Inversión-Financi'!DD33+'Cuenta Ahorro-Inversión-Financi'!DE33+'Cuenta Ahorro-Inversión-Financi'!DF33)/4</f>
        <v>14566558892.139</v>
      </c>
      <c r="DH33" s="456"/>
      <c r="DJ33" s="456"/>
      <c r="DZ33" s="1" t="n">
        <f aca="false">DZ32+1</f>
        <v>2017</v>
      </c>
      <c r="EB33" s="28" t="n">
        <f aca="false">BO33-BV33-BW33</f>
        <v>142884469.71393</v>
      </c>
      <c r="EC33" s="28" t="n">
        <f aca="false">BS33</f>
        <v>31623480.45361</v>
      </c>
      <c r="ED33" s="456" t="n">
        <f aca="false">EB33/1000/'PIB corriente base 2004'!X21</f>
        <v>0.0134229627885565</v>
      </c>
      <c r="EE33" s="456" t="n">
        <f aca="false">EC33/1000/'PIB corriente base 2004'!X21</f>
        <v>0.00297079733174157</v>
      </c>
      <c r="EF33" s="456" t="n">
        <f aca="false">ED33+EE33</f>
        <v>0.0163937601202981</v>
      </c>
    </row>
    <row r="34" customFormat="false" ht="21" hidden="false" customHeight="true" outlineLevel="0" collapsed="false">
      <c r="A34" s="456" t="n">
        <f aca="false">AVERAGE('Cuenta Ahorro-Inversión-Financi'!A25:A32)</f>
        <v>0.084691357817953</v>
      </c>
      <c r="B34" s="456" t="n">
        <f aca="false">AVERAGE('Cuenta Ahorro-Inversión-Financi'!B25:B32)</f>
        <v>0.262397076705192</v>
      </c>
      <c r="C34" s="456" t="n">
        <f aca="false">AVERAGE('Cuenta Ahorro-Inversión-Financi'!C25:C32)</f>
        <v>0.651774981665321</v>
      </c>
      <c r="D34" s="456"/>
      <c r="E34" s="609" t="s">
        <v>909</v>
      </c>
      <c r="F34" s="625" t="n">
        <f aca="false">'Cuenta Ahorro-Inversión-Financi'!G34+'Cuenta Ahorro-Inversión-Financi'!S34+'Cuenta Ahorro-Inversión-Financi'!T34+'Cuenta Ahorro-Inversión-Financi'!X34+'Cuenta Ahorro-Inversión-Financi'!AA34</f>
        <v>1311048363.8691</v>
      </c>
      <c r="G34" s="626" t="n">
        <f aca="false">'Cuenta Ahorro-Inversión-Financi'!H34+'Cuenta Ahorro-Inversión-Financi'!I34+'Cuenta Ahorro-Inversión-Financi'!J34+'Cuenta Ahorro-Inversión-Financi'!P34</f>
        <v>387779655.10095</v>
      </c>
      <c r="H34" s="632"/>
      <c r="I34" s="632"/>
      <c r="J34" s="632" t="n">
        <v>369916840.60095</v>
      </c>
      <c r="K34" s="659" t="n">
        <v>106984441.63282</v>
      </c>
      <c r="L34" s="633" t="n">
        <v>30341077.9158</v>
      </c>
      <c r="M34" s="633"/>
      <c r="N34" s="633"/>
      <c r="O34" s="633" t="n">
        <f aca="false">J34-SUM(K34:N34)</f>
        <v>232591321.05233</v>
      </c>
      <c r="P34" s="632" t="n">
        <f aca="false">17862814500/1000</f>
        <v>17862814.5</v>
      </c>
      <c r="Q34" s="632" t="n">
        <v>6845924</v>
      </c>
      <c r="R34" s="632" t="n">
        <v>11016890.5</v>
      </c>
      <c r="S34" s="632" t="n">
        <f aca="false">1442478893.57/1000</f>
        <v>1442478.89357</v>
      </c>
      <c r="T34" s="625" t="n">
        <f aca="false">U34+V34</f>
        <v>738595132.5425</v>
      </c>
      <c r="U34" s="632" t="n">
        <f aca="false">738588101462.45/1000</f>
        <v>738588101.46245</v>
      </c>
      <c r="V34" s="632" t="n">
        <f aca="false">7031080.05/1000</f>
        <v>7031.08005</v>
      </c>
      <c r="W34" s="633"/>
      <c r="X34" s="632" t="n">
        <f aca="false">Y34+Z34</f>
        <v>183231097.33208</v>
      </c>
      <c r="Y34" s="632" t="n">
        <f aca="false">8838814545.61/1000</f>
        <v>8838814.54561</v>
      </c>
      <c r="Z34" s="632" t="n">
        <f aca="false">174392282786.47/1000</f>
        <v>174392282.78647</v>
      </c>
      <c r="AA34" s="633"/>
      <c r="AB34" s="633"/>
      <c r="AC34" s="633"/>
      <c r="AD34" s="625" t="n">
        <f aca="false">AE34+AF34</f>
        <v>27323.32056</v>
      </c>
      <c r="AE34" s="633" t="n">
        <f aca="false">1160820.56/1000</f>
        <v>1160.82056</v>
      </c>
      <c r="AF34" s="633" t="n">
        <f aca="false">26162500/1000</f>
        <v>26162.5</v>
      </c>
      <c r="AG34" s="625" t="n">
        <f aca="false">'Cuenta Ahorro-Inversión-Financi'!AD34+'Cuenta Ahorro-Inversión-Financi'!F34</f>
        <v>1311075687.18966</v>
      </c>
      <c r="AH34" s="660" t="n">
        <f aca="false">382990766338.38/1000</f>
        <v>382990766.33838</v>
      </c>
      <c r="AI34" s="628" t="n">
        <f aca="false">'Cálculo masa impuestos copartic'!X30*1000</f>
        <v>260430300</v>
      </c>
      <c r="AJ34" s="628" t="n">
        <f aca="false">BG34</f>
        <v>8603980.081</v>
      </c>
      <c r="AK34" s="628" t="n">
        <v>0</v>
      </c>
      <c r="AL34" s="628" t="n">
        <f aca="false">4021642214/1000</f>
        <v>4021642.214</v>
      </c>
      <c r="AM34" s="628" t="n">
        <f aca="false">678257489/1000</f>
        <v>678257.489</v>
      </c>
      <c r="AN34" s="627" t="n">
        <f aca="false">'Cuenta Ahorro-Inversión-Financi'!AH34-('Cuenta Ahorro-Inversión-Financi'!AI34+'Cuenta Ahorro-Inversión-Financi'!AK34+'Cuenta Ahorro-Inversión-Financi'!AL34+'Cuenta Ahorro-Inversión-Financi'!AM34)</f>
        <v>117860566.63538</v>
      </c>
      <c r="AO34" s="627" t="n">
        <f aca="false">'Cuenta Ahorro-Inversión-Financi'!AI34-'Cuenta Ahorro-Inversión-Financi'!CH34+'Cuenta Ahorro-Inversión-Financi'!AK34+'Cuenta Ahorro-Inversión-Financi'!AL34+'Cuenta Ahorro-Inversión-Financi'!AM34+AJ34</f>
        <v>133167073.28025</v>
      </c>
      <c r="AP34" s="627" t="n">
        <f aca="false">'Cuenta Ahorro-Inversión-Financi'!AO34</f>
        <v>133167073.28025</v>
      </c>
      <c r="AQ34" s="630" t="s">
        <v>910</v>
      </c>
      <c r="AR34" s="661"/>
      <c r="AS34" s="661"/>
      <c r="AT34" s="662"/>
      <c r="AU34" s="662"/>
      <c r="AV34" s="662"/>
      <c r="AW34" s="631" t="n">
        <v>2018</v>
      </c>
      <c r="AX34" s="625" t="n">
        <f aca="false">'Cuenta Ahorro-Inversión-Financi'!AY34+'Cuenta Ahorro-Inversión-Financi'!BC34+'Cuenta Ahorro-Inversión-Financi'!BF34+'Cuenta Ahorro-Inversión-Financi'!BX34</f>
        <v>1401889393.64882</v>
      </c>
      <c r="AY34" s="627" t="n">
        <f aca="false">'Cuenta Ahorro-Inversión-Financi'!AZ34+'Cuenta Ahorro-Inversión-Financi'!BA34</f>
        <v>21525462.73405</v>
      </c>
      <c r="AZ34" s="627" t="n">
        <f aca="false">16381281.80116</f>
        <v>16381281.80116</v>
      </c>
      <c r="BA34" s="627" t="n">
        <f aca="false">(109201137.69+5034979795.2)/1000</f>
        <v>5144180.93289</v>
      </c>
      <c r="BB34" s="627"/>
      <c r="BC34" s="627" t="n">
        <f aca="false">65887508.52/1000</f>
        <v>65887.50852</v>
      </c>
      <c r="BD34" s="627"/>
      <c r="BE34" s="627"/>
      <c r="BF34" s="625" t="n">
        <f aca="false">1122621499164.77/1000</f>
        <v>1122621499.16477</v>
      </c>
      <c r="BG34" s="625" t="n">
        <f aca="false">8603980081/1000</f>
        <v>8603980.081</v>
      </c>
      <c r="BH34" s="625" t="n">
        <f aca="false">38198551272/1000</f>
        <v>38198551.272</v>
      </c>
      <c r="BI34" s="625"/>
      <c r="BJ34" s="625"/>
      <c r="BK34" s="625"/>
      <c r="BL34" s="627" t="n">
        <f aca="false">8240048329/1000</f>
        <v>8240048.329</v>
      </c>
      <c r="BM34" s="627" t="n">
        <f aca="false">5025.51/1000</f>
        <v>5.02551</v>
      </c>
      <c r="BN34" s="627" t="n">
        <f aca="false">262376443944.28/1000</f>
        <v>262376443.94428</v>
      </c>
      <c r="BO34" s="628" t="n">
        <f aca="false">195535781874.51/1000</f>
        <v>195535781.87451</v>
      </c>
      <c r="BP34" s="628" t="n">
        <f aca="false">66835065776.27/1000</f>
        <v>66835065.77627</v>
      </c>
      <c r="BQ34" s="628" t="n">
        <f aca="false">5596293.5/1000</f>
        <v>5596.2935</v>
      </c>
      <c r="BR34" s="628" t="n">
        <f aca="false">220656454453.54/1000</f>
        <v>220656454.45354</v>
      </c>
      <c r="BS34" s="628" t="n">
        <f aca="false">41041732001.94/1000</f>
        <v>41041732.00194</v>
      </c>
      <c r="BT34" s="641"/>
      <c r="BU34" s="627"/>
      <c r="BV34" s="628" t="n">
        <v>678257.4888</v>
      </c>
      <c r="BW34" s="628" t="n">
        <f aca="false">AL34</f>
        <v>4021642.214</v>
      </c>
      <c r="BX34" s="628" t="n">
        <f aca="false">'Cuenta Ahorro-Inversión-Financi'!BN34-'Cuenta Ahorro-Inversión-Financi'!BV34-'Cuenta Ahorro-Inversión-Financi'!BW34</f>
        <v>257676544.24148</v>
      </c>
      <c r="BY34" s="628"/>
      <c r="BZ34" s="625" t="n">
        <f aca="false">'Cuenta Ahorro-Inversión-Financi'!CA34+'Cuenta Ahorro-Inversión-Financi'!CB34+'Cuenta Ahorro-Inversión-Financi'!CF34</f>
        <v>6272.39871</v>
      </c>
      <c r="CA34" s="628" t="n">
        <f aca="false">6272398.71/1000</f>
        <v>6272.39871</v>
      </c>
      <c r="CB34" s="627"/>
      <c r="CC34" s="627"/>
      <c r="CD34" s="627"/>
      <c r="CE34" s="627"/>
      <c r="CF34" s="641"/>
      <c r="CG34" s="625" t="n">
        <f aca="false">'Cuenta Ahorro-Inversión-Financi'!BZ34+'Cuenta Ahorro-Inversión-Financi'!AX34</f>
        <v>1401895666.04753</v>
      </c>
      <c r="CH34" s="625" t="n">
        <f aca="false">140567106.50375</f>
        <v>140567106.50375</v>
      </c>
      <c r="CI34" s="625"/>
      <c r="CJ34" s="625" t="n">
        <f aca="false">39299818627.15/1000</f>
        <v>39299818.62715</v>
      </c>
      <c r="CK34" s="625" t="n">
        <f aca="false">88985224607.52/1000</f>
        <v>88985224.60752</v>
      </c>
      <c r="CL34" s="625" t="n">
        <f aca="false">140567106.50375-CK34-CJ34</f>
        <v>12282063.26908</v>
      </c>
      <c r="CM34" s="625" t="n">
        <f aca="false">22662949946.06/1000</f>
        <v>22662949.94606</v>
      </c>
      <c r="CN34" s="625" t="n">
        <f aca="false">5468244013.05/1000</f>
        <v>5468244.01305</v>
      </c>
      <c r="CO34" s="625" t="n">
        <f aca="false">'Cuenta Ahorro-Inversión-Financi'!F34-'Cuenta Ahorro-Inversión-Financi'!AX34</f>
        <v>-90841029.7797201</v>
      </c>
      <c r="CP34" s="627" t="n">
        <f aca="false">'Cuenta Ahorro-Inversión-Financi'!CO34+'Cuenta Ahorro-Inversión-Financi'!AD34-'Cuenta Ahorro-Inversión-Financi'!BZ34</f>
        <v>-90819978.8578701</v>
      </c>
      <c r="CQ34" s="627" t="n">
        <f aca="false">'Cuenta Ahorro-Inversión-Financi'!T34-'Cuenta Ahorro-Inversión-Financi'!BF34-'Cuenta Ahorro-Inversión-Financi'!BN34</f>
        <v>-646402810.56655</v>
      </c>
      <c r="CR34" s="627"/>
      <c r="CS34" s="627" t="n">
        <f aca="false">168141.7*1000</f>
        <v>168141700</v>
      </c>
      <c r="CT34" s="634" t="s">
        <v>908</v>
      </c>
      <c r="CU34" s="456"/>
      <c r="CV34" s="456"/>
      <c r="CW34" s="456"/>
      <c r="CX34" s="456"/>
      <c r="CY34" s="456"/>
      <c r="CZ34" s="456"/>
      <c r="DA34" s="456"/>
      <c r="DB34" s="456"/>
      <c r="DC34" s="456"/>
      <c r="DD34" s="456"/>
      <c r="DE34" s="456"/>
      <c r="DF34" s="456"/>
      <c r="DG34" s="456"/>
      <c r="DH34" s="456"/>
      <c r="DI34" s="456"/>
      <c r="DJ34" s="456"/>
      <c r="DK34" s="456"/>
      <c r="DL34" s="456"/>
      <c r="DM34" s="456"/>
      <c r="DN34" s="456"/>
      <c r="DO34" s="456"/>
      <c r="DZ34" s="28"/>
      <c r="EA34" s="28"/>
      <c r="EB34" s="456"/>
      <c r="EC34" s="456"/>
      <c r="ED34" s="456"/>
    </row>
    <row r="35" customFormat="false" ht="14.45" hidden="false" customHeight="true" outlineLevel="0" collapsed="false">
      <c r="A35" s="456"/>
      <c r="B35" s="456"/>
      <c r="C35" s="456"/>
      <c r="D35" s="456"/>
      <c r="E35" s="609" t="s">
        <v>911</v>
      </c>
      <c r="F35" s="610" t="n">
        <f aca="false">'Cuenta Ahorro-Inversión-Financi'!G35+'Cuenta Ahorro-Inversión-Financi'!S35+'Cuenta Ahorro-Inversión-Financi'!T35+'Cuenta Ahorro-Inversión-Financi'!X35+'Cuenta Ahorro-Inversión-Financi'!AA35</f>
        <v>1849133314.83913</v>
      </c>
      <c r="G35" s="611" t="n">
        <f aca="false">'Cuenta Ahorro-Inversión-Financi'!H35+'Cuenta Ahorro-Inversión-Financi'!I35+'Cuenta Ahorro-Inversión-Financi'!J35+'Cuenta Ahorro-Inversión-Financi'!P35</f>
        <v>559597499.72566</v>
      </c>
      <c r="H35" s="612"/>
      <c r="I35" s="612"/>
      <c r="J35" s="612" t="n">
        <f aca="false">SUM(K35:O35)</f>
        <v>536164065.08228</v>
      </c>
      <c r="K35" s="647" t="n">
        <f aca="false">151152893489.43/1000</f>
        <v>151152893.48943</v>
      </c>
      <c r="L35" s="613" t="n">
        <f aca="false">17500.9/1000+41698451389.7/1000</f>
        <v>41698468.8906</v>
      </c>
      <c r="M35" s="647"/>
      <c r="N35" s="613"/>
      <c r="O35" s="613" t="n">
        <f aca="false">343312702702.25/1000</f>
        <v>343312702.70225</v>
      </c>
      <c r="P35" s="612" t="n">
        <f aca="false">Q35+R35</f>
        <v>23433434.64338</v>
      </c>
      <c r="Q35" s="653" t="n">
        <f aca="false">9268001000/1000</f>
        <v>9268001</v>
      </c>
      <c r="R35" s="653" t="n">
        <f aca="false">14165433643.38/1000</f>
        <v>14165433.64338</v>
      </c>
      <c r="S35" s="612" t="n">
        <f aca="false">1984403048.13/1000</f>
        <v>1984403.04813</v>
      </c>
      <c r="T35" s="610" t="n">
        <f aca="false">982689787693.62/1000</f>
        <v>982689787.69362</v>
      </c>
      <c r="U35" s="612" t="n">
        <f aca="false">982681385411.19/1000</f>
        <v>982681385.41119</v>
      </c>
      <c r="V35" s="612" t="n">
        <f aca="false">8402282.43/1000</f>
        <v>8402.28243</v>
      </c>
      <c r="W35" s="613"/>
      <c r="X35" s="612" t="n">
        <f aca="false">Z35+Y35</f>
        <v>304861624.37172</v>
      </c>
      <c r="Y35" s="612" t="n">
        <f aca="false">19975926274.18/1000</f>
        <v>19975926.27418</v>
      </c>
      <c r="Z35" s="612" t="n">
        <f aca="false">284885698097.54/1000</f>
        <v>284885698.09754</v>
      </c>
      <c r="AA35" s="613"/>
      <c r="AB35" s="613"/>
      <c r="AC35" s="613"/>
      <c r="AD35" s="610" t="n">
        <f aca="false">AE35+AF35</f>
        <v>29344500.53468</v>
      </c>
      <c r="AE35" s="663" t="n">
        <f aca="false">29333248569.97/1000</f>
        <v>29333248.56997</v>
      </c>
      <c r="AF35" s="613" t="n">
        <f aca="false">11251964.71/1000</f>
        <v>11251.96471</v>
      </c>
      <c r="AG35" s="654" t="n">
        <f aca="false">'Cuenta Ahorro-Inversión-Financi'!AD35+'Cuenta Ahorro-Inversión-Financi'!F35</f>
        <v>1878477815.37381</v>
      </c>
      <c r="AH35" s="610" t="n">
        <f aca="false">658763744762.93/1000</f>
        <v>658763744.76293</v>
      </c>
      <c r="AI35" s="613" t="n">
        <f aca="false">372410.1834225*1000</f>
        <v>372410183.4225</v>
      </c>
      <c r="AJ35" s="613" t="n">
        <f aca="false">17242566505/1000</f>
        <v>17242566.505</v>
      </c>
      <c r="AK35" s="613" t="n">
        <v>0</v>
      </c>
      <c r="AL35" s="613" t="n">
        <f aca="false">4808127870/1000</f>
        <v>4808127.87</v>
      </c>
      <c r="AM35" s="613" t="n">
        <v>0</v>
      </c>
      <c r="AN35" s="613" t="n">
        <f aca="false">'Cuenta Ahorro-Inversión-Financi'!AH35-('Cuenta Ahorro-Inversión-Financi'!AI35+'Cuenta Ahorro-Inversión-Financi'!AK35+'Cuenta Ahorro-Inversión-Financi'!AL35+'Cuenta Ahorro-Inversión-Financi'!AM35)</f>
        <v>281545433.47043</v>
      </c>
      <c r="AO35" s="613" t="n">
        <f aca="false">'Cuenta Ahorro-Inversión-Financi'!AI35-'Cuenta Ahorro-Inversión-Financi'!CH35+'Cuenta Ahorro-Inversión-Financi'!AK35+'Cuenta Ahorro-Inversión-Financi'!AL35+'Cuenta Ahorro-Inversión-Financi'!AM35+AJ35</f>
        <v>186349907.53296</v>
      </c>
      <c r="AP35" s="613" t="n">
        <f aca="false">'Cuenta Ahorro-Inversión-Financi'!AO35</f>
        <v>186349907.53296</v>
      </c>
      <c r="AQ35" s="635" t="s">
        <v>912</v>
      </c>
      <c r="AR35" s="655"/>
      <c r="AS35" s="655"/>
      <c r="AT35" s="662"/>
      <c r="AU35" s="662"/>
      <c r="AV35" s="662"/>
      <c r="AW35" s="631" t="n">
        <v>2019</v>
      </c>
      <c r="AX35" s="617" t="n">
        <f aca="false">'Cuenta Ahorro-Inversión-Financi'!AY35+'Cuenta Ahorro-Inversión-Financi'!BC35+'Cuenta Ahorro-Inversión-Financi'!BF35+'Cuenta Ahorro-Inversión-Financi'!BX35</f>
        <v>2019667077.06469</v>
      </c>
      <c r="AY35" s="620" t="n">
        <f aca="false">AZ35+BA35</f>
        <v>27068720.54651</v>
      </c>
      <c r="AZ35" s="618" t="n">
        <f aca="false">20898432977.94/1000</f>
        <v>20898432.97794</v>
      </c>
      <c r="BA35" s="618" t="n">
        <f aca="false">(199337279.35/1000+5970950289.22/1000)</f>
        <v>6170287.56857</v>
      </c>
      <c r="BB35" s="619"/>
      <c r="BC35" s="618" t="n">
        <f aca="false">107234650.91/1000</f>
        <v>107234.65091</v>
      </c>
      <c r="BD35" s="619"/>
      <c r="BE35" s="619"/>
      <c r="BF35" s="617" t="n">
        <f aca="false">1614484536000.68/1000</f>
        <v>1614484536.00068</v>
      </c>
      <c r="BG35" s="617" t="n">
        <f aca="false">AJ35</f>
        <v>17242566.505</v>
      </c>
      <c r="BH35" s="617" t="n">
        <f aca="false">52849724776/1000</f>
        <v>52849724.776</v>
      </c>
      <c r="BI35" s="619"/>
      <c r="BJ35" s="619"/>
      <c r="BK35" s="619"/>
      <c r="BL35" s="618" t="n">
        <f aca="false">11479346169/1000</f>
        <v>11479346.169</v>
      </c>
      <c r="BM35" s="618" t="n">
        <f aca="false">10206.68/1000</f>
        <v>10.20668</v>
      </c>
      <c r="BN35" s="618" t="n">
        <f aca="false">382814713736.59/1000</f>
        <v>382814713.73659</v>
      </c>
      <c r="BO35" s="619" t="n">
        <f aca="false">290620040966.05/1000</f>
        <v>290620040.96605</v>
      </c>
      <c r="BP35" s="619" t="n">
        <f aca="false">92186567795.41/1000</f>
        <v>92186567.79541</v>
      </c>
      <c r="BQ35" s="619" t="n">
        <f aca="false">8104975.13/1000</f>
        <v>8104.97513</v>
      </c>
      <c r="BR35" s="619" t="n">
        <f aca="false">324229936405.62/1000</f>
        <v>324229936.40562</v>
      </c>
      <c r="BS35" s="619" t="n">
        <f aca="false">58584777330.97/1000</f>
        <v>58584777.33097</v>
      </c>
      <c r="BT35" s="619"/>
      <c r="BU35" s="619"/>
      <c r="BV35" s="619"/>
      <c r="BW35" s="619" t="n">
        <f aca="false">AL35</f>
        <v>4808127.87</v>
      </c>
      <c r="BX35" s="619" t="n">
        <f aca="false">'Cuenta Ahorro-Inversión-Financi'!BN35-'Cuenta Ahorro-Inversión-Financi'!BV35-'Cuenta Ahorro-Inversión-Financi'!BW35</f>
        <v>378006585.86659</v>
      </c>
      <c r="BY35" s="619"/>
      <c r="BZ35" s="617" t="n">
        <f aca="false">CA35</f>
        <v>662193.57994</v>
      </c>
      <c r="CA35" s="619" t="n">
        <f aca="false">662193579.94/1000</f>
        <v>662193.57994</v>
      </c>
      <c r="CB35" s="619"/>
      <c r="CC35" s="619"/>
      <c r="CD35" s="619"/>
      <c r="CE35" s="619"/>
      <c r="CF35" s="619"/>
      <c r="CG35" s="617" t="n">
        <f aca="false">'Cuenta Ahorro-Inversión-Financi'!BZ35+'Cuenta Ahorro-Inversión-Financi'!AX35</f>
        <v>2020329270.64463</v>
      </c>
      <c r="CH35" s="617" t="n">
        <f aca="false">208110970264.54/1000</f>
        <v>208110970.26454</v>
      </c>
      <c r="CI35" s="649"/>
      <c r="CJ35" s="617" t="n">
        <f aca="false">68320169714.74/1000</f>
        <v>68320169.71474</v>
      </c>
      <c r="CK35" s="617" t="n">
        <f aca="false">131071459254.52/1000</f>
        <v>131071459.25452</v>
      </c>
      <c r="CL35" s="617" t="n">
        <f aca="false">CH35-CJ35-CK35</f>
        <v>8719341.29528004</v>
      </c>
      <c r="CM35" s="657" t="n">
        <f aca="false">34713224421.91/1000</f>
        <v>34713224.42191</v>
      </c>
      <c r="CN35" s="657" t="n">
        <f aca="false">6123626529.34/1000</f>
        <v>6123626.52934</v>
      </c>
      <c r="CO35" s="649" t="n">
        <f aca="false">'Cuenta Ahorro-Inversión-Financi'!F35-'Cuenta Ahorro-Inversión-Financi'!AX35</f>
        <v>-170533762.22556</v>
      </c>
      <c r="CP35" s="619" t="n">
        <f aca="false">'Cuenta Ahorro-Inversión-Financi'!CO35+'Cuenta Ahorro-Inversión-Financi'!AD35-'Cuenta Ahorro-Inversión-Financi'!BZ35</f>
        <v>-141851455.27082</v>
      </c>
      <c r="CQ35" s="619" t="n">
        <f aca="false">'Cuenta Ahorro-Inversión-Financi'!T35-'Cuenta Ahorro-Inversión-Financi'!BF35-'Cuenta Ahorro-Inversión-Financi'!BN35</f>
        <v>-1014609462.04365</v>
      </c>
      <c r="CR35" s="619"/>
      <c r="CS35" s="618" t="n">
        <f aca="false">306424.71635524*1000</f>
        <v>306424716.35524</v>
      </c>
      <c r="CT35" s="637" t="s">
        <v>908</v>
      </c>
      <c r="CU35" s="658"/>
      <c r="CV35" s="456"/>
      <c r="CW35" s="456"/>
      <c r="CX35" s="456"/>
      <c r="CY35" s="456"/>
      <c r="CZ35" s="456"/>
      <c r="DA35" s="456"/>
      <c r="DB35" s="456"/>
      <c r="DC35" s="456"/>
      <c r="DD35" s="456"/>
      <c r="DE35" s="456"/>
      <c r="DF35" s="456"/>
      <c r="DG35" s="456"/>
      <c r="DH35" s="456"/>
      <c r="DI35" s="456"/>
      <c r="DJ35" s="456"/>
      <c r="DK35" s="456"/>
      <c r="DL35" s="456"/>
      <c r="DM35" s="456"/>
      <c r="DN35" s="456"/>
      <c r="DO35" s="456"/>
      <c r="DZ35" s="28"/>
      <c r="EA35" s="28"/>
      <c r="EB35" s="456"/>
      <c r="EC35" s="456"/>
      <c r="ED35" s="456"/>
    </row>
    <row r="36" customFormat="false" ht="15.75" hidden="false" customHeight="true" outlineLevel="0" collapsed="false">
      <c r="C36" s="1" t="n">
        <v>29081800</v>
      </c>
      <c r="D36" s="456"/>
      <c r="E36" s="456"/>
      <c r="F36" s="664" t="n">
        <f aca="false">F32-786538325066.52/1000</f>
        <v>14118972.0810901</v>
      </c>
      <c r="G36" s="664" t="n">
        <f aca="false">F36-I32+V75/1000-CN33</f>
        <v>-88427544.6399399</v>
      </c>
      <c r="H36" s="456"/>
      <c r="I36" s="456"/>
      <c r="J36" s="456" t="n">
        <f aca="false">K36/'PIB corriente base 2004'!X22/1000</f>
        <v>0.0159674857167434</v>
      </c>
      <c r="K36" s="28" t="n">
        <f aca="false">J34-K34-L34</f>
        <v>232591321.05233</v>
      </c>
      <c r="L36" s="456"/>
      <c r="M36" s="456"/>
      <c r="N36" s="456"/>
      <c r="O36" s="665"/>
      <c r="P36" s="666"/>
      <c r="Q36" s="456"/>
      <c r="R36" s="456"/>
      <c r="S36" s="456"/>
      <c r="T36" s="667"/>
      <c r="U36" s="456" t="s">
        <v>913</v>
      </c>
      <c r="V36" s="668" t="n">
        <v>15554.1</v>
      </c>
      <c r="W36" s="456" t="s">
        <v>914</v>
      </c>
      <c r="X36" s="664" t="n">
        <f aca="false">X34+(Y36+Z36)/1000</f>
        <v>183258420.65264</v>
      </c>
      <c r="Y36" s="581" t="n">
        <v>26162500</v>
      </c>
      <c r="Z36" s="581" t="n">
        <v>1160820.56</v>
      </c>
      <c r="AA36" s="456"/>
      <c r="AB36" s="456"/>
      <c r="AC36" s="456"/>
      <c r="AD36" s="456"/>
      <c r="AE36" s="456"/>
      <c r="AF36" s="456"/>
      <c r="AG36" s="456"/>
      <c r="AH36" s="456"/>
      <c r="AI36" s="456"/>
      <c r="AJ36" s="456"/>
      <c r="AK36" s="456"/>
      <c r="AL36" s="456"/>
      <c r="AM36" s="456"/>
      <c r="AN36" s="456"/>
      <c r="AO36" s="456"/>
      <c r="AP36" s="661" t="s">
        <v>915</v>
      </c>
      <c r="AQ36" s="456"/>
      <c r="AR36" s="456"/>
      <c r="AS36" s="456"/>
      <c r="AT36" s="456"/>
      <c r="AU36" s="456"/>
      <c r="AV36" s="668"/>
      <c r="AW36" s="669"/>
      <c r="AX36" s="669"/>
      <c r="AY36" s="669"/>
      <c r="AZ36" s="668"/>
      <c r="BA36" s="668"/>
      <c r="BB36" s="456"/>
      <c r="BC36" s="456"/>
      <c r="BD36" s="456"/>
      <c r="BE36" s="670"/>
      <c r="BF36" s="671"/>
      <c r="BG36" s="456"/>
      <c r="BH36" s="456"/>
      <c r="BI36" s="456"/>
      <c r="BJ36" s="672" t="n">
        <v>7751887161</v>
      </c>
      <c r="BK36" s="670" t="n">
        <v>314331.5</v>
      </c>
      <c r="BL36" s="673" t="s">
        <v>916</v>
      </c>
      <c r="BM36" s="674" t="n">
        <v>19171.5</v>
      </c>
      <c r="BN36" s="456" t="s">
        <v>917</v>
      </c>
      <c r="BO36" s="669" t="n">
        <v>2016</v>
      </c>
      <c r="BP36" s="669" t="n">
        <v>2017</v>
      </c>
      <c r="BQ36" s="456"/>
      <c r="BR36" s="456"/>
      <c r="BS36" s="456"/>
      <c r="BT36" s="456"/>
      <c r="BU36" s="456"/>
      <c r="BV36" s="456"/>
      <c r="BW36" s="456"/>
      <c r="BX36" s="456"/>
      <c r="BY36" s="456"/>
      <c r="BZ36" s="456"/>
      <c r="CA36" s="456"/>
      <c r="CB36" s="456"/>
      <c r="CC36" s="456"/>
      <c r="CD36" s="456"/>
      <c r="CE36" s="456"/>
      <c r="CF36" s="456"/>
      <c r="CG36" s="456"/>
      <c r="CH36" s="668"/>
      <c r="CI36" s="456"/>
      <c r="CJ36" s="456"/>
      <c r="CK36" s="46"/>
      <c r="CL36" s="46"/>
      <c r="CM36" s="312"/>
      <c r="CN36" s="456"/>
      <c r="CO36" s="456"/>
      <c r="CP36" s="456"/>
      <c r="CQ36" s="456"/>
      <c r="CR36" s="456"/>
      <c r="CT36" s="637" t="s">
        <v>918</v>
      </c>
      <c r="CU36" s="456"/>
      <c r="CV36" s="456"/>
      <c r="CW36" s="456"/>
      <c r="CX36" s="456"/>
      <c r="CY36" s="456"/>
      <c r="CZ36" s="456"/>
      <c r="DA36" s="456"/>
      <c r="DB36" s="456"/>
      <c r="DC36" s="456"/>
      <c r="DD36" s="456"/>
      <c r="DE36" s="456"/>
      <c r="DF36" s="456"/>
      <c r="DG36" s="456"/>
      <c r="DH36" s="456"/>
      <c r="DI36" s="456"/>
      <c r="DJ36" s="456"/>
      <c r="DK36" s="456"/>
      <c r="DV36" s="28"/>
      <c r="DW36" s="28"/>
      <c r="DX36" s="456"/>
      <c r="DY36" s="456"/>
      <c r="DZ36" s="456"/>
    </row>
    <row r="37" customFormat="false" ht="37.7" hidden="false" customHeight="true" outlineLevel="0" collapsed="false">
      <c r="C37" s="1" t="n">
        <f aca="false">C36+I32+I33</f>
        <v>177423237.66518</v>
      </c>
      <c r="D37" s="456"/>
      <c r="E37" s="456"/>
      <c r="F37" s="664" t="n">
        <f aca="false">F33-1075040748738.2/1000</f>
        <v>-100781422.12786</v>
      </c>
      <c r="G37" s="664" t="n">
        <f aca="false">F37-I33+V76/1000-CN34</f>
        <v>-109600981.1159</v>
      </c>
      <c r="H37" s="456"/>
      <c r="I37" s="456"/>
      <c r="J37" s="456"/>
      <c r="K37" s="456" t="s">
        <v>863</v>
      </c>
      <c r="L37" s="456"/>
      <c r="M37" s="456"/>
      <c r="N37" s="456"/>
      <c r="O37" s="456"/>
      <c r="P37" s="666"/>
      <c r="Q37" s="456"/>
      <c r="R37" s="456"/>
      <c r="S37" s="675"/>
      <c r="T37" s="675"/>
      <c r="U37" s="456" t="s">
        <v>919</v>
      </c>
      <c r="V37" s="676" t="n">
        <v>42342</v>
      </c>
      <c r="W37" s="456" t="s">
        <v>920</v>
      </c>
      <c r="X37" s="676" t="n">
        <v>7446.4</v>
      </c>
      <c r="Y37" s="456"/>
      <c r="Z37" s="677" t="n">
        <f aca="false">Y36+Z36</f>
        <v>27323320.56</v>
      </c>
      <c r="AA37" s="456"/>
      <c r="AB37" s="456"/>
      <c r="AC37" s="456"/>
      <c r="AD37" s="456"/>
      <c r="AE37" s="456"/>
      <c r="AF37" s="456"/>
      <c r="AG37" s="456"/>
      <c r="AH37" s="456"/>
      <c r="AI37" s="678"/>
      <c r="AJ37" s="581"/>
      <c r="AK37" s="456"/>
      <c r="AL37" s="456"/>
      <c r="AM37" s="456"/>
      <c r="AN37" s="456"/>
      <c r="AO37" s="456"/>
      <c r="AP37" s="456"/>
      <c r="AQ37" s="456"/>
      <c r="AR37" s="456"/>
      <c r="AS37" s="456"/>
      <c r="AT37" s="456"/>
      <c r="AU37" s="456"/>
      <c r="AV37" s="679"/>
      <c r="AW37" s="668"/>
      <c r="AX37" s="669"/>
      <c r="AY37" s="669"/>
      <c r="AZ37" s="680"/>
      <c r="BA37" s="681"/>
      <c r="BB37" s="682" t="n">
        <f aca="false">T34-BF34</f>
        <v>-384026366.62227</v>
      </c>
      <c r="BC37" s="682" t="n">
        <f aca="false">-407696.9*1000</f>
        <v>-407696900</v>
      </c>
      <c r="BD37" s="670" t="n">
        <f aca="false">BB37-BC37</f>
        <v>23670533.3777298</v>
      </c>
      <c r="BE37" s="456"/>
      <c r="BF37" s="456"/>
      <c r="BG37" s="682"/>
      <c r="BH37" s="669"/>
      <c r="BI37" s="456"/>
      <c r="BJ37" s="456"/>
      <c r="BK37" s="456"/>
      <c r="BL37" s="683" t="n">
        <v>10845031919</v>
      </c>
      <c r="BM37" s="669" t="n">
        <f aca="false">BL37/1000+BS33</f>
        <v>42468512.37261</v>
      </c>
      <c r="BN37" s="312" t="n">
        <f aca="false">66815.9+60115.6+11370.4+3609.4+8156.9+3369.7+1210.4</f>
        <v>154648.3</v>
      </c>
      <c r="BO37" s="684" t="n">
        <v>19171.46037581</v>
      </c>
      <c r="BP37" s="676" t="n">
        <v>10845.031919</v>
      </c>
      <c r="BQ37" s="456"/>
      <c r="BR37" s="456"/>
      <c r="BS37" s="456"/>
      <c r="BT37" s="456"/>
      <c r="BU37" s="581"/>
      <c r="BV37" s="456"/>
      <c r="BW37" s="456"/>
      <c r="BX37" s="456"/>
      <c r="BY37" s="456"/>
      <c r="BZ37" s="456"/>
      <c r="CA37" s="456"/>
      <c r="CB37" s="456"/>
      <c r="CC37" s="456"/>
      <c r="CD37" s="456"/>
      <c r="CE37" s="456"/>
      <c r="CF37" s="456"/>
      <c r="CG37" s="456" t="n">
        <f aca="false">CH34/DG33</f>
        <v>0.00964998717573639</v>
      </c>
      <c r="CH37" s="668" t="n">
        <f aca="false">CJ33+CL33</f>
        <v>43065448.80609</v>
      </c>
      <c r="CI37" s="456"/>
      <c r="CJ37" s="456" t="s">
        <v>921</v>
      </c>
      <c r="CK37" s="685"/>
      <c r="CL37" s="456"/>
      <c r="CM37" s="456"/>
      <c r="CN37" s="456"/>
      <c r="CO37" s="456"/>
      <c r="CP37" s="456"/>
      <c r="CQ37" s="456"/>
      <c r="CR37" s="456"/>
      <c r="CS37" s="456"/>
      <c r="CT37" s="456"/>
      <c r="CU37" s="456"/>
      <c r="CV37" s="456"/>
      <c r="CW37" s="456"/>
      <c r="CX37" s="456"/>
      <c r="CY37" s="456"/>
      <c r="CZ37" s="456"/>
      <c r="DA37" s="668" t="n">
        <f aca="false">DG33*0.004</f>
        <v>58266235.5685559</v>
      </c>
      <c r="DB37" s="456" t="n">
        <f aca="false">DC37/DG32</f>
        <v>0.00390792092402232</v>
      </c>
      <c r="DC37" s="669" t="n">
        <v>41598953.80094</v>
      </c>
      <c r="DD37" s="456"/>
      <c r="DE37" s="456"/>
      <c r="DF37" s="456"/>
      <c r="DG37" s="456"/>
      <c r="DH37" s="456"/>
      <c r="DI37" s="456"/>
      <c r="DJ37" s="456"/>
      <c r="DK37" s="456"/>
      <c r="DV37" s="28"/>
      <c r="DW37" s="28"/>
      <c r="DX37" s="456"/>
      <c r="DY37" s="456"/>
      <c r="DZ37" s="456"/>
    </row>
    <row r="38" customFormat="false" ht="15.75" hidden="false" customHeight="true" outlineLevel="0" collapsed="false">
      <c r="C38" s="28" t="n">
        <v>72883834.4127533</v>
      </c>
      <c r="D38" s="456"/>
      <c r="E38" s="456"/>
      <c r="F38" s="456"/>
      <c r="G38" s="456"/>
      <c r="H38" s="456" t="n">
        <f aca="false">F42+G42+H42</f>
        <v>0.0581347504711977</v>
      </c>
      <c r="I38" s="456"/>
      <c r="J38" s="456"/>
      <c r="K38" s="456"/>
      <c r="L38" s="456"/>
      <c r="M38" s="456"/>
      <c r="N38" s="456"/>
      <c r="O38" s="456"/>
      <c r="P38" s="456"/>
      <c r="Q38" s="456"/>
      <c r="R38" s="456"/>
      <c r="S38" s="456"/>
      <c r="T38" s="456"/>
      <c r="U38" s="456" t="s">
        <v>922</v>
      </c>
      <c r="V38" s="676" t="n">
        <v>54097.3</v>
      </c>
      <c r="W38" s="456" t="s">
        <v>923</v>
      </c>
      <c r="X38" s="676" t="n">
        <v>12650.5</v>
      </c>
      <c r="Y38" s="668" t="n">
        <f aca="false">(SUM(X36:X39)+SUM(V36:V39))*1000</f>
        <v>183426412152.64</v>
      </c>
      <c r="Z38" s="456"/>
      <c r="AA38" s="456"/>
      <c r="AB38" s="456"/>
      <c r="AC38" s="456"/>
      <c r="AD38" s="456"/>
      <c r="AE38" s="456"/>
      <c r="AF38" s="456"/>
      <c r="AG38" s="456"/>
      <c r="AH38" s="456"/>
      <c r="AI38" s="456"/>
      <c r="AJ38" s="456"/>
      <c r="AK38" s="456"/>
      <c r="AL38" s="456"/>
      <c r="AM38" s="456"/>
      <c r="AN38" s="686"/>
      <c r="AO38" s="687" t="s">
        <v>924</v>
      </c>
      <c r="AP38" s="687" t="s">
        <v>925</v>
      </c>
      <c r="AQ38" s="687" t="s">
        <v>926</v>
      </c>
      <c r="AR38" s="687" t="s">
        <v>927</v>
      </c>
      <c r="AS38" s="687" t="s">
        <v>928</v>
      </c>
      <c r="AT38" s="687" t="s">
        <v>929</v>
      </c>
      <c r="AU38" s="687" t="s">
        <v>930</v>
      </c>
      <c r="AV38" s="687" t="s">
        <v>931</v>
      </c>
      <c r="AW38" s="687" t="s">
        <v>932</v>
      </c>
      <c r="AX38" s="687" t="s">
        <v>933</v>
      </c>
      <c r="AY38" s="687" t="s">
        <v>934</v>
      </c>
      <c r="AZ38" s="687" t="s">
        <v>935</v>
      </c>
      <c r="BA38" s="669"/>
      <c r="BB38" s="456"/>
      <c r="BC38" s="456"/>
      <c r="BD38" s="456"/>
      <c r="BE38" s="456"/>
      <c r="BF38" s="456"/>
      <c r="BG38" s="456"/>
      <c r="BH38" s="456"/>
      <c r="BI38" s="456"/>
      <c r="BJ38" s="456"/>
      <c r="BK38" s="456"/>
      <c r="BL38" s="669"/>
      <c r="BM38" s="668" t="n">
        <f aca="false">BL37+BS33-BM37</f>
        <v>10834186887.081</v>
      </c>
      <c r="BN38" s="456"/>
      <c r="BO38" s="456"/>
      <c r="BP38" s="456"/>
      <c r="BQ38" s="456"/>
      <c r="BR38" s="456"/>
      <c r="BS38" s="688" t="s">
        <v>936</v>
      </c>
      <c r="BT38" s="456"/>
      <c r="BU38" s="456"/>
      <c r="BV38" s="456"/>
      <c r="BW38" s="456"/>
      <c r="BX38" s="456"/>
      <c r="BY38" s="456"/>
      <c r="BZ38" s="456"/>
      <c r="CA38" s="456"/>
      <c r="CB38" s="456"/>
      <c r="CC38" s="456"/>
      <c r="CD38" s="456"/>
      <c r="CE38" s="456"/>
      <c r="CF38" s="456"/>
      <c r="CG38" s="456"/>
      <c r="CH38" s="456"/>
      <c r="CI38" s="456"/>
      <c r="CJ38" s="456"/>
      <c r="CK38" s="456"/>
      <c r="CL38" s="456"/>
      <c r="CM38" s="456"/>
      <c r="CN38" s="456"/>
      <c r="CO38" s="456"/>
      <c r="CP38" s="456"/>
      <c r="CQ38" s="689"/>
      <c r="CR38" s="456"/>
      <c r="CS38" s="456"/>
      <c r="CT38" s="456"/>
      <c r="CU38" s="456"/>
      <c r="CV38" s="456"/>
      <c r="CW38" s="456"/>
      <c r="CX38" s="456"/>
      <c r="CY38" s="456"/>
      <c r="CZ38" s="456"/>
      <c r="DA38" s="456"/>
      <c r="DB38" s="456"/>
      <c r="DC38" s="456"/>
      <c r="DD38" s="456"/>
      <c r="DE38" s="456"/>
      <c r="DF38" s="456"/>
      <c r="DG38" s="456"/>
      <c r="DH38" s="456"/>
      <c r="DI38" s="456"/>
      <c r="DJ38" s="456"/>
      <c r="DK38" s="456"/>
      <c r="DV38" s="28"/>
      <c r="DW38" s="28"/>
      <c r="DX38" s="456"/>
      <c r="DY38" s="456"/>
      <c r="DZ38" s="456"/>
    </row>
    <row r="39" customFormat="false" ht="15.75" hidden="false" customHeight="true" outlineLevel="0" collapsed="false">
      <c r="C39" s="28" t="n">
        <f aca="false">C37-C38</f>
        <v>104539403.252427</v>
      </c>
      <c r="E39" s="690" t="n">
        <v>26370.9</v>
      </c>
      <c r="F39" s="1" t="n">
        <f aca="false">E39*1000+I32+I33</f>
        <v>174712337.66518</v>
      </c>
      <c r="G39" s="1" t="s">
        <v>937</v>
      </c>
      <c r="I39" s="28"/>
      <c r="J39" s="28" t="n">
        <v>73864460.8792096</v>
      </c>
      <c r="K39" s="691" t="n">
        <v>1000</v>
      </c>
      <c r="L39" s="691" t="n">
        <f aca="false">'Cuenta Ahorro-Inversión-Financi'!H33+'Cuenta Ahorro-Inversión-Financi'!J33+'Cuenta Ahorro-Inversión-Financi'!P33</f>
        <v>226336866.88778</v>
      </c>
      <c r="M39" s="692"/>
      <c r="N39" s="675" t="s">
        <v>938</v>
      </c>
      <c r="O39" s="675"/>
      <c r="U39" s="164" t="s">
        <v>939</v>
      </c>
      <c r="V39" s="693" t="n">
        <v>12612.9</v>
      </c>
      <c r="W39" s="694" t="s">
        <v>940</v>
      </c>
      <c r="X39" s="676" t="n">
        <v>23288.3</v>
      </c>
      <c r="AB39" s="1" t="s">
        <v>941</v>
      </c>
      <c r="AN39" s="686"/>
      <c r="AO39" s="687"/>
      <c r="AP39" s="687"/>
      <c r="AQ39" s="687"/>
      <c r="AR39" s="687"/>
      <c r="AS39" s="687"/>
      <c r="AT39" s="687"/>
      <c r="AU39" s="687"/>
      <c r="AV39" s="687"/>
      <c r="AW39" s="687"/>
      <c r="AX39" s="687"/>
      <c r="AY39" s="687"/>
      <c r="AZ39" s="687"/>
      <c r="BC39" s="695"/>
      <c r="BJ39" s="1" t="n">
        <f aca="false">BP31+BQ31+BO31</f>
        <v>92783271.8156</v>
      </c>
      <c r="BK39" s="1" t="n">
        <v>124211453.686</v>
      </c>
      <c r="BL39" s="669" t="n">
        <f aca="false">BK39+BP32+BQ32+BS32</f>
        <v>167993739.75098</v>
      </c>
      <c r="BM39" s="1" t="n">
        <v>142881993.528</v>
      </c>
      <c r="BN39" s="456"/>
      <c r="BO39" s="312" t="n">
        <f aca="false">31623.5 +10845 +5017.6</f>
        <v>47486.1</v>
      </c>
      <c r="BP39" s="456"/>
      <c r="BQ39" s="456"/>
      <c r="BR39" s="456"/>
      <c r="BS39" s="456"/>
      <c r="BT39" s="456"/>
      <c r="BU39" s="456"/>
      <c r="BX39" s="1" t="s">
        <v>942</v>
      </c>
      <c r="CE39" s="456"/>
      <c r="CV39" s="28"/>
      <c r="CW39" s="28"/>
      <c r="CX39" s="28"/>
      <c r="CY39" s="456" t="n">
        <f aca="false">(DF32-DC29)/DC29</f>
        <v>1.98635947383654</v>
      </c>
      <c r="CZ39" s="456" t="n">
        <f aca="false">(DG32-DG29)/DG29</f>
        <v>1.32465120992682</v>
      </c>
      <c r="DA39" s="28"/>
      <c r="DB39" s="28"/>
      <c r="DC39" s="28"/>
      <c r="DV39" s="28"/>
      <c r="DW39" s="28"/>
    </row>
    <row r="40" customFormat="false" ht="15.75" hidden="false" customHeight="true" outlineLevel="0" collapsed="false">
      <c r="D40" s="456" t="n">
        <f aca="false">C36/(I32-7076808)</f>
        <v>0.30150958412479</v>
      </c>
      <c r="E40" s="696" t="s">
        <v>775</v>
      </c>
      <c r="F40" s="697" t="s">
        <v>943</v>
      </c>
      <c r="G40" s="697" t="s">
        <v>944</v>
      </c>
      <c r="H40" s="697" t="s">
        <v>945</v>
      </c>
      <c r="I40" s="697" t="s">
        <v>946</v>
      </c>
      <c r="J40" s="697" t="s">
        <v>947</v>
      </c>
      <c r="K40" s="697" t="s">
        <v>948</v>
      </c>
      <c r="L40" s="697" t="s">
        <v>949</v>
      </c>
      <c r="M40" s="697" t="s">
        <v>950</v>
      </c>
      <c r="N40" s="698" t="s">
        <v>951</v>
      </c>
      <c r="O40" s="698" t="s">
        <v>952</v>
      </c>
      <c r="Q40" s="696" t="s">
        <v>775</v>
      </c>
      <c r="R40" s="596" t="s">
        <v>953</v>
      </c>
      <c r="S40" s="596" t="s">
        <v>954</v>
      </c>
      <c r="T40" s="596" t="s">
        <v>955</v>
      </c>
      <c r="U40" s="596" t="s">
        <v>956</v>
      </c>
      <c r="V40" s="596" t="s">
        <v>957</v>
      </c>
      <c r="W40" s="596" t="s">
        <v>958</v>
      </c>
      <c r="X40" s="596" t="s">
        <v>959</v>
      </c>
      <c r="Y40" s="596" t="s">
        <v>960</v>
      </c>
      <c r="Z40" s="592" t="s">
        <v>961</v>
      </c>
      <c r="AA40" s="592" t="s">
        <v>962</v>
      </c>
      <c r="AC40" s="696" t="s">
        <v>775</v>
      </c>
      <c r="AD40" s="699" t="s">
        <v>963</v>
      </c>
      <c r="AE40" s="699" t="s">
        <v>964</v>
      </c>
      <c r="AF40" s="699" t="s">
        <v>965</v>
      </c>
      <c r="AG40" s="699" t="s">
        <v>966</v>
      </c>
      <c r="AH40" s="699" t="s">
        <v>967</v>
      </c>
      <c r="AI40" s="699" t="s">
        <v>968</v>
      </c>
      <c r="AJ40" s="699" t="s">
        <v>969</v>
      </c>
      <c r="AK40" s="418"/>
      <c r="AL40" s="418"/>
      <c r="AN40" s="686"/>
      <c r="AO40" s="687"/>
      <c r="AP40" s="687"/>
      <c r="AQ40" s="687"/>
      <c r="AR40" s="687"/>
      <c r="AS40" s="687"/>
      <c r="AT40" s="687"/>
      <c r="AU40" s="687"/>
      <c r="AV40" s="687"/>
      <c r="AW40" s="687"/>
      <c r="AX40" s="687"/>
      <c r="AY40" s="687"/>
      <c r="AZ40" s="687"/>
      <c r="BB40" s="1" t="s">
        <v>970</v>
      </c>
      <c r="BC40" s="1" t="s">
        <v>971</v>
      </c>
      <c r="BG40" s="456" t="n">
        <f aca="false">('Cuenta Ahorro-Inversión-Financi'!BF31-'Cuenta Ahorro-Inversión-Financi'!AY39)/'PIB corriente base 2004'!X19/1000</f>
        <v>0.0727904762035428</v>
      </c>
      <c r="BH40" s="456"/>
      <c r="BJ40" s="1" t="n">
        <f aca="false">BP32+BQ32+BO32</f>
        <v>167993739.7493</v>
      </c>
      <c r="BK40" s="1" t="n">
        <f aca="false">SUM(BJ42:BM42)</f>
        <v>0</v>
      </c>
      <c r="BL40" s="691" t="n">
        <v>7072.1</v>
      </c>
      <c r="BN40" s="456"/>
      <c r="BO40" s="456"/>
      <c r="BP40" s="456"/>
      <c r="BQ40" s="456"/>
      <c r="BR40" s="456"/>
      <c r="BS40" s="456"/>
      <c r="BT40" s="456"/>
      <c r="BU40" s="456"/>
      <c r="CC40" s="1" t="s">
        <v>972</v>
      </c>
      <c r="CX40" s="456"/>
      <c r="CY40" s="456"/>
      <c r="CZ40" s="28" t="n">
        <f aca="false">DF32*100/DA41</f>
        <v>5824332476.7477</v>
      </c>
      <c r="DA40" s="28"/>
      <c r="DB40" s="312" t="n">
        <v>95988816</v>
      </c>
      <c r="DC40" s="456" t="n">
        <f aca="false">DB40/DG32</f>
        <v>0.0090174552060502</v>
      </c>
      <c r="DD40" s="456"/>
      <c r="DE40" s="456"/>
    </row>
    <row r="41" customFormat="false" ht="15.75" hidden="false" customHeight="true" outlineLevel="0" collapsed="false">
      <c r="D41" s="700" t="n">
        <v>99898227.856</v>
      </c>
      <c r="E41" s="696"/>
      <c r="F41" s="697"/>
      <c r="G41" s="697"/>
      <c r="H41" s="697"/>
      <c r="I41" s="697"/>
      <c r="J41" s="697"/>
      <c r="K41" s="697"/>
      <c r="L41" s="697"/>
      <c r="M41" s="697"/>
      <c r="N41" s="698"/>
      <c r="O41" s="698"/>
      <c r="Q41" s="696"/>
      <c r="R41" s="596"/>
      <c r="S41" s="596"/>
      <c r="T41" s="596"/>
      <c r="U41" s="596"/>
      <c r="V41" s="596"/>
      <c r="W41" s="596"/>
      <c r="X41" s="596"/>
      <c r="Y41" s="596"/>
      <c r="Z41" s="592"/>
      <c r="AA41" s="592"/>
      <c r="AC41" s="696"/>
      <c r="AD41" s="699"/>
      <c r="AE41" s="699"/>
      <c r="AF41" s="699"/>
      <c r="AG41" s="699"/>
      <c r="AH41" s="699"/>
      <c r="AI41" s="699"/>
      <c r="AJ41" s="699"/>
      <c r="AK41" s="418"/>
      <c r="AL41" s="418"/>
      <c r="AN41" s="686"/>
      <c r="AO41" s="687"/>
      <c r="AP41" s="687"/>
      <c r="AQ41" s="687"/>
      <c r="AR41" s="687"/>
      <c r="AS41" s="687"/>
      <c r="AT41" s="687"/>
      <c r="AU41" s="687"/>
      <c r="AV41" s="687"/>
      <c r="AW41" s="687"/>
      <c r="AX41" s="687"/>
      <c r="AY41" s="687"/>
      <c r="AZ41" s="687"/>
      <c r="BG41" s="456" t="n">
        <f aca="false">('Cuenta Ahorro-Inversión-Financi'!AY39-'Cuenta Ahorro-Inversión-Financi'!BG40)/1000/'PIB corriente base 2004'!X19</f>
        <v>-1.22244257301135E-011</v>
      </c>
      <c r="BH41" s="456"/>
      <c r="BI41" s="28" t="n">
        <f aca="false">'Cuenta Ahorro-Inversión-Financi'!BN33+'Cuenta Ahorro-Inversión-Financi'!BS33</f>
        <v>233765456.47951</v>
      </c>
      <c r="BJ41" s="28" t="n">
        <f aca="false">BP33+BQ33+BS33+BO33</f>
        <v>233765456.47951</v>
      </c>
      <c r="BK41" s="28" t="n">
        <f aca="false">'Cuenta Ahorro-Inversión-Financi'!BI40-'Cuenta Ahorro-Inversión-Financi'!BQ33-'Cuenta Ahorro-Inversión-Financi'!BP33-'Cuenta Ahorro-Inversión-Financi'!BS33</f>
        <v>-79114731.05658</v>
      </c>
      <c r="BL41" s="691" t="n">
        <v>12099.4</v>
      </c>
      <c r="BN41" s="456"/>
      <c r="BO41" s="456"/>
      <c r="BP41" s="456"/>
      <c r="BQ41" s="456"/>
      <c r="BR41" s="456"/>
      <c r="BS41" s="456"/>
      <c r="BT41" s="456"/>
      <c r="BU41" s="456"/>
      <c r="CC41" s="1" t="s">
        <v>973</v>
      </c>
      <c r="CW41" s="28"/>
      <c r="CX41" s="701"/>
      <c r="DA41" s="702" t="n">
        <v>200.87293846</v>
      </c>
      <c r="DB41" s="456" t="n">
        <f aca="false">DB40/DF32</f>
        <v>0.00820451746422248</v>
      </c>
      <c r="DC41" s="28"/>
      <c r="DD41" s="456"/>
    </row>
    <row r="42" customFormat="false" ht="15.75" hidden="false" customHeight="true" outlineLevel="0" collapsed="false">
      <c r="A42" s="703"/>
      <c r="B42" s="703"/>
      <c r="C42" s="703"/>
      <c r="D42" s="704" t="n">
        <f aca="false">'Cuenta Ahorro-Inversión-Financi'!D41/'PIB corriente base 2004'!X18/1000</f>
        <v>0.0218161918284941</v>
      </c>
      <c r="E42" s="705" t="n">
        <v>1993</v>
      </c>
      <c r="F42" s="706" t="n">
        <f aca="false">'Cuenta Ahorro-Inversión-Financi'!U9/'PIB corriente base 1993'!V8/1000</f>
        <v>0.045352832912549</v>
      </c>
      <c r="G42" s="706" t="n">
        <f aca="false">('Cuenta Ahorro-Inversión-Financi'!G9+'Cuenta Ahorro-Inversión-Financi'!S9)/'PIB corriente base 1993'!V8/1000</f>
        <v>0.0114261586914329</v>
      </c>
      <c r="H42" s="706" t="n">
        <f aca="false">'Cuenta Ahorro-Inversión-Financi'!X9/'PIB corriente base 1993'!V8/1000</f>
        <v>0.00135575886721573</v>
      </c>
      <c r="I42" s="706" t="n">
        <f aca="false">('Cuenta Ahorro-Inversión-Financi'!F9-'Cuenta Ahorro-Inversión-Financi'!V9)/'PIB corriente base 1993'!V8/1000</f>
        <v>0.0581347504711977</v>
      </c>
      <c r="J42" s="706" t="n">
        <f aca="false">'Cuenta Ahorro-Inversión-Financi'!F9/'PIB corriente base 1993'!V8/1000</f>
        <v>0.0652148542825878</v>
      </c>
      <c r="K42" s="706" t="n">
        <f aca="false">'Cuenta Ahorro-Inversión-Financi'!T9/'PIB corriente base 1993'!V8/1000</f>
        <v>0.0524329367239392</v>
      </c>
      <c r="L42" s="706" t="n">
        <f aca="false">'Cuenta Ahorro-Inversión-Financi'!AH9/'PIB corriente base 1993'!V8/1000</f>
        <v>0.012477115671009</v>
      </c>
      <c r="M42" s="706" t="n">
        <f aca="false">'Cuenta Ahorro-Inversión-Financi'!AO9/'PIB corriente base 1993'!V8/1000</f>
        <v>0.00718848713660595</v>
      </c>
      <c r="N42" s="706" t="n">
        <f aca="false">('Cuenta Ahorro-Inversión-Financi'!AG9/'PIB corriente base 1993'!V8/1000)</f>
        <v>0.0659632751447781</v>
      </c>
      <c r="O42" s="706" t="n">
        <f aca="false">'Cuenta Ahorro-Inversión-Financi'!M42+'Cuenta Ahorro-Inversión-Financi'!I42</f>
        <v>0.0653232376078036</v>
      </c>
      <c r="P42" s="703"/>
      <c r="Q42" s="707" t="n">
        <v>1993</v>
      </c>
      <c r="R42" s="708" t="n">
        <f aca="false">'Cuenta Ahorro-Inversión-Financi'!BF9/1000/'PIB corriente base 1993'!V8</f>
        <v>0.0526370931910582</v>
      </c>
      <c r="S42" s="708"/>
      <c r="T42" s="708" t="n">
        <f aca="false">'Cuenta Ahorro-Inversión-Financi'!BX9/1000/'PIB corriente base 1993'!V8</f>
        <v>0.011642303700453</v>
      </c>
      <c r="U42" s="708" t="n">
        <f aca="false">'Cuenta Ahorro-Inversión-Financi'!T42+'Cuenta Ahorro-Inversión-Financi'!R42+(('Cuenta Ahorro-Inversión-Financi'!AY9+'Cuenta Ahorro-Inversión-Financi'!BC9)/1000/'PIB corriente base 1993'!V8)</f>
        <v>0.0657693068832675</v>
      </c>
      <c r="V42" s="708" t="n">
        <f aca="false">'Cuenta Ahorro-Inversión-Financi'!BN9/1000/'PIB corriente base 1993'!V8</f>
        <v>0.011642303700453</v>
      </c>
      <c r="W42" s="708" t="n">
        <f aca="false">'Cuenta Ahorro-Inversión-Financi'!AX9/1000/'PIB corriente base 1993'!V8</f>
        <v>0.0657693068832675</v>
      </c>
      <c r="X42" s="708" t="n">
        <f aca="false">W42</f>
        <v>0.0657693068832675</v>
      </c>
      <c r="Y42" s="708"/>
      <c r="Z42" s="708" t="n">
        <f aca="false">('Cuenta Ahorro-Inversión-Financi'!CG9)/1000/'PIB corriente base 1993'!V8</f>
        <v>0.0658173341637083</v>
      </c>
      <c r="AA42" s="708" t="n">
        <f aca="false">('Cuenta Ahorro-Inversión-Financi'!CG9-'Cuenta Ahorro-Inversión-Financi'!AY9)/1000/'PIB corriente base 1993'!V8</f>
        <v>0.0643274241719519</v>
      </c>
      <c r="AB42" s="703"/>
      <c r="AC42" s="709" t="n">
        <v>1993</v>
      </c>
      <c r="AD42" s="710" t="n">
        <f aca="false">'Cuenta Ahorro-Inversión-Financi'!J42-'Cuenta Ahorro-Inversión-Financi'!X42</f>
        <v>-0.000554452600679711</v>
      </c>
      <c r="AE42" s="710" t="n">
        <f aca="false">'Cuenta Ahorro-Inversión-Financi'!F42-'Cuenta Ahorro-Inversión-Financi'!R42</f>
        <v>-0.00728426027850915</v>
      </c>
      <c r="AF42" s="710" t="n">
        <f aca="false">'Cuenta Ahorro-Inversión-Financi'!I42-'Cuenta Ahorro-Inversión-Financi'!U42-'Cuenta Ahorro-Inversión-Financi'!H42</f>
        <v>-0.00899031527928557</v>
      </c>
      <c r="AG42" s="710" t="n">
        <f aca="false">'Cuenta Ahorro-Inversión-Financi'!I42-'Cuenta Ahorro-Inversión-Financi'!U42</f>
        <v>-0.00763455641206984</v>
      </c>
      <c r="AH42" s="710" t="n">
        <f aca="false">'Cuenta Ahorro-Inversión-Financi'!O42-'Cuenta Ahorro-Inversión-Financi'!U42</f>
        <v>-0.000446069275463895</v>
      </c>
      <c r="AI42" s="710" t="n">
        <f aca="false">'Cuenta Ahorro-Inversión-Financi'!F42-('Cuenta Ahorro-Inversión-Financi'!BF9+'Cuenta Ahorro-Inversión-Financi'!BR9)/'PIB corriente base 1993'!V8/1000</f>
        <v>-0.0189265639789621</v>
      </c>
      <c r="AJ42" s="456" t="n">
        <f aca="false">'Cuenta Ahorro-Inversión-Financi'!AH42-'Cuenta Ahorro-Inversión-Financi'!H42</f>
        <v>-0.00180182814267962</v>
      </c>
      <c r="AK42" s="418"/>
      <c r="AL42" s="418"/>
      <c r="AN42" s="711" t="n">
        <f aca="false">'Cuenta Ahorro-Inversión-Financi'!AN43-1</f>
        <v>1993</v>
      </c>
      <c r="AO42" s="710" t="n">
        <f aca="false">'Cuenta Ahorro-Inversión-Financi'!I42</f>
        <v>0.0581347504711977</v>
      </c>
      <c r="AP42" s="710" t="n">
        <f aca="false">'Cuenta Ahorro-Inversión-Financi'!F42</f>
        <v>0.045352832912549</v>
      </c>
      <c r="AQ42" s="710" t="n">
        <v>0</v>
      </c>
      <c r="AR42" s="710" t="n">
        <f aca="false">'Cuenta Ahorro-Inversión-Financi'!L42</f>
        <v>0.012477115671009</v>
      </c>
      <c r="AS42" s="710" t="n">
        <f aca="false">'Cuenta Ahorro-Inversión-Financi'!T42+'Cuenta Ahorro-Inversión-Financi'!R42+(('Cuenta Ahorro-Inversión-Financi'!BC9)/1000/'PIB corriente base 1993'!V8)</f>
        <v>0.0642793968915112</v>
      </c>
      <c r="AT42" s="710" t="n">
        <f aca="false">'Cuenta Ahorro-Inversión-Financi'!T42+'Cuenta Ahorro-Inversión-Financi'!R42+(('Cuenta Ahorro-Inversión-Financi'!BC9-'Cuenta Ahorro-Inversión-Financi'!BP9-'Cuenta Ahorro-Inversión-Financi'!BQ9)/1000/'PIB corriente base 1993'!V8)</f>
        <v>0.0630504099452548</v>
      </c>
      <c r="AU42" s="710" t="n">
        <f aca="false">'Cuenta Ahorro-Inversión-Financi'!U42</f>
        <v>0.0657693068832675</v>
      </c>
      <c r="AV42" s="710" t="n">
        <f aca="false">('Cuenta Ahorro-Inversión-Financi'!CH9)/1000/'PIB corriente base 1993'!V8+'Cuenta Ahorro-Inversión-Financi'!Y42</f>
        <v>0.00528862853440302</v>
      </c>
      <c r="AW42" s="710" t="n">
        <f aca="false">'Cuenta Ahorro-Inversión-Financi'!AP42-'Cuenta Ahorro-Inversión-Financi'!AT42</f>
        <v>-0.0176975770327058</v>
      </c>
      <c r="AX42" s="710" t="n">
        <f aca="false">'Cuenta Ahorro-Inversión-Financi'!AO42-'Cuenta Ahorro-Inversión-Financi'!AU42</f>
        <v>-0.00763455641206984</v>
      </c>
      <c r="AY42" s="710" t="n">
        <f aca="false">'Cuenta Ahorro-Inversión-Financi'!AO42+'Cuenta Ahorro-Inversión-Financi'!AR42-'Cuenta Ahorro-Inversión-Financi'!AU42-'Cuenta Ahorro-Inversión-Financi'!AV42</f>
        <v>-0.000446069275463893</v>
      </c>
      <c r="AZ42" s="710" t="n">
        <f aca="false">'Cuenta Ahorro-Inversión-Financi'!AY42</f>
        <v>-0.000446069275463893</v>
      </c>
      <c r="BA42" s="456" t="n">
        <f aca="false">AU42+AV42</f>
        <v>0.0710579354176705</v>
      </c>
      <c r="BB42" s="456" t="n">
        <v>-0.00899031527928553</v>
      </c>
      <c r="BC42" s="456" t="n">
        <v>-0.0076345564120698</v>
      </c>
      <c r="CC42" s="1" t="s">
        <v>974</v>
      </c>
      <c r="CG42" s="646"/>
      <c r="CW42" s="456"/>
      <c r="CX42" s="456"/>
    </row>
    <row r="43" customFormat="false" ht="15.75" hidden="false" customHeight="true" outlineLevel="0" collapsed="false">
      <c r="A43" s="703"/>
      <c r="B43" s="703"/>
      <c r="C43" s="703"/>
      <c r="D43" s="712" t="n">
        <f aca="false">69000/'PIB corriente base 2004'!X19</f>
        <v>0.011587853512858</v>
      </c>
      <c r="E43" s="705" t="n">
        <v>1994</v>
      </c>
      <c r="F43" s="713" t="n">
        <f aca="false">'Cuenta Ahorro-Inversión-Financi'!U10/'PIB corriente base 1993'!V9/1000</f>
        <v>0.0412406410701487</v>
      </c>
      <c r="G43" s="713" t="n">
        <f aca="false">('Cuenta Ahorro-Inversión-Financi'!G10+'Cuenta Ahorro-Inversión-Financi'!S10)/'PIB corriente base 1993'!V9/1000</f>
        <v>0.0120869185800861</v>
      </c>
      <c r="H43" s="713" t="n">
        <f aca="false">'Cuenta Ahorro-Inversión-Financi'!X10/'PIB corriente base 1993'!V9/1000</f>
        <v>9.53195096879308E-005</v>
      </c>
      <c r="I43" s="713" t="n">
        <f aca="false">('Cuenta Ahorro-Inversión-Financi'!F10-'Cuenta Ahorro-Inversión-Financi'!V10)/'PIB corriente base 1993'!V9/1000</f>
        <v>0.0534228791599228</v>
      </c>
      <c r="J43" s="713" t="n">
        <f aca="false">'Cuenta Ahorro-Inversión-Financi'!F10/'PIB corriente base 1993'!V9/1000</f>
        <v>0.0630274732613387</v>
      </c>
      <c r="K43" s="713" t="n">
        <f aca="false">'Cuenta Ahorro-Inversión-Financi'!T10/'PIB corriente base 1993'!V9/1000</f>
        <v>0.0508452351715647</v>
      </c>
      <c r="L43" s="713" t="n">
        <f aca="false">'Cuenta Ahorro-Inversión-Financi'!AH10/'PIB corriente base 1993'!V9/1000</f>
        <v>0.0103138055803019</v>
      </c>
      <c r="M43" s="713" t="n">
        <f aca="false">'Cuenta Ahorro-Inversión-Financi'!AO10/'PIB corriente base 1993'!V9/1000</f>
        <v>0.0035384967109414</v>
      </c>
      <c r="N43" s="713" t="n">
        <f aca="false">'Cuenta Ahorro-Inversión-Financi'!AG10/'PIB corriente base 1993'!V9/1000</f>
        <v>0.064592550668188</v>
      </c>
      <c r="O43" s="713" t="n">
        <f aca="false">'Cuenta Ahorro-Inversión-Financi'!M43+'Cuenta Ahorro-Inversión-Financi'!I43</f>
        <v>0.0569613758708642</v>
      </c>
      <c r="P43" s="703"/>
      <c r="Q43" s="714" t="n">
        <v>1994</v>
      </c>
      <c r="R43" s="713" t="n">
        <f aca="false">'Cuenta Ahorro-Inversión-Financi'!BF10/1000/'PIB corriente base 1993'!V9</f>
        <v>0.0564644262203535</v>
      </c>
      <c r="S43" s="713"/>
      <c r="T43" s="713" t="n">
        <f aca="false">'Cuenta Ahorro-Inversión-Financi'!BX10/1000/'PIB corriente base 1993'!V9</f>
        <v>0.0124360211037753</v>
      </c>
      <c r="U43" s="713" t="n">
        <f aca="false">'Cuenta Ahorro-Inversión-Financi'!T43+'Cuenta Ahorro-Inversión-Financi'!R43+(('Cuenta Ahorro-Inversión-Financi'!AY10+'Cuenta Ahorro-Inversión-Financi'!BC10)/1000/'PIB corriente base 1993'!V9)</f>
        <v>0.0700467053319257</v>
      </c>
      <c r="V43" s="713" t="n">
        <f aca="false">'Cuenta Ahorro-Inversión-Financi'!BN10/1000/'PIB corriente base 1993'!V9</f>
        <v>0.0124360211037753</v>
      </c>
      <c r="W43" s="713" t="n">
        <f aca="false">'Cuenta Ahorro-Inversión-Financi'!AX10/1000/'PIB corriente base 1993'!V9</f>
        <v>0.0700467053319257</v>
      </c>
      <c r="X43" s="713" t="n">
        <f aca="false">W43</f>
        <v>0.0700467053319257</v>
      </c>
      <c r="Y43" s="713"/>
      <c r="Z43" s="713" t="n">
        <f aca="false">('Cuenta Ahorro-Inversión-Financi'!CG10)/1000/'PIB corriente base 1993'!V9</f>
        <v>0.0700723507736687</v>
      </c>
      <c r="AA43" s="713" t="n">
        <f aca="false">('Cuenta Ahorro-Inversión-Financi'!CG10-'Cuenta Ahorro-Inversión-Financi'!AY10)/1000/'PIB corriente base 1993'!V9</f>
        <v>0.0689312570544823</v>
      </c>
      <c r="AB43" s="703"/>
      <c r="AC43" s="715" t="n">
        <v>1994</v>
      </c>
      <c r="AD43" s="713" t="n">
        <f aca="false">'Cuenta Ahorro-Inversión-Financi'!J43-'Cuenta Ahorro-Inversión-Financi'!X43</f>
        <v>-0.00701923207058701</v>
      </c>
      <c r="AE43" s="713" t="n">
        <f aca="false">'Cuenta Ahorro-Inversión-Financi'!F43-'Cuenta Ahorro-Inversión-Financi'!R43</f>
        <v>-0.0152237851502048</v>
      </c>
      <c r="AF43" s="713" t="n">
        <f aca="false">'Cuenta Ahorro-Inversión-Financi'!I43-'Cuenta Ahorro-Inversión-Financi'!U43-'Cuenta Ahorro-Inversión-Financi'!H43</f>
        <v>-0.0167191456816909</v>
      </c>
      <c r="AG43" s="713" t="n">
        <f aca="false">'Cuenta Ahorro-Inversión-Financi'!I43-'Cuenta Ahorro-Inversión-Financi'!U43</f>
        <v>-0.0166238261720029</v>
      </c>
      <c r="AH43" s="713" t="n">
        <f aca="false">'Cuenta Ahorro-Inversión-Financi'!O43-'Cuenta Ahorro-Inversión-Financi'!U43</f>
        <v>-0.0130853294610615</v>
      </c>
      <c r="AI43" s="713" t="n">
        <f aca="false">'Cuenta Ahorro-Inversión-Financi'!F43-('Cuenta Ahorro-Inversión-Financi'!BF10+'Cuenta Ahorro-Inversión-Financi'!BR10)/'PIB corriente base 1993'!V9/1000</f>
        <v>-0.0276598062539801</v>
      </c>
      <c r="AJ43" s="456" t="n">
        <f aca="false">'Cuenta Ahorro-Inversión-Financi'!AH43-'Cuenta Ahorro-Inversión-Financi'!H43</f>
        <v>-0.0131806489707495</v>
      </c>
      <c r="AK43" s="418"/>
      <c r="AL43" s="418"/>
      <c r="AN43" s="711" t="n">
        <f aca="false">'Cuenta Ahorro-Inversión-Financi'!AN44-1</f>
        <v>1994</v>
      </c>
      <c r="AO43" s="713" t="n">
        <f aca="false">'Cuenta Ahorro-Inversión-Financi'!I43</f>
        <v>0.0534228791599228</v>
      </c>
      <c r="AP43" s="713" t="n">
        <f aca="false">'Cuenta Ahorro-Inversión-Financi'!F43</f>
        <v>0.0412406410701487</v>
      </c>
      <c r="AQ43" s="713" t="n">
        <v>0</v>
      </c>
      <c r="AR43" s="713" t="n">
        <f aca="false">'Cuenta Ahorro-Inversión-Financi'!L43</f>
        <v>0.0103138055803019</v>
      </c>
      <c r="AS43" s="713" t="n">
        <f aca="false">'Cuenta Ahorro-Inversión-Financi'!T43+'Cuenta Ahorro-Inversión-Financi'!R43+(('Cuenta Ahorro-Inversión-Financi'!BC10)/1000/'PIB corriente base 1993'!V9)</f>
        <v>0.0689056116127393</v>
      </c>
      <c r="AT43" s="713" t="n">
        <f aca="false">'Cuenta Ahorro-Inversión-Financi'!T43+'Cuenta Ahorro-Inversión-Financi'!R43+(('Cuenta Ahorro-Inversión-Financi'!BC10-'Cuenta Ahorro-Inversión-Financi'!BP10-'Cuenta Ahorro-Inversión-Financi'!BQ10)/1000/'PIB corriente base 1993'!V9)</f>
        <v>0.067811314403621</v>
      </c>
      <c r="AU43" s="713" t="n">
        <f aca="false">'Cuenta Ahorro-Inversión-Financi'!U43</f>
        <v>0.0700467053319257</v>
      </c>
      <c r="AV43" s="713" t="n">
        <f aca="false">('Cuenta Ahorro-Inversión-Financi'!CH10)/1000/'PIB corriente base 1993'!V9+'Cuenta Ahorro-Inversión-Financi'!Y43</f>
        <v>0.00677530886936053</v>
      </c>
      <c r="AW43" s="713" t="n">
        <f aca="false">'Cuenta Ahorro-Inversión-Financi'!AP43-'Cuenta Ahorro-Inversión-Financi'!AT43</f>
        <v>-0.0265706733334723</v>
      </c>
      <c r="AX43" s="713" t="n">
        <f aca="false">'Cuenta Ahorro-Inversión-Financi'!AO43-'Cuenta Ahorro-Inversión-Financi'!AU43</f>
        <v>-0.0166238261720029</v>
      </c>
      <c r="AY43" s="713" t="n">
        <f aca="false">'Cuenta Ahorro-Inversión-Financi'!AO43+'Cuenta Ahorro-Inversión-Financi'!AQ43+'Cuenta Ahorro-Inversión-Financi'!AR43-'Cuenta Ahorro-Inversión-Financi'!AU43-'Cuenta Ahorro-Inversión-Financi'!AV43</f>
        <v>-0.0130853294610615</v>
      </c>
      <c r="AZ43" s="713" t="n">
        <f aca="false">'Cuenta Ahorro-Inversión-Financi'!AY43</f>
        <v>-0.0130853294610615</v>
      </c>
      <c r="BA43" s="456" t="n">
        <f aca="false">AU43+AV43</f>
        <v>0.0768220142012862</v>
      </c>
      <c r="BB43" s="456" t="n">
        <v>-0.0167191456816908</v>
      </c>
      <c r="BC43" s="456" t="n">
        <v>-0.0166238261720029</v>
      </c>
      <c r="BJ43" s="28" t="n">
        <v>124211453.686</v>
      </c>
      <c r="BK43" s="716"/>
      <c r="BL43" s="28"/>
      <c r="BM43" s="546" t="s">
        <v>975</v>
      </c>
      <c r="CG43" s="646"/>
      <c r="DC43" s="717"/>
      <c r="DD43" s="456"/>
    </row>
    <row r="44" customFormat="false" ht="15.75" hidden="false" customHeight="true" outlineLevel="0" collapsed="false">
      <c r="A44" s="703"/>
      <c r="B44" s="703"/>
      <c r="C44" s="703"/>
      <c r="D44" s="703"/>
      <c r="E44" s="705" t="n">
        <v>1995</v>
      </c>
      <c r="F44" s="706" t="n">
        <f aca="false">'Cuenta Ahorro-Inversión-Financi'!U11/'PIB corriente base 1993'!V10/1000</f>
        <v>0.0367162842262927</v>
      </c>
      <c r="G44" s="706" t="n">
        <f aca="false">('Cuenta Ahorro-Inversión-Financi'!G11+'Cuenta Ahorro-Inversión-Financi'!S11)/'PIB corriente base 1993'!V10/1000</f>
        <v>0.0121121840535182</v>
      </c>
      <c r="H44" s="706" t="n">
        <f aca="false">'Cuenta Ahorro-Inversión-Financi'!X11/'PIB corriente base 1993'!V10/1000</f>
        <v>3.16975206724679E-005</v>
      </c>
      <c r="I44" s="706" t="n">
        <f aca="false">('Cuenta Ahorro-Inversión-Financi'!F11-'Cuenta Ahorro-Inversión-Financi'!V11)/'PIB corriente base 1993'!V10/1000</f>
        <v>0.0488601658004833</v>
      </c>
      <c r="J44" s="706" t="n">
        <f aca="false">'Cuenta Ahorro-Inversión-Financi'!F11/'PIB corriente base 1993'!V10/1000</f>
        <v>0.0574158427272895</v>
      </c>
      <c r="K44" s="706" t="n">
        <f aca="false">'Cuenta Ahorro-Inversión-Financi'!T11/'PIB corriente base 1993'!V10/1000</f>
        <v>0.0452719611530988</v>
      </c>
      <c r="L44" s="706" t="n">
        <f aca="false">'Cuenta Ahorro-Inversión-Financi'!AI11/'PIB corriente base 1993'!V10/1000</f>
        <v>0.011591546064283</v>
      </c>
      <c r="M44" s="706" t="n">
        <f aca="false">'Cuenta Ahorro-Inversión-Financi'!AO11/'PIB corriente base 1993'!V10/1000</f>
        <v>0.00583532853827533</v>
      </c>
      <c r="N44" s="706" t="n">
        <f aca="false">'Cuenta Ahorro-Inversión-Financi'!AG11/'PIB corriente base 1993'!V10/1000</f>
        <v>0.0587486727334167</v>
      </c>
      <c r="O44" s="706" t="n">
        <f aca="false">'Cuenta Ahorro-Inversión-Financi'!M44+'Cuenta Ahorro-Inversión-Financi'!I44</f>
        <v>0.0546954943387587</v>
      </c>
      <c r="P44" s="703"/>
      <c r="Q44" s="714" t="n">
        <v>1995</v>
      </c>
      <c r="R44" s="708" t="n">
        <f aca="false">'Cuenta Ahorro-Inversión-Financi'!BF11/1000/'PIB corriente base 1993'!V10</f>
        <v>0.0536446703997522</v>
      </c>
      <c r="S44" s="708"/>
      <c r="T44" s="708" t="n">
        <f aca="false">'Cuenta Ahorro-Inversión-Financi'!BX11/1000/'PIB corriente base 1993'!V10</f>
        <v>0.00535587988298989</v>
      </c>
      <c r="U44" s="708" t="n">
        <f aca="false">'Cuenta Ahorro-Inversión-Financi'!T44+'Cuenta Ahorro-Inversión-Financi'!R44+(('Cuenta Ahorro-Inversión-Financi'!AY11+'Cuenta Ahorro-Inversión-Financi'!BC11)/1000/'PIB corriente base 1993'!V10)</f>
        <v>0.0601927035550024</v>
      </c>
      <c r="V44" s="708" t="n">
        <f aca="false">'Cuenta Ahorro-Inversión-Financi'!BN11/1000/'PIB corriente base 1993'!V10</f>
        <v>0.00535587988298989</v>
      </c>
      <c r="W44" s="708" t="n">
        <f aca="false">'Cuenta Ahorro-Inversión-Financi'!AX11/1000/'PIB corriente base 1993'!V10</f>
        <v>0.0601927035550024</v>
      </c>
      <c r="X44" s="708" t="n">
        <f aca="false">W44</f>
        <v>0.0601927035550024</v>
      </c>
      <c r="Y44" s="708"/>
      <c r="Z44" s="708" t="n">
        <f aca="false">('Cuenta Ahorro-Inversión-Financi'!CG11)/1000/'PIB corriente base 1993'!V10</f>
        <v>0.0602051982050321</v>
      </c>
      <c r="AA44" s="708" t="n">
        <f aca="false">('Cuenta Ahorro-Inversión-Financi'!CG11-'Cuenta Ahorro-Inversión-Financi'!AY11)/1000/'PIB corriente base 1993'!V10</f>
        <v>0.0590544568958267</v>
      </c>
      <c r="AB44" s="703"/>
      <c r="AC44" s="715" t="n">
        <v>1995</v>
      </c>
      <c r="AD44" s="710" t="n">
        <f aca="false">'Cuenta Ahorro-Inversión-Financi'!J44-'Cuenta Ahorro-Inversión-Financi'!X44</f>
        <v>-0.00277686082771296</v>
      </c>
      <c r="AE44" s="710" t="n">
        <f aca="false">'Cuenta Ahorro-Inversión-Financi'!F44-'Cuenta Ahorro-Inversión-Financi'!R44</f>
        <v>-0.0169283861734595</v>
      </c>
      <c r="AF44" s="710" t="n">
        <f aca="false">'Cuenta Ahorro-Inversión-Financi'!I44-'Cuenta Ahorro-Inversión-Financi'!U44-'Cuenta Ahorro-Inversión-Financi'!H44</f>
        <v>-0.0113642352751916</v>
      </c>
      <c r="AG44" s="710" t="n">
        <f aca="false">'Cuenta Ahorro-Inversión-Financi'!I44-'Cuenta Ahorro-Inversión-Financi'!U44</f>
        <v>-0.0113325377545191</v>
      </c>
      <c r="AH44" s="710" t="n">
        <f aca="false">'Cuenta Ahorro-Inversión-Financi'!O44-'Cuenta Ahorro-Inversión-Financi'!U44</f>
        <v>-0.00549720921624376</v>
      </c>
      <c r="AI44" s="710" t="n">
        <f aca="false">'Cuenta Ahorro-Inversión-Financi'!F44-('Cuenta Ahorro-Inversión-Financi'!BF11+'Cuenta Ahorro-Inversión-Financi'!BR11)/'PIB corriente base 1993'!V10/1000</f>
        <v>-0.0222842660564494</v>
      </c>
      <c r="AJ44" s="456" t="n">
        <f aca="false">'Cuenta Ahorro-Inversión-Financi'!AH44-'Cuenta Ahorro-Inversión-Financi'!H44</f>
        <v>-0.00552890673691623</v>
      </c>
      <c r="AN44" s="711" t="n">
        <f aca="false">'Cuenta Ahorro-Inversión-Financi'!AN45-1</f>
        <v>1995</v>
      </c>
      <c r="AO44" s="710" t="n">
        <f aca="false">'Cuenta Ahorro-Inversión-Financi'!I44</f>
        <v>0.0488601658004833</v>
      </c>
      <c r="AP44" s="710" t="n">
        <f aca="false">'Cuenta Ahorro-Inversión-Financi'!F44</f>
        <v>0.0367162842262927</v>
      </c>
      <c r="AQ44" s="710" t="n">
        <v>0</v>
      </c>
      <c r="AR44" s="710" t="n">
        <f aca="false">'Cuenta Ahorro-Inversión-Financi'!L44</f>
        <v>0.011591546064283</v>
      </c>
      <c r="AS44" s="710" t="n">
        <f aca="false">'Cuenta Ahorro-Inversión-Financi'!T44+'Cuenta Ahorro-Inversión-Financi'!R44+(('Cuenta Ahorro-Inversión-Financi'!BC11)/1000/'PIB corriente base 1993'!V10)</f>
        <v>0.059041962245797</v>
      </c>
      <c r="AT44" s="710" t="n">
        <f aca="false">'Cuenta Ahorro-Inversión-Financi'!T44+'Cuenta Ahorro-Inversión-Financi'!R44+(('Cuenta Ahorro-Inversión-Financi'!BC11-'Cuenta Ahorro-Inversión-Financi'!BP11-'Cuenta Ahorro-Inversión-Financi'!BQ11)/1000/'PIB corriente base 1993'!V10)</f>
        <v>0.059041962245797</v>
      </c>
      <c r="AU44" s="710" t="n">
        <f aca="false">'Cuenta Ahorro-Inversión-Financi'!U44</f>
        <v>0.0601927035550024</v>
      </c>
      <c r="AV44" s="710" t="n">
        <f aca="false">('Cuenta Ahorro-Inversión-Financi'!CH11)/1000/'PIB corriente base 1993'!V10+'Cuenta Ahorro-Inversión-Financi'!Y44</f>
        <v>0.00663835790735207</v>
      </c>
      <c r="AW44" s="710" t="n">
        <f aca="false">'Cuenta Ahorro-Inversión-Financi'!AP44-'Cuenta Ahorro-Inversión-Financi'!AT44</f>
        <v>-0.0223256780195043</v>
      </c>
      <c r="AX44" s="710" t="n">
        <f aca="false">'Cuenta Ahorro-Inversión-Financi'!AO44-'Cuenta Ahorro-Inversión-Financi'!AU44</f>
        <v>-0.0113325377545191</v>
      </c>
      <c r="AY44" s="710" t="n">
        <f aca="false">'Cuenta Ahorro-Inversión-Financi'!AO44+'Cuenta Ahorro-Inversión-Financi'!AQ44+'Cuenta Ahorro-Inversión-Financi'!AR44-'Cuenta Ahorro-Inversión-Financi'!AU44-'Cuenta Ahorro-Inversión-Financi'!AV44</f>
        <v>-0.00637934959758819</v>
      </c>
      <c r="AZ44" s="710" t="n">
        <f aca="false">'Cuenta Ahorro-Inversión-Financi'!AY44</f>
        <v>-0.00637934959758819</v>
      </c>
      <c r="BA44" s="456" t="n">
        <f aca="false">AU44+AV44</f>
        <v>0.0668310614623545</v>
      </c>
      <c r="BB44" s="456" t="n">
        <v>-0.0113642352751916</v>
      </c>
      <c r="BC44" s="456" t="n">
        <v>-0.0113325377545191</v>
      </c>
      <c r="BF44" s="456" t="n">
        <f aca="false">'Cuenta Ahorro-Inversión-Financi'!BS26/'Cuenta Ahorro-Inversión-Financi'!BF26</f>
        <v>0.0358111033544666</v>
      </c>
      <c r="BI44" s="1" t="n">
        <f aca="false">('Cuenta Ahorro-Inversión-Financi'!BO32-'Cuenta Ahorro-Inversión-Financi'!BJ44)+'Cuenta Ahorro-Inversión-Financi'!BN32</f>
        <v>167993739.7493</v>
      </c>
      <c r="BJ44" s="312" t="n">
        <f aca="false">'Cuenta Ahorro-Inversión-Financi'!BN32-'Cuenta Ahorro-Inversión-Financi'!BP32-'Cuenta Ahorro-Inversión-Financi'!BQ32</f>
        <v>145903423.52105</v>
      </c>
      <c r="BK44" s="28" t="n">
        <v>75079918.568</v>
      </c>
      <c r="BL44" s="28" t="n">
        <f aca="false">'Cuenta Ahorro-Inversión-Financi'!BR31-'Cuenta Ahorro-Inversión-Financi'!BP31-'Cuenta Ahorro-Inversión-Financi'!BQ31</f>
        <v>75053880.19793</v>
      </c>
      <c r="BN44" s="28" t="s">
        <v>976</v>
      </c>
      <c r="CG44" s="646"/>
    </row>
    <row r="45" customFormat="false" ht="15.75" hidden="false" customHeight="true" outlineLevel="0" collapsed="false">
      <c r="A45" s="703"/>
      <c r="B45" s="703"/>
      <c r="C45" s="703"/>
      <c r="D45" s="703"/>
      <c r="E45" s="705" t="n">
        <v>1996</v>
      </c>
      <c r="F45" s="718" t="n">
        <f aca="false">'Cuenta Ahorro-Inversión-Financi'!T12/'PIB corriente base 1993'!V11/1000</f>
        <v>0.0363846758844649</v>
      </c>
      <c r="G45" s="718" t="n">
        <f aca="false">('Cuenta Ahorro-Inversión-Financi'!G12+'Cuenta Ahorro-Inversión-Financi'!S12)/'PIB corriente base 1993'!V11/1000</f>
        <v>0.0146741320077489</v>
      </c>
      <c r="H45" s="718" t="n">
        <f aca="false">'Cuenta Ahorro-Inversión-Financi'!X12/'PIB corriente base 1993'!V11/1000</f>
        <v>0.000116523274740473</v>
      </c>
      <c r="I45" s="718" t="n">
        <f aca="false">('Cuenta Ahorro-Inversión-Financi'!F12-'Cuenta Ahorro-Inversión-Financi'!V12)/'PIB corriente base 1993'!V11/1000</f>
        <v>0.0511753311669543</v>
      </c>
      <c r="J45" s="713" t="n">
        <f aca="false">'Cuenta Ahorro-Inversión-Financi'!F12/'PIB corriente base 1993'!V11/1000</f>
        <v>0.0511753311669543</v>
      </c>
      <c r="K45" s="718" t="n">
        <f aca="false">'Cuenta Ahorro-Inversión-Financi'!T12/'PIB corriente base 1993'!V11/1000</f>
        <v>0.0363846758844649</v>
      </c>
      <c r="L45" s="718" t="n">
        <f aca="false">'Cuenta Ahorro-Inversión-Financi'!AI12/'PIB corriente base 1993'!V11/1000</f>
        <v>0.0118734138888744</v>
      </c>
      <c r="M45" s="718" t="n">
        <f aca="false">'Cuenta Ahorro-Inversión-Financi'!AO12/'PIB corriente base 1993'!V11/1000</f>
        <v>0.00441265490624906</v>
      </c>
      <c r="N45" s="719" t="n">
        <f aca="false">'Cuenta Ahorro-Inversión-Financi'!AG12/'PIB corriente base 1993'!V11/1000</f>
        <v>0.0515385086975716</v>
      </c>
      <c r="O45" s="719" t="n">
        <f aca="false">'Cuenta Ahorro-Inversión-Financi'!M45+'Cuenta Ahorro-Inversión-Financi'!I45</f>
        <v>0.0555879860732034</v>
      </c>
      <c r="P45" s="703"/>
      <c r="Q45" s="714" t="n">
        <v>1996</v>
      </c>
      <c r="R45" s="713" t="n">
        <f aca="false">'Cuenta Ahorro-Inversión-Financi'!BF12/1000/'PIB corriente base 1993'!V11</f>
        <v>0.0531622526632245</v>
      </c>
      <c r="S45" s="713"/>
      <c r="T45" s="713" t="n">
        <f aca="false">'Cuenta Ahorro-Inversión-Financi'!BX12/1000/'PIB corriente base 1993'!V11</f>
        <v>0.00600272468782676</v>
      </c>
      <c r="U45" s="713" t="n">
        <f aca="false">'Cuenta Ahorro-Inversión-Financi'!T45+'Cuenta Ahorro-Inversión-Financi'!R45+(('Cuenta Ahorro-Inversión-Financi'!AY12+'Cuenta Ahorro-Inversión-Financi'!BC12)/1000/'PIB corriente base 1993'!V11)</f>
        <v>0.0608752908039948</v>
      </c>
      <c r="V45" s="713" t="n">
        <f aca="false">'Cuenta Ahorro-Inversión-Financi'!BN12/1000/'PIB corriente base 1993'!V11</f>
        <v>0.00600272468782676</v>
      </c>
      <c r="W45" s="713" t="n">
        <f aca="false">'Cuenta Ahorro-Inversión-Financi'!AX12/1000/'PIB corriente base 1993'!V11</f>
        <v>0.0608752908039948</v>
      </c>
      <c r="X45" s="713" t="n">
        <f aca="false">W45</f>
        <v>0.0608752908039948</v>
      </c>
      <c r="Y45" s="713"/>
      <c r="Z45" s="713" t="n">
        <f aca="false">('Cuenta Ahorro-Inversión-Financi'!CG12)/1000/'PIB corriente base 1993'!V11</f>
        <v>0.0609024437585277</v>
      </c>
      <c r="AA45" s="713" t="n">
        <f aca="false">('Cuenta Ahorro-Inversión-Financi'!CG12-'Cuenta Ahorro-Inversión-Financi'!AY12)/1000/'PIB corriente base 1993'!V11</f>
        <v>0.0596866289561886</v>
      </c>
      <c r="AB45" s="703"/>
      <c r="AC45" s="715" t="n">
        <v>1996</v>
      </c>
      <c r="AD45" s="713" t="n">
        <f aca="false">'Cuenta Ahorro-Inversión-Financi'!J45-'Cuenta Ahorro-Inversión-Financi'!X45</f>
        <v>-0.00969995963704045</v>
      </c>
      <c r="AE45" s="713" t="n">
        <f aca="false">'Cuenta Ahorro-Inversión-Financi'!F45-'Cuenta Ahorro-Inversión-Financi'!R45</f>
        <v>-0.0167775767787595</v>
      </c>
      <c r="AF45" s="713" t="n">
        <f aca="false">'Cuenta Ahorro-Inversión-Financi'!I45-'Cuenta Ahorro-Inversión-Financi'!U45-'Cuenta Ahorro-Inversión-Financi'!H45</f>
        <v>-0.00981648291178092</v>
      </c>
      <c r="AG45" s="713" t="n">
        <f aca="false">'Cuenta Ahorro-Inversión-Financi'!I45-'Cuenta Ahorro-Inversión-Financi'!U45</f>
        <v>-0.00969995963704045</v>
      </c>
      <c r="AH45" s="713" t="n">
        <f aca="false">'Cuenta Ahorro-Inversión-Financi'!O45-'Cuenta Ahorro-Inversión-Financi'!U45</f>
        <v>-0.00528730473079139</v>
      </c>
      <c r="AI45" s="713" t="n">
        <f aca="false">'Cuenta Ahorro-Inversión-Financi'!F45-('Cuenta Ahorro-Inversión-Financi'!BF12+'Cuenta Ahorro-Inversión-Financi'!BR12)/'PIB corriente base 1993'!V11/1000</f>
        <v>-0.0167775767787595</v>
      </c>
      <c r="AJ45" s="456" t="n">
        <f aca="false">'Cuenta Ahorro-Inversión-Financi'!AH45-'Cuenta Ahorro-Inversión-Financi'!H45</f>
        <v>-0.00540382800553187</v>
      </c>
      <c r="AK45" s="720"/>
      <c r="AL45" s="720"/>
      <c r="AN45" s="711" t="n">
        <f aca="false">'Cuenta Ahorro-Inversión-Financi'!AN46-1</f>
        <v>1996</v>
      </c>
      <c r="AO45" s="713" t="n">
        <f aca="false">'Cuenta Ahorro-Inversión-Financi'!I45</f>
        <v>0.0511753311669543</v>
      </c>
      <c r="AP45" s="713" t="n">
        <f aca="false">'Cuenta Ahorro-Inversión-Financi'!F45</f>
        <v>0.0363846758844649</v>
      </c>
      <c r="AQ45" s="713" t="n">
        <v>0</v>
      </c>
      <c r="AR45" s="713" t="n">
        <f aca="false">'Cuenta Ahorro-Inversión-Financi'!L45</f>
        <v>0.0118734138888744</v>
      </c>
      <c r="AS45" s="713" t="n">
        <f aca="false">'Cuenta Ahorro-Inversión-Financi'!T45+'Cuenta Ahorro-Inversión-Financi'!R45+(('Cuenta Ahorro-Inversión-Financi'!BC12)/1000/'PIB corriente base 1993'!V11)</f>
        <v>0.0596594760016556</v>
      </c>
      <c r="AT45" s="713" t="n">
        <f aca="false">'Cuenta Ahorro-Inversión-Financi'!T45+'Cuenta Ahorro-Inversión-Financi'!R45+(('Cuenta Ahorro-Inversión-Financi'!BC12-'Cuenta Ahorro-Inversión-Financi'!BP12-'Cuenta Ahorro-Inversión-Financi'!BQ12)/1000/'PIB corriente base 1993'!V11)</f>
        <v>0.0596594760016556</v>
      </c>
      <c r="AU45" s="713" t="n">
        <f aca="false">'Cuenta Ahorro-Inversión-Financi'!U45</f>
        <v>0.0608752908039948</v>
      </c>
      <c r="AV45" s="713" t="n">
        <f aca="false">('Cuenta Ahorro-Inversión-Financi'!CH12)/1000/'PIB corriente base 1993'!V11+'Cuenta Ahorro-Inversión-Financi'!Y45</f>
        <v>0.0074607589826253</v>
      </c>
      <c r="AW45" s="713" t="n">
        <f aca="false">'Cuenta Ahorro-Inversión-Financi'!AP45-'Cuenta Ahorro-Inversión-Financi'!AT45</f>
        <v>-0.0232748001171907</v>
      </c>
      <c r="AX45" s="713" t="n">
        <f aca="false">'Cuenta Ahorro-Inversión-Financi'!AO45-'Cuenta Ahorro-Inversión-Financi'!AU45</f>
        <v>-0.00969995963704045</v>
      </c>
      <c r="AY45" s="713" t="n">
        <f aca="false">'Cuenta Ahorro-Inversión-Financi'!AO45+'Cuenta Ahorro-Inversión-Financi'!AQ45+'Cuenta Ahorro-Inversión-Financi'!AR45-'Cuenta Ahorro-Inversión-Financi'!AU45-'Cuenta Ahorro-Inversión-Financi'!AV45</f>
        <v>-0.00528730473079139</v>
      </c>
      <c r="AZ45" s="713" t="n">
        <f aca="false">'Cuenta Ahorro-Inversión-Financi'!AY45</f>
        <v>-0.00528730473079139</v>
      </c>
      <c r="BA45" s="456" t="n">
        <f aca="false">AU45+AV45</f>
        <v>0.0683360497866201</v>
      </c>
      <c r="BB45" s="456" t="n">
        <v>-0.00981648291178097</v>
      </c>
      <c r="BC45" s="456" t="n">
        <v>-0.0096999596370405</v>
      </c>
      <c r="BF45" s="456" t="n">
        <f aca="false">'Cuenta Ahorro-Inversión-Financi'!BS27/'Cuenta Ahorro-Inversión-Financi'!BF27</f>
        <v>0.0358428339427734</v>
      </c>
      <c r="BI45" s="1" t="n">
        <f aca="false">'Cuenta Ahorro-Inversión-Financi'!BO32-'Cuenta Ahorro-Inversión-Financi'!BJ44</f>
        <v>0</v>
      </c>
      <c r="BJ45" s="28" t="n">
        <v>50627831.65</v>
      </c>
      <c r="BK45" s="28" t="n">
        <f aca="false">'Cuenta Ahorro-Inversión-Financi'!BR30-'Cuenta Ahorro-Inversión-Financi'!BP30-'Cuenta Ahorro-Inversión-Financi'!BQ30</f>
        <v>50627831.64991</v>
      </c>
      <c r="BL45" s="28" t="n">
        <f aca="false">'Cuenta Ahorro-Inversión-Financi'!BL44+'Cuenta Ahorro-Inversión-Financi'!BS31</f>
        <v>90576617.55667</v>
      </c>
      <c r="BM45" s="28" t="n">
        <f aca="false">'Cuenta Ahorro-Inversión-Financi'!BO30+'Cuenta Ahorro-Inversión-Financi'!BP30+'Cuenta Ahorro-Inversión-Financi'!BQ30</f>
        <v>62895026.92646</v>
      </c>
      <c r="BN45" s="721" t="n">
        <v>2684200</v>
      </c>
      <c r="BO45" s="28"/>
      <c r="BP45" s="28" t="n">
        <v>10613959.7659624</v>
      </c>
      <c r="BQ45" s="28"/>
      <c r="BR45" s="1" t="s">
        <v>977</v>
      </c>
      <c r="CG45" s="646"/>
    </row>
    <row r="46" customFormat="false" ht="15.75" hidden="false" customHeight="true" outlineLevel="0" collapsed="false">
      <c r="A46" s="703"/>
      <c r="B46" s="703"/>
      <c r="C46" s="703"/>
      <c r="D46" s="703"/>
      <c r="E46" s="705" t="n">
        <v>1997</v>
      </c>
      <c r="F46" s="706" t="n">
        <f aca="false">'Cuenta Ahorro-Inversión-Financi'!T13/'PIB corriente base 1993'!V12/1000</f>
        <v>0.0349581599781242</v>
      </c>
      <c r="G46" s="706" t="n">
        <f aca="false">('Cuenta Ahorro-Inversión-Financi'!G13+'Cuenta Ahorro-Inversión-Financi'!S13)/'PIB corriente base 1993'!V12/1000</f>
        <v>0.0200853946887565</v>
      </c>
      <c r="H46" s="706" t="n">
        <f aca="false">'Cuenta Ahorro-Inversión-Financi'!X13/'PIB corriente base 1993'!V12/1000</f>
        <v>0.000108303900462984</v>
      </c>
      <c r="I46" s="706" t="n">
        <f aca="false">('Cuenta Ahorro-Inversión-Financi'!F13-'Cuenta Ahorro-Inversión-Financi'!V13)/'PIB corriente base 1993'!V12/1000</f>
        <v>0.048375687457096</v>
      </c>
      <c r="J46" s="706" t="n">
        <f aca="false">'Cuenta Ahorro-Inversión-Financi'!F13/'PIB corriente base 1993'!V12/1000</f>
        <v>0.0551518585673437</v>
      </c>
      <c r="K46" s="706" t="n">
        <f aca="false">'Cuenta Ahorro-Inversión-Financi'!T13/'PIB corriente base 1993'!V12/1000</f>
        <v>0.0349581599781242</v>
      </c>
      <c r="L46" s="706" t="n">
        <f aca="false">'Cuenta Ahorro-Inversión-Financi'!AI13/'PIB corriente base 1993'!V12/1000</f>
        <v>0.0122864231415156</v>
      </c>
      <c r="M46" s="706" t="n">
        <f aca="false">'Cuenta Ahorro-Inversión-Financi'!AO13/'PIB corriente base 1993'!V12/1000</f>
        <v>0.00506896302668518</v>
      </c>
      <c r="N46" s="706" t="n">
        <f aca="false">'Cuenta Ahorro-Inversión-Financi'!AG13/'PIB corriente base 1993'!V12/1000</f>
        <v>0.0558648368629445</v>
      </c>
      <c r="O46" s="706" t="n">
        <f aca="false">'Cuenta Ahorro-Inversión-Financi'!M46+'Cuenta Ahorro-Inversión-Financi'!I46</f>
        <v>0.0534446504837812</v>
      </c>
      <c r="P46" s="703"/>
      <c r="Q46" s="714" t="n">
        <v>1997</v>
      </c>
      <c r="R46" s="722" t="n">
        <f aca="false">'Cuenta Ahorro-Inversión-Financi'!BF13/1000/'PIB corriente base 1993'!V12</f>
        <v>0.0500659666860674</v>
      </c>
      <c r="S46" s="722"/>
      <c r="T46" s="722" t="n">
        <f aca="false">'Cuenta Ahorro-Inversión-Financi'!BX13/1000/'PIB corriente base 1993'!V12</f>
        <v>0.00539903006587295</v>
      </c>
      <c r="U46" s="722" t="n">
        <f aca="false">'Cuenta Ahorro-Inversión-Financi'!T46+'Cuenta Ahorro-Inversión-Financi'!R46+(('Cuenta Ahorro-Inversión-Financi'!AY13+'Cuenta Ahorro-Inversión-Financi'!BC13)/1000/'PIB corriente base 1993'!V12)</f>
        <v>0.0566005957718935</v>
      </c>
      <c r="V46" s="722" t="n">
        <f aca="false">'Cuenta Ahorro-Inversión-Financi'!BN13/1000/'PIB corriente base 1993'!V12</f>
        <v>0.00539903006587295</v>
      </c>
      <c r="W46" s="708" t="n">
        <f aca="false">'Cuenta Ahorro-Inversión-Financi'!AX13/1000/'PIB corriente base 1993'!V12</f>
        <v>0.0566005957718935</v>
      </c>
      <c r="X46" s="708" t="n">
        <f aca="false">W46</f>
        <v>0.0566005957718935</v>
      </c>
      <c r="Y46" s="708"/>
      <c r="Z46" s="708" t="n">
        <f aca="false">('Cuenta Ahorro-Inversión-Financi'!CG13)/1000/'PIB corriente base 1993'!V12</f>
        <v>0.0566307859489529</v>
      </c>
      <c r="AA46" s="708" t="n">
        <f aca="false">('Cuenta Ahorro-Inversión-Financi'!CG13-'Cuenta Ahorro-Inversión-Financi'!AY13)/1000/'PIB corriente base 1993'!V12</f>
        <v>0.0557904399208109</v>
      </c>
      <c r="AB46" s="703"/>
      <c r="AC46" s="715" t="n">
        <v>1997</v>
      </c>
      <c r="AD46" s="710" t="n">
        <f aca="false">'Cuenta Ahorro-Inversión-Financi'!J46-'Cuenta Ahorro-Inversión-Financi'!X46</f>
        <v>-0.00144873720454982</v>
      </c>
      <c r="AE46" s="710" t="n">
        <f aca="false">'Cuenta Ahorro-Inversión-Financi'!F46-'Cuenta Ahorro-Inversión-Financi'!R46</f>
        <v>-0.0151078067079432</v>
      </c>
      <c r="AF46" s="710" t="n">
        <f aca="false">'Cuenta Ahorro-Inversión-Financi'!I46-'Cuenta Ahorro-Inversión-Financi'!U46-'Cuenta Ahorro-Inversión-Financi'!H46</f>
        <v>-0.00833321221526041</v>
      </c>
      <c r="AG46" s="710" t="n">
        <f aca="false">'Cuenta Ahorro-Inversión-Financi'!I46-'Cuenta Ahorro-Inversión-Financi'!U46</f>
        <v>-0.00822490831479743</v>
      </c>
      <c r="AH46" s="710" t="n">
        <f aca="false">'Cuenta Ahorro-Inversión-Financi'!O46-'Cuenta Ahorro-Inversión-Financi'!U46</f>
        <v>-0.00315594528811224</v>
      </c>
      <c r="AI46" s="710" t="n">
        <f aca="false">'Cuenta Ahorro-Inversión-Financi'!F46-('Cuenta Ahorro-Inversión-Financi'!BF13+'Cuenta Ahorro-Inversión-Financi'!BR13)/'PIB corriente base 1993'!V12/1000</f>
        <v>-0.0198405542498262</v>
      </c>
      <c r="AJ46" s="456" t="n">
        <f aca="false">'Cuenta Ahorro-Inversión-Financi'!AH46-'Cuenta Ahorro-Inversión-Financi'!H46</f>
        <v>-0.00326424918857523</v>
      </c>
      <c r="AK46" s="720"/>
      <c r="AL46" s="720"/>
      <c r="AN46" s="711" t="n">
        <f aca="false">'Cuenta Ahorro-Inversión-Financi'!AN47-1</f>
        <v>1997</v>
      </c>
      <c r="AO46" s="710" t="n">
        <f aca="false">'Cuenta Ahorro-Inversión-Financi'!I46</f>
        <v>0.048375687457096</v>
      </c>
      <c r="AP46" s="710" t="n">
        <f aca="false">'Cuenta Ahorro-Inversión-Financi'!F46</f>
        <v>0.0349581599781242</v>
      </c>
      <c r="AQ46" s="710" t="n">
        <v>0</v>
      </c>
      <c r="AR46" s="710" t="n">
        <f aca="false">'Cuenta Ahorro-Inversión-Financi'!L46</f>
        <v>0.0122864231415156</v>
      </c>
      <c r="AS46" s="710" t="n">
        <f aca="false">'Cuenta Ahorro-Inversión-Financi'!T46+'Cuenta Ahorro-Inversión-Financi'!R46+(('Cuenta Ahorro-Inversión-Financi'!BC13)/1000/'PIB corriente base 1993'!V12)</f>
        <v>0.0557602497437515</v>
      </c>
      <c r="AT46" s="710" t="n">
        <f aca="false">'Cuenta Ahorro-Inversión-Financi'!T46+'Cuenta Ahorro-Inversión-Financi'!R46+(('Cuenta Ahorro-Inversión-Financi'!BC13-'Cuenta Ahorro-Inversión-Financi'!BP13-'Cuenta Ahorro-Inversión-Financi'!BQ13)/1000/'PIB corriente base 1993'!V12)</f>
        <v>0.0557602497437515</v>
      </c>
      <c r="AU46" s="710" t="n">
        <f aca="false">'Cuenta Ahorro-Inversión-Financi'!U46</f>
        <v>0.0566005957718935</v>
      </c>
      <c r="AV46" s="710" t="n">
        <f aca="false">('Cuenta Ahorro-Inversión-Financi'!CH13)/1000/'PIB corriente base 1993'!V12+'Cuenta Ahorro-Inversión-Financi'!Y46</f>
        <v>0.00721746011483045</v>
      </c>
      <c r="AW46" s="710" t="n">
        <f aca="false">'Cuenta Ahorro-Inversión-Financi'!AP46-'Cuenta Ahorro-Inversión-Financi'!AT46</f>
        <v>-0.0208020897656273</v>
      </c>
      <c r="AX46" s="710" t="n">
        <f aca="false">'Cuenta Ahorro-Inversión-Financi'!AO46-'Cuenta Ahorro-Inversión-Financi'!AU46</f>
        <v>-0.00822490831479743</v>
      </c>
      <c r="AY46" s="710" t="n">
        <f aca="false">'Cuenta Ahorro-Inversión-Financi'!AO46+'Cuenta Ahorro-Inversión-Financi'!AQ46+'Cuenta Ahorro-Inversión-Financi'!AR46-'Cuenta Ahorro-Inversión-Financi'!AU46-'Cuenta Ahorro-Inversión-Financi'!AV46</f>
        <v>-0.00315594528811225</v>
      </c>
      <c r="AZ46" s="710" t="n">
        <f aca="false">'Cuenta Ahorro-Inversión-Financi'!AY46</f>
        <v>-0.00315594528811225</v>
      </c>
      <c r="BA46" s="456" t="n">
        <f aca="false">AU46+AV46</f>
        <v>0.0638180558867239</v>
      </c>
      <c r="BB46" s="456" t="n">
        <v>-0.00833321221526048</v>
      </c>
      <c r="BC46" s="456" t="n">
        <v>-0.0082249083147975</v>
      </c>
      <c r="BF46" s="456" t="n">
        <f aca="false">'Cuenta Ahorro-Inversión-Financi'!BS28/'Cuenta Ahorro-Inversión-Financi'!BF28</f>
        <v>0.0358325990635829</v>
      </c>
      <c r="BI46" s="1" t="n">
        <f aca="false">'Cuenta Ahorro-Inversión-Financi'!BO32-'Cuenta Ahorro-Inversión-Financi'!BI45</f>
        <v>145903423.52105</v>
      </c>
      <c r="BJ46" s="456" t="n">
        <f aca="false">('Cuenta Ahorro-Inversión-Financi'!BP31)/'Cuenta Ahorro-Inversión-Financi'!BN31</f>
        <v>0.0237612014794172</v>
      </c>
      <c r="BK46" s="1" t="n">
        <f aca="false">'Cuenta Ahorro-Inversión-Financi'!BK45+'Cuenta Ahorro-Inversión-Financi'!BS30</f>
        <v>61284342.35352</v>
      </c>
      <c r="BN46" s="312" t="n">
        <v>26842000</v>
      </c>
      <c r="BO46" s="723" t="n">
        <f aca="false">22088370468.25/1000</f>
        <v>22088370.46825</v>
      </c>
    </row>
    <row r="47" customFormat="false" ht="15.75" hidden="false" customHeight="true" outlineLevel="0" collapsed="false">
      <c r="A47" s="703"/>
      <c r="B47" s="703"/>
      <c r="C47" s="703"/>
      <c r="D47" s="703"/>
      <c r="E47" s="705" t="n">
        <v>1998</v>
      </c>
      <c r="F47" s="713" t="n">
        <f aca="false">'Cuenta Ahorro-Inversión-Financi'!U14/'PIB corriente base 1993'!V13/1000</f>
        <v>0.0264965219233464</v>
      </c>
      <c r="G47" s="713" t="n">
        <f aca="false">('Cuenta Ahorro-Inversión-Financi'!G14+'Cuenta Ahorro-Inversión-Financi'!S14)/'PIB corriente base 1993'!V13/1000</f>
        <v>0.0212578403477591</v>
      </c>
      <c r="H47" s="713" t="n">
        <f aca="false">'Cuenta Ahorro-Inversión-Financi'!X14/'PIB corriente base 1993'!V13/1000</f>
        <v>4.84963051482054E-005</v>
      </c>
      <c r="I47" s="713" t="n">
        <f aca="false">('Cuenta Ahorro-Inversión-Financi'!F14-'Cuenta Ahorro-Inversión-Financi'!V14)/'PIB corriente base 1993'!V13/1000</f>
        <v>0.0478028585762537</v>
      </c>
      <c r="J47" s="713" t="n">
        <f aca="false">'Cuenta Ahorro-Inversión-Financi'!F14/'PIB corriente base 1993'!V13/1000</f>
        <v>0.0544748153423529</v>
      </c>
      <c r="K47" s="713" t="n">
        <f aca="false">'Cuenta Ahorro-Inversión-Financi'!T14/'PIB corriente base 1993'!V13/1000</f>
        <v>0.0331684786894456</v>
      </c>
      <c r="L47" s="713" t="n">
        <f aca="false">'Cuenta Ahorro-Inversión-Financi'!AI14/'PIB corriente base 1993'!V13/1000</f>
        <v>0.0127033327129764</v>
      </c>
      <c r="M47" s="713" t="n">
        <f aca="false">'Cuenta Ahorro-Inversión-Financi'!AO14/'PIB corriente base 1993'!V13/1000</f>
        <v>0.00452259793504476</v>
      </c>
      <c r="N47" s="718" t="n">
        <f aca="false">'Cuenta Ahorro-Inversión-Financi'!AG14/'PIB corriente base 1993'!V13/1000</f>
        <v>0.0547668017431887</v>
      </c>
      <c r="O47" s="718" t="n">
        <f aca="false">'Cuenta Ahorro-Inversión-Financi'!M47+'Cuenta Ahorro-Inversión-Financi'!I47</f>
        <v>0.0523254565112985</v>
      </c>
      <c r="P47" s="703"/>
      <c r="Q47" s="714" t="n">
        <v>1998</v>
      </c>
      <c r="R47" s="713" t="n">
        <f aca="false">'Cuenta Ahorro-Inversión-Financi'!BF14/1000/'PIB corriente base 1993'!V13</f>
        <v>0.0491903555478579</v>
      </c>
      <c r="S47" s="713"/>
      <c r="T47" s="713" t="n">
        <f aca="false">'Cuenta Ahorro-Inversión-Financi'!BR14/1000/'PIB corriente base 1993'!V13</f>
        <v>0.00477034993055969</v>
      </c>
      <c r="U47" s="713" t="n">
        <f aca="false">'Cuenta Ahorro-Inversión-Financi'!T47+'Cuenta Ahorro-Inversión-Financi'!R47+(('Cuenta Ahorro-Inversión-Financi'!AY14+'Cuenta Ahorro-Inversión-Financi'!BC14)/1000/'PIB corriente base 1993'!V13)</f>
        <v>0.0549855186352841</v>
      </c>
      <c r="V47" s="713" t="n">
        <f aca="false">'Cuenta Ahorro-Inversión-Financi'!BN14/1000/'PIB corriente base 1993'!V13</f>
        <v>0.0127524788625281</v>
      </c>
      <c r="W47" s="713" t="n">
        <f aca="false">'Cuenta Ahorro-Inversión-Financi'!AX14/1000/'PIB corriente base 1993'!V13</f>
        <v>0.0629676475672525</v>
      </c>
      <c r="X47" s="713" t="n">
        <f aca="false">W47</f>
        <v>0.0629676475672525</v>
      </c>
      <c r="Y47" s="713"/>
      <c r="Z47" s="713" t="n">
        <f aca="false">('Cuenta Ahorro-Inversión-Financi'!CG14)/1000/'PIB corriente base 1993'!V13</f>
        <v>0.0630144222818809</v>
      </c>
      <c r="AA47" s="713" t="n">
        <f aca="false">('Cuenta Ahorro-Inversión-Financi'!CG14-'Cuenta Ahorro-Inversión-Financi'!AY14)/1000/'PIB corriente base 1993'!V13</f>
        <v>0.0622394225495174</v>
      </c>
      <c r="AB47" s="703"/>
      <c r="AC47" s="715" t="n">
        <v>1998</v>
      </c>
      <c r="AD47" s="713" t="n">
        <f aca="false">'Cuenta Ahorro-Inversión-Financi'!J47-'Cuenta Ahorro-Inversión-Financi'!X47</f>
        <v>-0.00849283222489954</v>
      </c>
      <c r="AE47" s="713" t="n">
        <f aca="false">'Cuenta Ahorro-Inversión-Financi'!F47-'Cuenta Ahorro-Inversión-Financi'!R47</f>
        <v>-0.0226938336245115</v>
      </c>
      <c r="AF47" s="713" t="n">
        <f aca="false">'Cuenta Ahorro-Inversión-Financi'!I47-'Cuenta Ahorro-Inversión-Financi'!U47-'Cuenta Ahorro-Inversión-Financi'!H47</f>
        <v>-0.00723115636417857</v>
      </c>
      <c r="AG47" s="713" t="n">
        <f aca="false">'Cuenta Ahorro-Inversión-Financi'!I47-'Cuenta Ahorro-Inversión-Financi'!U47</f>
        <v>-0.00718266005903036</v>
      </c>
      <c r="AH47" s="713" t="n">
        <f aca="false">'Cuenta Ahorro-Inversión-Financi'!O47-'Cuenta Ahorro-Inversión-Financi'!U47</f>
        <v>-0.0026600621239856</v>
      </c>
      <c r="AI47" s="713" t="n">
        <f aca="false">'Cuenta Ahorro-Inversión-Financi'!F47-('Cuenta Ahorro-Inversión-Financi'!BF14+'Cuenta Ahorro-Inversión-Financi'!BR14)/'PIB corriente base 1993'!V13/1000</f>
        <v>-0.0274641835550712</v>
      </c>
      <c r="AJ47" s="456" t="n">
        <f aca="false">'Cuenta Ahorro-Inversión-Financi'!AH47-'Cuenta Ahorro-Inversión-Financi'!H47</f>
        <v>-0.00270855842913381</v>
      </c>
      <c r="AK47" s="720"/>
      <c r="AL47" s="720"/>
      <c r="AN47" s="711" t="n">
        <f aca="false">'Cuenta Ahorro-Inversión-Financi'!AN48-1</f>
        <v>1998</v>
      </c>
      <c r="AO47" s="713" t="n">
        <f aca="false">'Cuenta Ahorro-Inversión-Financi'!I47</f>
        <v>0.0478028585762537</v>
      </c>
      <c r="AP47" s="713" t="n">
        <f aca="false">'Cuenta Ahorro-Inversión-Financi'!F47</f>
        <v>0.0264965219233464</v>
      </c>
      <c r="AQ47" s="713" t="n">
        <v>0</v>
      </c>
      <c r="AR47" s="713" t="n">
        <f aca="false">'Cuenta Ahorro-Inversión-Financi'!L47</f>
        <v>0.0127033327129764</v>
      </c>
      <c r="AS47" s="713" t="n">
        <f aca="false">'Cuenta Ahorro-Inversión-Financi'!T47+'Cuenta Ahorro-Inversión-Financi'!R47+(('Cuenta Ahorro-Inversión-Financi'!BC14)/1000/'PIB corriente base 1993'!V13)</f>
        <v>0.0542105189029207</v>
      </c>
      <c r="AT47" s="713" t="n">
        <f aca="false">'Cuenta Ahorro-Inversión-Financi'!T47+'Cuenta Ahorro-Inversión-Financi'!R47+(('Cuenta Ahorro-Inversión-Financi'!BC14-'Cuenta Ahorro-Inversión-Financi'!BP14-'Cuenta Ahorro-Inversión-Financi'!BQ14)/1000/'PIB corriente base 1993'!V13)</f>
        <v>0.0536416042274813</v>
      </c>
      <c r="AU47" s="713" t="n">
        <f aca="false">'Cuenta Ahorro-Inversión-Financi'!U47</f>
        <v>0.0549855186352841</v>
      </c>
      <c r="AV47" s="713" t="n">
        <f aca="false">('Cuenta Ahorro-Inversión-Financi'!CH14)/1000/'PIB corriente base 1993'!V13+'Cuenta Ahorro-Inversión-Financi'!Y47</f>
        <v>0.00818073477793168</v>
      </c>
      <c r="AW47" s="713" t="n">
        <f aca="false">'Cuenta Ahorro-Inversión-Financi'!AP47-'Cuenta Ahorro-Inversión-Financi'!AT47</f>
        <v>-0.0271450823041349</v>
      </c>
      <c r="AX47" s="713" t="n">
        <f aca="false">'Cuenta Ahorro-Inversión-Financi'!AO47-'Cuenta Ahorro-Inversión-Financi'!AU47</f>
        <v>-0.00718266005903036</v>
      </c>
      <c r="AY47" s="713" t="n">
        <f aca="false">'Cuenta Ahorro-Inversión-Financi'!AO47+'Cuenta Ahorro-Inversión-Financi'!AQ47+'Cuenta Ahorro-Inversión-Financi'!AR47-'Cuenta Ahorro-Inversión-Financi'!AU47-'Cuenta Ahorro-Inversión-Financi'!AV47</f>
        <v>-0.00266006212398561</v>
      </c>
      <c r="AZ47" s="713" t="n">
        <f aca="false">'Cuenta Ahorro-Inversión-Financi'!AY47</f>
        <v>-0.00266006212398561</v>
      </c>
      <c r="BA47" s="456" t="n">
        <f aca="false">AU47+AV47</f>
        <v>0.0631662534132158</v>
      </c>
      <c r="BB47" s="456" t="n">
        <v>-0.00723115636417861</v>
      </c>
      <c r="BC47" s="456" t="n">
        <v>-0.0071826600590304</v>
      </c>
      <c r="BF47" s="456" t="n">
        <f aca="false">'Cuenta Ahorro-Inversión-Financi'!BS29/'Cuenta Ahorro-Inversión-Financi'!BF29</f>
        <v>0.0358242643817758</v>
      </c>
      <c r="BI47" s="1" t="n">
        <f aca="false">'Cuenta Ahorro-Inversión-Financi'!BI46+'Cuenta Ahorro-Inversión-Financi'!BP32+'Cuenta Ahorro-Inversión-Financi'!BQ32</f>
        <v>167993739.7493</v>
      </c>
      <c r="BJ47" s="456" t="n">
        <f aca="false">('Cuenta Ahorro-Inversión-Financi'!BP32)/'Cuenta Ahorro-Inversión-Financi'!BN32</f>
        <v>0.131483295158575</v>
      </c>
      <c r="BN47" s="28" t="n">
        <f aca="false">'Cuenta Ahorro-Inversión-Financi'!BN46-'Cuenta Ahorro-Inversión-Financi'!BO46</f>
        <v>4753629.53175</v>
      </c>
      <c r="BO47" s="724"/>
      <c r="CA47" s="563" t="s">
        <v>978</v>
      </c>
      <c r="CB47" s="563"/>
      <c r="CC47" s="563"/>
      <c r="CD47" s="563"/>
      <c r="CE47" s="563"/>
      <c r="CF47" s="563"/>
      <c r="CG47" s="563"/>
      <c r="CH47" s="563"/>
      <c r="CI47" s="563"/>
      <c r="CJ47" s="563"/>
      <c r="CK47" s="563"/>
      <c r="CL47" s="563"/>
      <c r="CM47" s="563"/>
    </row>
    <row r="48" customFormat="false" ht="15.75" hidden="false" customHeight="true" outlineLevel="0" collapsed="false">
      <c r="A48" s="703"/>
      <c r="B48" s="703"/>
      <c r="C48" s="703"/>
      <c r="D48" s="703"/>
      <c r="E48" s="705" t="n">
        <v>1999</v>
      </c>
      <c r="F48" s="706" t="n">
        <f aca="false">'Cuenta Ahorro-Inversión-Financi'!U15/'PIB corriente base 1993'!V14/1000</f>
        <v>0.0249055646687138</v>
      </c>
      <c r="G48" s="706" t="n">
        <f aca="false">('Cuenta Ahorro-Inversión-Financi'!G15+'Cuenta Ahorro-Inversión-Financi'!S15)/'PIB corriente base 1993'!V14/1000</f>
        <v>0.0214303302315375</v>
      </c>
      <c r="H48" s="706" t="n">
        <f aca="false">'Cuenta Ahorro-Inversión-Financi'!X15/'PIB corriente base 1993'!V14/1000</f>
        <v>8.90089000381151E-006</v>
      </c>
      <c r="I48" s="706" t="n">
        <f aca="false">('Cuenta Ahorro-Inversión-Financi'!F15-'Cuenta Ahorro-Inversión-Financi'!V15)/'PIB corriente base 1993'!V14/1000</f>
        <v>0.0463447957902552</v>
      </c>
      <c r="J48" s="706" t="n">
        <f aca="false">'Cuenta Ahorro-Inversión-Financi'!F15/'PIB corriente base 1993'!V14/1000</f>
        <v>0.0532777004300702</v>
      </c>
      <c r="K48" s="706" t="n">
        <f aca="false">'Cuenta Ahorro-Inversión-Financi'!T15/'PIB corriente base 1993'!V14/1000</f>
        <v>0.0318384693085288</v>
      </c>
      <c r="L48" s="706" t="n">
        <f aca="false">'Cuenta Ahorro-Inversión-Financi'!AI15/'PIB corriente base 1993'!V14/1000</f>
        <v>0.0130590610333592</v>
      </c>
      <c r="M48" s="706" t="n">
        <f aca="false">'Cuenta Ahorro-Inversión-Financi'!AO15/'PIB corriente base 1993'!V14/1000</f>
        <v>0.0043774827281075</v>
      </c>
      <c r="N48" s="706" t="n">
        <f aca="false">'Cuenta Ahorro-Inversión-Financi'!AG15/'PIB corriente base 1993'!V14/1000</f>
        <v>0.0535007701072415</v>
      </c>
      <c r="O48" s="706" t="n">
        <f aca="false">'Cuenta Ahorro-Inversión-Financi'!M48+'Cuenta Ahorro-Inversión-Financi'!I48</f>
        <v>0.0507222785183627</v>
      </c>
      <c r="P48" s="703"/>
      <c r="Q48" s="714" t="n">
        <v>1999</v>
      </c>
      <c r="R48" s="722" t="n">
        <f aca="false">'Cuenta Ahorro-Inversión-Financi'!BF15/1000/'PIB corriente base 1993'!V14</f>
        <v>0.0517496903211291</v>
      </c>
      <c r="S48" s="722"/>
      <c r="T48" s="722" t="n">
        <f aca="false">'Cuenta Ahorro-Inversión-Financi'!BR15/1000/'PIB corriente base 1993'!V14</f>
        <v>0.00587322823822414</v>
      </c>
      <c r="U48" s="722" t="n">
        <f aca="false">'Cuenta Ahorro-Inversión-Financi'!T48+'Cuenta Ahorro-Inversión-Financi'!R48+(('Cuenta Ahorro-Inversión-Financi'!AY15+'Cuenta Ahorro-Inversión-Financi'!BC15)/1000/'PIB corriente base 1993'!V14)</f>
        <v>0.0584819665329902</v>
      </c>
      <c r="V48" s="722" t="n">
        <f aca="false">'Cuenta Ahorro-Inversión-Financi'!BN15/1000/'PIB corriente base 1993'!V14</f>
        <v>0.0143082213307534</v>
      </c>
      <c r="W48" s="708" t="n">
        <f aca="false">'Cuenta Ahorro-Inversión-Financi'!AX15/1000/'PIB corriente base 1993'!V14</f>
        <v>0.0669169596255194</v>
      </c>
      <c r="X48" s="708" t="n">
        <f aca="false">W48</f>
        <v>0.0669169596255194</v>
      </c>
      <c r="Y48" s="708"/>
      <c r="Z48" s="708" t="n">
        <f aca="false">('Cuenta Ahorro-Inversión-Financi'!CG15)/1000/'PIB corriente base 1993'!V14</f>
        <v>0.0669406296146645</v>
      </c>
      <c r="AA48" s="708" t="n">
        <f aca="false">('Cuenta Ahorro-Inversión-Financi'!CG15-'Cuenta Ahorro-Inversión-Financi'!AY15)/1000/'PIB corriente base 1993'!V14</f>
        <v>0.0660958081948481</v>
      </c>
      <c r="AB48" s="703"/>
      <c r="AC48" s="715" t="n">
        <v>1999</v>
      </c>
      <c r="AD48" s="710" t="n">
        <f aca="false">'Cuenta Ahorro-Inversión-Financi'!J48-'Cuenta Ahorro-Inversión-Financi'!X48</f>
        <v>-0.0136392591954492</v>
      </c>
      <c r="AE48" s="710" t="n">
        <f aca="false">'Cuenta Ahorro-Inversión-Financi'!F48-'Cuenta Ahorro-Inversión-Financi'!R48</f>
        <v>-0.0268441256524153</v>
      </c>
      <c r="AF48" s="710" t="n">
        <f aca="false">'Cuenta Ahorro-Inversión-Financi'!I48-'Cuenta Ahorro-Inversión-Financi'!U48-'Cuenta Ahorro-Inversión-Financi'!H48</f>
        <v>-0.0121460716327388</v>
      </c>
      <c r="AG48" s="710" t="n">
        <f aca="false">'Cuenta Ahorro-Inversión-Financi'!I48-'Cuenta Ahorro-Inversión-Financi'!U48</f>
        <v>-0.012137170742735</v>
      </c>
      <c r="AH48" s="710" t="n">
        <f aca="false">'Cuenta Ahorro-Inversión-Financi'!O48-'Cuenta Ahorro-Inversión-Financi'!U48</f>
        <v>-0.0077596880146275</v>
      </c>
      <c r="AI48" s="710" t="n">
        <f aca="false">'Cuenta Ahorro-Inversión-Financi'!F48-('Cuenta Ahorro-Inversión-Financi'!BF15+'Cuenta Ahorro-Inversión-Financi'!BR15)/'PIB corriente base 1993'!V14/1000</f>
        <v>-0.0327173538906395</v>
      </c>
      <c r="AJ48" s="456" t="n">
        <f aca="false">'Cuenta Ahorro-Inversión-Financi'!AH48-'Cuenta Ahorro-Inversión-Financi'!H48</f>
        <v>-0.00776858890463131</v>
      </c>
      <c r="AK48" s="720"/>
      <c r="AL48" s="720"/>
      <c r="AN48" s="711" t="n">
        <f aca="false">'Cuenta Ahorro-Inversión-Financi'!AN49-1</f>
        <v>1999</v>
      </c>
      <c r="AO48" s="710" t="n">
        <f aca="false">'Cuenta Ahorro-Inversión-Financi'!I48</f>
        <v>0.0463447957902552</v>
      </c>
      <c r="AP48" s="710" t="n">
        <f aca="false">'Cuenta Ahorro-Inversión-Financi'!F48</f>
        <v>0.0249055646687138</v>
      </c>
      <c r="AQ48" s="710" t="n">
        <v>0</v>
      </c>
      <c r="AR48" s="710" t="n">
        <f aca="false">'Cuenta Ahorro-Inversión-Financi'!L48</f>
        <v>0.0130590610333592</v>
      </c>
      <c r="AS48" s="710" t="n">
        <f aca="false">'Cuenta Ahorro-Inversión-Financi'!T48+'Cuenta Ahorro-Inversión-Financi'!R48+(('Cuenta Ahorro-Inversión-Financi'!BC15)/1000/'PIB corriente base 1993'!V14)</f>
        <v>0.0576371451131737</v>
      </c>
      <c r="AT48" s="710" t="n">
        <f aca="false">'Cuenta Ahorro-Inversión-Financi'!T48+'Cuenta Ahorro-Inversión-Financi'!R48+(('Cuenta Ahorro-Inversión-Financi'!BC15-'Cuenta Ahorro-Inversión-Financi'!BP15-'Cuenta Ahorro-Inversión-Financi'!BQ15)/1000/'PIB corriente base 1993'!V14)</f>
        <v>0.0570572015353597</v>
      </c>
      <c r="AU48" s="710" t="n">
        <f aca="false">'Cuenta Ahorro-Inversión-Financi'!U48</f>
        <v>0.0584819665329902</v>
      </c>
      <c r="AV48" s="710" t="n">
        <f aca="false">('Cuenta Ahorro-Inversión-Financi'!CH15)/1000/'PIB corriente base 1993'!V14+'Cuenta Ahorro-Inversión-Financi'!Y48</f>
        <v>0.00868157830525175</v>
      </c>
      <c r="AW48" s="710" t="n">
        <f aca="false">'Cuenta Ahorro-Inversión-Financi'!AP48-'Cuenta Ahorro-Inversión-Financi'!AT48</f>
        <v>-0.0321516368666459</v>
      </c>
      <c r="AX48" s="710" t="n">
        <f aca="false">'Cuenta Ahorro-Inversión-Financi'!AO48-'Cuenta Ahorro-Inversión-Financi'!AU48</f>
        <v>-0.012137170742735</v>
      </c>
      <c r="AY48" s="710" t="n">
        <f aca="false">'Cuenta Ahorro-Inversión-Financi'!AO48+'Cuenta Ahorro-Inversión-Financi'!AQ48+'Cuenta Ahorro-Inversión-Financi'!AR48-'Cuenta Ahorro-Inversión-Financi'!AU48-'Cuenta Ahorro-Inversión-Financi'!AV48</f>
        <v>-0.0077596880146275</v>
      </c>
      <c r="AZ48" s="710" t="n">
        <f aca="false">'Cuenta Ahorro-Inversión-Financi'!AY48</f>
        <v>-0.0077596880146275</v>
      </c>
      <c r="BA48" s="456" t="n">
        <f aca="false">AU48+AV48</f>
        <v>0.0671635448382419</v>
      </c>
      <c r="BB48" s="456" t="n">
        <v>-0.0121460716327388</v>
      </c>
      <c r="BC48" s="456" t="n">
        <v>-0.012137170742735</v>
      </c>
      <c r="BF48" s="456" t="n">
        <f aca="false">'Cuenta Ahorro-Inversión-Financi'!BS30/'Cuenta Ahorro-Inversión-Financi'!BF30</f>
        <v>0.0360495702062939</v>
      </c>
      <c r="BI48" s="1" t="s">
        <v>979</v>
      </c>
      <c r="BJ48" s="456" t="n">
        <f aca="false">('Cuenta Ahorro-Inversión-Financi'!BP33)/'Cuenta Ahorro-Inversión-Financi'!BN33</f>
        <v>0.234914513092994</v>
      </c>
      <c r="CA48" s="563"/>
      <c r="CB48" s="563"/>
      <c r="CC48" s="563"/>
      <c r="CD48" s="563"/>
      <c r="CE48" s="563"/>
      <c r="CF48" s="563"/>
      <c r="CG48" s="563"/>
      <c r="CH48" s="563"/>
      <c r="CI48" s="563"/>
      <c r="CJ48" s="563"/>
      <c r="CK48" s="563"/>
      <c r="CL48" s="563"/>
      <c r="CM48" s="563"/>
    </row>
    <row r="49" customFormat="false" ht="15.75" hidden="false" customHeight="true" outlineLevel="0" collapsed="false">
      <c r="A49" s="703"/>
      <c r="B49" s="703"/>
      <c r="C49" s="703"/>
      <c r="D49" s="703"/>
      <c r="E49" s="705" t="n">
        <v>2000</v>
      </c>
      <c r="F49" s="713" t="n">
        <f aca="false">'Cuenta Ahorro-Inversión-Financi'!U16/'PIB corriente base 1993'!V15/1000</f>
        <v>0.0236198765665383</v>
      </c>
      <c r="G49" s="713" t="n">
        <f aca="false">('Cuenta Ahorro-Inversión-Financi'!G16+'Cuenta Ahorro-Inversión-Financi'!S16)/'PIB corriente base 1993'!V15/1000</f>
        <v>0.023556870770298</v>
      </c>
      <c r="H49" s="713" t="n">
        <f aca="false">'Cuenta Ahorro-Inversión-Financi'!X16/'PIB corriente base 1993'!V15/1000</f>
        <v>5.08058139376392E-006</v>
      </c>
      <c r="I49" s="713" t="n">
        <f aca="false">('Cuenta Ahorro-Inversión-Financi'!F16-'Cuenta Ahorro-Inversión-Financi'!V16)/'PIB corriente base 1993'!V15/1000</f>
        <v>0.04718182791823</v>
      </c>
      <c r="J49" s="713" t="n">
        <f aca="false">'Cuenta Ahorro-Inversión-Financi'!F16/'PIB corriente base 1993'!V15/1000</f>
        <v>0.054583562219837</v>
      </c>
      <c r="K49" s="713" t="n">
        <f aca="false">'Cuenta Ahorro-Inversión-Financi'!T16/'PIB corriente base 1993'!V15/1000</f>
        <v>0.0310216108681453</v>
      </c>
      <c r="L49" s="713" t="n">
        <f aca="false">'Cuenta Ahorro-Inversión-Financi'!AI16/'PIB corriente base 1993'!V15/1000</f>
        <v>0.0132482904466693</v>
      </c>
      <c r="M49" s="713" t="n">
        <f aca="false">'Cuenta Ahorro-Inversión-Financi'!AO16/'PIB corriente base 1993'!V15/1000</f>
        <v>0.00482449701758396</v>
      </c>
      <c r="N49" s="718" t="n">
        <f aca="false">'Cuenta Ahorro-Inversión-Financi'!AG16/'PIB corriente base 1993'!V15/1000</f>
        <v>0.054875592705221</v>
      </c>
      <c r="O49" s="718" t="n">
        <f aca="false">'Cuenta Ahorro-Inversión-Financi'!M49+'Cuenta Ahorro-Inversión-Financi'!I49</f>
        <v>0.052006324935814</v>
      </c>
      <c r="P49" s="703"/>
      <c r="Q49" s="714" t="n">
        <v>2000</v>
      </c>
      <c r="R49" s="713" t="n">
        <f aca="false">'Cuenta Ahorro-Inversión-Financi'!BF16/1000/'PIB corriente base 1993'!V15</f>
        <v>0.0518501300658357</v>
      </c>
      <c r="S49" s="713"/>
      <c r="T49" s="713" t="n">
        <f aca="false">'Cuenta Ahorro-Inversión-Financi'!BR16/1000/'PIB corriente base 1993'!V15</f>
        <v>0.00613084017631838</v>
      </c>
      <c r="U49" s="713" t="n">
        <f aca="false">'Cuenta Ahorro-Inversión-Financi'!T49+'Cuenta Ahorro-Inversión-Financi'!R49+(('Cuenta Ahorro-Inversión-Financi'!AY16+'Cuenta Ahorro-Inversión-Financi'!BC16)/1000/'PIB corriente base 1993'!V15)</f>
        <v>0.0587448693895881</v>
      </c>
      <c r="V49" s="713" t="n">
        <f aca="false">'Cuenta Ahorro-Inversión-Financi'!BN16/1000/'PIB corriente base 1993'!V15</f>
        <v>0.014655603363751</v>
      </c>
      <c r="W49" s="713" t="n">
        <f aca="false">'Cuenta Ahorro-Inversión-Financi'!AX16/1000/'PIB corriente base 1993'!V15</f>
        <v>0.0672696325770207</v>
      </c>
      <c r="X49" s="713" t="n">
        <f aca="false">W49</f>
        <v>0.0672696325770207</v>
      </c>
      <c r="Y49" s="713"/>
      <c r="Z49" s="713" t="n">
        <f aca="false">('Cuenta Ahorro-Inversión-Financi'!CG16)/1000/'PIB corriente base 1993'!V15</f>
        <v>0.0672878171489847</v>
      </c>
      <c r="AA49" s="713" t="n">
        <f aca="false">('Cuenta Ahorro-Inversión-Financi'!CG16-'Cuenta Ahorro-Inversión-Financi'!AY16)/1000/'PIB corriente base 1993'!V15</f>
        <v>0.0665298996258745</v>
      </c>
      <c r="AB49" s="703"/>
      <c r="AC49" s="715" t="n">
        <v>2000</v>
      </c>
      <c r="AD49" s="713" t="n">
        <f aca="false">'Cuenta Ahorro-Inversión-Financi'!J49-'Cuenta Ahorro-Inversión-Financi'!X49</f>
        <v>-0.0126860703571837</v>
      </c>
      <c r="AE49" s="713" t="n">
        <f aca="false">'Cuenta Ahorro-Inversión-Financi'!F49-'Cuenta Ahorro-Inversión-Financi'!R49</f>
        <v>-0.0282302534992974</v>
      </c>
      <c r="AF49" s="713" t="n">
        <f aca="false">'Cuenta Ahorro-Inversión-Financi'!I49-'Cuenta Ahorro-Inversión-Financi'!U49-'Cuenta Ahorro-Inversión-Financi'!H49</f>
        <v>-0.0115681220527518</v>
      </c>
      <c r="AG49" s="713" t="n">
        <f aca="false">'Cuenta Ahorro-Inversión-Financi'!I49-'Cuenta Ahorro-Inversión-Financi'!U49</f>
        <v>-0.011563041471358</v>
      </c>
      <c r="AH49" s="713" t="n">
        <f aca="false">'Cuenta Ahorro-Inversión-Financi'!O49-'Cuenta Ahorro-Inversión-Financi'!U49</f>
        <v>-0.00673854445377408</v>
      </c>
      <c r="AI49" s="713" t="n">
        <f aca="false">'Cuenta Ahorro-Inversión-Financi'!F49-('Cuenta Ahorro-Inversión-Financi'!BF16+'Cuenta Ahorro-Inversión-Financi'!BR16)/'PIB corriente base 1993'!V15/1000</f>
        <v>-0.0343610936756157</v>
      </c>
      <c r="AJ49" s="456" t="n">
        <f aca="false">'Cuenta Ahorro-Inversión-Financi'!AH49-'Cuenta Ahorro-Inversión-Financi'!H49</f>
        <v>-0.00674362503516784</v>
      </c>
      <c r="AN49" s="711" t="n">
        <f aca="false">'Cuenta Ahorro-Inversión-Financi'!AN50-1</f>
        <v>2000</v>
      </c>
      <c r="AO49" s="713" t="n">
        <f aca="false">'Cuenta Ahorro-Inversión-Financi'!I49</f>
        <v>0.04718182791823</v>
      </c>
      <c r="AP49" s="713" t="n">
        <f aca="false">'Cuenta Ahorro-Inversión-Financi'!F49</f>
        <v>0.0236198765665383</v>
      </c>
      <c r="AQ49" s="713" t="n">
        <v>0</v>
      </c>
      <c r="AR49" s="713" t="n">
        <f aca="false">'Cuenta Ahorro-Inversión-Financi'!L49</f>
        <v>0.0132482904466693</v>
      </c>
      <c r="AS49" s="713" t="n">
        <f aca="false">'Cuenta Ahorro-Inversión-Financi'!T49+'Cuenta Ahorro-Inversión-Financi'!R49+(('Cuenta Ahorro-Inversión-Financi'!BC16)/1000/'PIB corriente base 1993'!V15)</f>
        <v>0.0579869518664778</v>
      </c>
      <c r="AT49" s="713" t="n">
        <f aca="false">'Cuenta Ahorro-Inversión-Financi'!T49+'Cuenta Ahorro-Inversión-Financi'!R49+(('Cuenta Ahorro-Inversión-Financi'!BC16-'Cuenta Ahorro-Inversión-Financi'!BP16-'Cuenta Ahorro-Inversión-Financi'!BQ16)/1000/'PIB corriente base 1993'!V15)</f>
        <v>0.0573953731031391</v>
      </c>
      <c r="AU49" s="713" t="n">
        <f aca="false">'Cuenta Ahorro-Inversión-Financi'!U49</f>
        <v>0.0587448693895881</v>
      </c>
      <c r="AV49" s="713" t="n">
        <f aca="false">('Cuenta Ahorro-Inversión-Financi'!CH16)/1000/'PIB corriente base 1993'!V15+'Cuenta Ahorro-Inversión-Financi'!Y49</f>
        <v>0.00842379342908535</v>
      </c>
      <c r="AW49" s="713" t="n">
        <f aca="false">'Cuenta Ahorro-Inversión-Financi'!AP49-'Cuenta Ahorro-Inversión-Financi'!AT49</f>
        <v>-0.0337754965366008</v>
      </c>
      <c r="AX49" s="713" t="n">
        <f aca="false">'Cuenta Ahorro-Inversión-Financi'!AO49-'Cuenta Ahorro-Inversión-Financi'!AU49</f>
        <v>-0.011563041471358</v>
      </c>
      <c r="AY49" s="713" t="n">
        <f aca="false">'Cuenta Ahorro-Inversión-Financi'!AO49+'Cuenta Ahorro-Inversión-Financi'!AQ49+'Cuenta Ahorro-Inversión-Financi'!AR49-'Cuenta Ahorro-Inversión-Financi'!AU49-'Cuenta Ahorro-Inversión-Financi'!AV49</f>
        <v>-0.00673854445377408</v>
      </c>
      <c r="AZ49" s="713" t="n">
        <f aca="false">'Cuenta Ahorro-Inversión-Financi'!AY49</f>
        <v>-0.00673854445377408</v>
      </c>
      <c r="BA49" s="456" t="n">
        <f aca="false">AU49+AV49</f>
        <v>0.0671686628186734</v>
      </c>
      <c r="BB49" s="456" t="n">
        <v>-0.0115681220527519</v>
      </c>
      <c r="BC49" s="456" t="n">
        <v>-0.0115630414713581</v>
      </c>
      <c r="BF49" s="456" t="n">
        <f aca="false">'Cuenta Ahorro-Inversión-Financi'!BS31/'Cuenta Ahorro-Inversión-Financi'!BF31</f>
        <v>0.0358135732666865</v>
      </c>
      <c r="CA49" s="563"/>
      <c r="CB49" s="563"/>
      <c r="CC49" s="563"/>
      <c r="CD49" s="563"/>
      <c r="CE49" s="563"/>
      <c r="CF49" s="563"/>
      <c r="CG49" s="563"/>
      <c r="CH49" s="563"/>
      <c r="CI49" s="563"/>
      <c r="CJ49" s="563"/>
      <c r="CK49" s="563"/>
      <c r="CL49" s="563"/>
      <c r="CM49" s="563"/>
    </row>
    <row r="50" customFormat="false" ht="15.75" hidden="false" customHeight="true" outlineLevel="0" collapsed="false">
      <c r="A50" s="703"/>
      <c r="B50" s="703"/>
      <c r="C50" s="703"/>
      <c r="D50" s="703"/>
      <c r="E50" s="705" t="n">
        <v>2001</v>
      </c>
      <c r="F50" s="706" t="n">
        <f aca="false">'Cuenta Ahorro-Inversión-Financi'!U17/'PIB corriente base 1993'!V16/1000</f>
        <v>0.0238758696338049</v>
      </c>
      <c r="G50" s="706" t="n">
        <f aca="false">('Cuenta Ahorro-Inversión-Financi'!G17+'Cuenta Ahorro-Inversión-Financi'!S17)/'PIB corriente base 1993'!V16/1000</f>
        <v>0.0214457736331774</v>
      </c>
      <c r="H50" s="706" t="n">
        <f aca="false">'Cuenta Ahorro-Inversión-Financi'!X17/'PIB corriente base 1993'!V16/1000</f>
        <v>1.27950379999639E-006</v>
      </c>
      <c r="I50" s="706" t="n">
        <f aca="false">('Cuenta Ahorro-Inversión-Financi'!F17-'Cuenta Ahorro-Inversión-Financi'!V17)/'PIB corriente base 1993'!V16/1000</f>
        <v>0.0453229227707823</v>
      </c>
      <c r="J50" s="706" t="n">
        <f aca="false">'Cuenta Ahorro-Inversión-Financi'!F17/'PIB corriente base 1993'!V16/1000</f>
        <v>0.0507931667444309</v>
      </c>
      <c r="K50" s="706" t="n">
        <f aca="false">'Cuenta Ahorro-Inversión-Financi'!T17/'PIB corriente base 1993'!V16/1000</f>
        <v>0.0293461136074535</v>
      </c>
      <c r="L50" s="706" t="n">
        <f aca="false">'Cuenta Ahorro-Inversión-Financi'!AI17/'PIB corriente base 1993'!V16/1000</f>
        <v>0.0124450443431941</v>
      </c>
      <c r="M50" s="706" t="n">
        <f aca="false">'Cuenta Ahorro-Inversión-Financi'!AO17/'PIB corriente base 1993'!V16/1000</f>
        <v>0.0039388708840709</v>
      </c>
      <c r="N50" s="706" t="n">
        <f aca="false">'Cuenta Ahorro-Inversión-Financi'!AG17/'PIB corriente base 1993'!V16/1000</f>
        <v>0.0508109480158158</v>
      </c>
      <c r="O50" s="706" t="n">
        <f aca="false">'Cuenta Ahorro-Inversión-Financi'!M50+'Cuenta Ahorro-Inversión-Financi'!I50</f>
        <v>0.0492617936548532</v>
      </c>
      <c r="P50" s="703"/>
      <c r="Q50" s="714" t="n">
        <v>2001</v>
      </c>
      <c r="R50" s="722" t="n">
        <f aca="false">'Cuenta Ahorro-Inversión-Financi'!BF17/1000/'PIB corriente base 1993'!V16</f>
        <v>0.0525215308255347</v>
      </c>
      <c r="S50" s="722"/>
      <c r="T50" s="722" t="n">
        <f aca="false">'Cuenta Ahorro-Inversión-Financi'!BR17/1000/'PIB corriente base 1993'!V16</f>
        <v>0.00621669920590712</v>
      </c>
      <c r="U50" s="722" t="n">
        <f aca="false">'Cuenta Ahorro-Inversión-Financi'!T50+'Cuenta Ahorro-Inversión-Financi'!R50+(('Cuenta Ahorro-Inversión-Financi'!AY17+'Cuenta Ahorro-Inversión-Financi'!BC17)/1000/'PIB corriente base 1993'!V16)</f>
        <v>0.0594267223921134</v>
      </c>
      <c r="V50" s="722" t="n">
        <f aca="false">'Cuenta Ahorro-Inversión-Financi'!BN17/1000/'PIB corriente base 1993'!V16</f>
        <v>0.0137770801877703</v>
      </c>
      <c r="W50" s="708" t="n">
        <f aca="false">'Cuenta Ahorro-Inversión-Financi'!AX17/1000/'PIB corriente base 1993'!V16</f>
        <v>0.0669871033739766</v>
      </c>
      <c r="X50" s="708" t="n">
        <f aca="false">W50</f>
        <v>0.0669871033739766</v>
      </c>
      <c r="Y50" s="708"/>
      <c r="Z50" s="708" t="n">
        <f aca="false">('Cuenta Ahorro-Inversión-Financi'!CG17)/1000/'PIB corriente base 1993'!V16</f>
        <v>0.0670031949985773</v>
      </c>
      <c r="AA50" s="708" t="n">
        <f aca="false">('Cuenta Ahorro-Inversión-Financi'!CG17-'Cuenta Ahorro-Inversión-Financi'!AY17)/1000/'PIB corriente base 1993'!V16</f>
        <v>0.066314774894094</v>
      </c>
      <c r="AB50" s="703"/>
      <c r="AC50" s="715" t="n">
        <v>2001</v>
      </c>
      <c r="AD50" s="710" t="n">
        <f aca="false">'Cuenta Ahorro-Inversión-Financi'!J50-'Cuenta Ahorro-Inversión-Financi'!X50</f>
        <v>-0.0161939366295456</v>
      </c>
      <c r="AE50" s="710" t="n">
        <f aca="false">'Cuenta Ahorro-Inversión-Financi'!F50-'Cuenta Ahorro-Inversión-Financi'!R50</f>
        <v>-0.0286456611917298</v>
      </c>
      <c r="AF50" s="710" t="n">
        <f aca="false">'Cuenta Ahorro-Inversión-Financi'!I50-'Cuenta Ahorro-Inversión-Financi'!U50-'Cuenta Ahorro-Inversión-Financi'!H50</f>
        <v>-0.0141050791251311</v>
      </c>
      <c r="AG50" s="710" t="n">
        <f aca="false">'Cuenta Ahorro-Inversión-Financi'!I50-'Cuenta Ahorro-Inversión-Financi'!U50</f>
        <v>-0.0141037996213311</v>
      </c>
      <c r="AH50" s="710" t="n">
        <f aca="false">'Cuenta Ahorro-Inversión-Financi'!O50-'Cuenta Ahorro-Inversión-Financi'!U50</f>
        <v>-0.0101649287372602</v>
      </c>
      <c r="AI50" s="710" t="n">
        <f aca="false">'Cuenta Ahorro-Inversión-Financi'!F50-('Cuenta Ahorro-Inversión-Financi'!BF17+'Cuenta Ahorro-Inversión-Financi'!BR17)/'PIB corriente base 1993'!V16/1000</f>
        <v>-0.0348623603976369</v>
      </c>
      <c r="AJ50" s="456" t="n">
        <f aca="false">'Cuenta Ahorro-Inversión-Financi'!AH50-'Cuenta Ahorro-Inversión-Financi'!H50</f>
        <v>-0.0101662082410602</v>
      </c>
      <c r="AN50" s="711" t="n">
        <f aca="false">'Cuenta Ahorro-Inversión-Financi'!AN51-1</f>
        <v>2001</v>
      </c>
      <c r="AO50" s="710" t="n">
        <f aca="false">'Cuenta Ahorro-Inversión-Financi'!I50</f>
        <v>0.0453229227707823</v>
      </c>
      <c r="AP50" s="710" t="n">
        <f aca="false">'Cuenta Ahorro-Inversión-Financi'!F50</f>
        <v>0.0238758696338049</v>
      </c>
      <c r="AQ50" s="710" t="n">
        <v>0</v>
      </c>
      <c r="AR50" s="710" t="n">
        <f aca="false">'Cuenta Ahorro-Inversión-Financi'!L50</f>
        <v>0.0124450443431941</v>
      </c>
      <c r="AS50" s="710" t="n">
        <f aca="false">'Cuenta Ahorro-Inversión-Financi'!T50+'Cuenta Ahorro-Inversión-Financi'!R50+(('Cuenta Ahorro-Inversión-Financi'!BC17)/1000/'PIB corriente base 1993'!V16)</f>
        <v>0.0587383022876302</v>
      </c>
      <c r="AT50" s="710" t="n">
        <f aca="false">'Cuenta Ahorro-Inversión-Financi'!T50+'Cuenta Ahorro-Inversión-Financi'!R50+(('Cuenta Ahorro-Inversión-Financi'!BC17-'Cuenta Ahorro-Inversión-Financi'!BP17-'Cuenta Ahorro-Inversión-Financi'!BQ17)/1000/'PIB corriente base 1993'!V16)</f>
        <v>0.0582083672867225</v>
      </c>
      <c r="AU50" s="710" t="n">
        <f aca="false">'Cuenta Ahorro-Inversión-Financi'!U50</f>
        <v>0.0594267223921134</v>
      </c>
      <c r="AV50" s="710" t="n">
        <f aca="false">('Cuenta Ahorro-Inversión-Financi'!CH17)/1000/'PIB corriente base 1993'!V16+'Cuenta Ahorro-Inversión-Financi'!Y50</f>
        <v>0.00850617345912317</v>
      </c>
      <c r="AW50" s="710" t="n">
        <f aca="false">'Cuenta Ahorro-Inversión-Financi'!AP50-'Cuenta Ahorro-Inversión-Financi'!AT50</f>
        <v>-0.0343324976529175</v>
      </c>
      <c r="AX50" s="710" t="n">
        <f aca="false">'Cuenta Ahorro-Inversión-Financi'!AO50-'Cuenta Ahorro-Inversión-Financi'!AU50</f>
        <v>-0.0141037996213311</v>
      </c>
      <c r="AY50" s="710" t="n">
        <f aca="false">'Cuenta Ahorro-Inversión-Financi'!AO50+'Cuenta Ahorro-Inversión-Financi'!AQ50+'Cuenta Ahorro-Inversión-Financi'!AR50-'Cuenta Ahorro-Inversión-Financi'!AU50-'Cuenta Ahorro-Inversión-Financi'!AV50</f>
        <v>-0.0101649287372602</v>
      </c>
      <c r="AZ50" s="710" t="n">
        <f aca="false">'Cuenta Ahorro-Inversión-Financi'!AY50</f>
        <v>-0.0101649287372602</v>
      </c>
      <c r="BA50" s="456" t="n">
        <f aca="false">AU50+AV50</f>
        <v>0.0679328958512366</v>
      </c>
      <c r="BB50" s="456" t="n">
        <v>-0.0141050791251311</v>
      </c>
      <c r="BC50" s="456" t="n">
        <v>-0.0141037996213311</v>
      </c>
      <c r="BF50" s="456" t="n">
        <f aca="false">'Cuenta Ahorro-Inversión-Financi'!BS32/'Cuenta Ahorro-Inversión-Financi'!BF32</f>
        <v>0.0359144456567929</v>
      </c>
      <c r="BI50" s="1" t="s">
        <v>980</v>
      </c>
      <c r="BX50" s="1" t="n">
        <f aca="false">'Cuenta Ahorro-Inversión-Financi'!BF13+'Cuenta Ahorro-Inversión-Financi'!BS13</f>
        <v>16496294.74536</v>
      </c>
      <c r="BY50" s="456" t="n">
        <f aca="false">'Cuenta Ahorro-Inversión-Financi'!BS13/'Cuenta Ahorro-Inversión-Financi'!BX50</f>
        <v>0.111178417794449</v>
      </c>
      <c r="CA50" s="563"/>
      <c r="CB50" s="563"/>
      <c r="CC50" s="563"/>
      <c r="CD50" s="563"/>
      <c r="CE50" s="563"/>
      <c r="CF50" s="563"/>
      <c r="CG50" s="563"/>
      <c r="CH50" s="563"/>
      <c r="CI50" s="563"/>
      <c r="CJ50" s="563"/>
      <c r="CK50" s="563"/>
      <c r="CL50" s="563"/>
      <c r="CM50" s="563"/>
    </row>
    <row r="51" customFormat="false" ht="15.75" hidden="false" customHeight="true" outlineLevel="0" collapsed="false">
      <c r="A51" s="703"/>
      <c r="B51" s="703"/>
      <c r="C51" s="703"/>
      <c r="D51" s="703"/>
      <c r="E51" s="705" t="n">
        <v>2002</v>
      </c>
      <c r="F51" s="713" t="n">
        <f aca="false">'Cuenta Ahorro-Inversión-Financi'!U18/'PIB corriente base 1993'!V17/1000</f>
        <v>0.0204511996433966</v>
      </c>
      <c r="G51" s="713" t="n">
        <f aca="false">('Cuenta Ahorro-Inversión-Financi'!G18+'Cuenta Ahorro-Inversión-Financi'!S18)/'PIB corriente base 1993'!V17/1000</f>
        <v>0.0170555199717405</v>
      </c>
      <c r="H51" s="713" t="n">
        <f aca="false">'Cuenta Ahorro-Inversión-Financi'!X18/'PIB corriente base 1993'!V17/1000</f>
        <v>1.71830895387883E-005</v>
      </c>
      <c r="I51" s="713" t="n">
        <f aca="false">('Cuenta Ahorro-Inversión-Financi'!F18-'Cuenta Ahorro-Inversión-Financi'!V18)/'PIB corriente base 1993'!V17/1000</f>
        <v>0.0375241039760657</v>
      </c>
      <c r="J51" s="713" t="n">
        <f aca="false">'Cuenta Ahorro-Inversión-Financi'!F18/'PIB corriente base 1993'!V17/1000</f>
        <v>0.0425755916753143</v>
      </c>
      <c r="K51" s="713" t="n">
        <f aca="false">'Cuenta Ahorro-Inversión-Financi'!T18/'PIB corriente base 1993'!V17/1000</f>
        <v>0.0255026873426452</v>
      </c>
      <c r="L51" s="713" t="n">
        <f aca="false">'Cuenta Ahorro-Inversión-Financi'!AI18/'PIB corriente base 1993'!V17/1000</f>
        <v>0.00963695804700716</v>
      </c>
      <c r="M51" s="713" t="n">
        <f aca="false">'Cuenta Ahorro-Inversión-Financi'!AO18/'PIB corriente base 1993'!V17/1000</f>
        <v>0.00283823010803953</v>
      </c>
      <c r="N51" s="718" t="n">
        <f aca="false">'Cuenta Ahorro-Inversión-Financi'!AG18/'PIB corriente base 1993'!V17/1000</f>
        <v>0.0425896269595964</v>
      </c>
      <c r="O51" s="718" t="n">
        <f aca="false">'Cuenta Ahorro-Inversión-Financi'!M51+'Cuenta Ahorro-Inversión-Financi'!I51</f>
        <v>0.0403623340841053</v>
      </c>
      <c r="P51" s="703"/>
      <c r="Q51" s="714" t="n">
        <v>2002</v>
      </c>
      <c r="R51" s="713" t="n">
        <f aca="false">'Cuenta Ahorro-Inversión-Financi'!BF18/1000/'PIB corriente base 1993'!V17</f>
        <v>0.0443421627477132</v>
      </c>
      <c r="S51" s="713"/>
      <c r="T51" s="713" t="n">
        <f aca="false">'Cuenta Ahorro-Inversión-Financi'!BR18/1000/'PIB corriente base 1993'!V17</f>
        <v>0.00678591755475529</v>
      </c>
      <c r="U51" s="713" t="n">
        <f aca="false">'Cuenta Ahorro-Inversión-Financi'!T51+'Cuenta Ahorro-Inversión-Financi'!R51+(('Cuenta Ahorro-Inversión-Financi'!AY18+'Cuenta Ahorro-Inversión-Financi'!BC18)/1000/'PIB corriente base 1993'!V17)</f>
        <v>0.0518021958823888</v>
      </c>
      <c r="V51" s="713" t="n">
        <f aca="false">'Cuenta Ahorro-Inversión-Financi'!BN18/1000/'PIB corriente base 1993'!V17</f>
        <v>0.0135383031668524</v>
      </c>
      <c r="W51" s="713" t="n">
        <f aca="false">'Cuenta Ahorro-Inversión-Financi'!AX18/1000/'PIB corriente base 1993'!V17</f>
        <v>0.0585545814944859</v>
      </c>
      <c r="X51" s="713" t="n">
        <f aca="false">W51</f>
        <v>0.0585545814944859</v>
      </c>
      <c r="Y51" s="713"/>
      <c r="Z51" s="713" t="n">
        <f aca="false">('Cuenta Ahorro-Inversión-Financi'!CG18)/1000/'PIB corriente base 1993'!V17</f>
        <v>0.0585599215640098</v>
      </c>
      <c r="AA51" s="713" t="n">
        <f aca="false">('Cuenta Ahorro-Inversión-Financi'!CG18-'Cuenta Ahorro-Inversión-Financi'!AY18)/1000/'PIB corriente base 1993'!V17</f>
        <v>0.0578858059840895</v>
      </c>
      <c r="AB51" s="703"/>
      <c r="AC51" s="715" t="n">
        <v>2002</v>
      </c>
      <c r="AD51" s="713" t="n">
        <f aca="false">'Cuenta Ahorro-Inversión-Financi'!J51-'Cuenta Ahorro-Inversión-Financi'!X51</f>
        <v>-0.0159789898191716</v>
      </c>
      <c r="AE51" s="713" t="n">
        <f aca="false">'Cuenta Ahorro-Inversión-Financi'!F51-'Cuenta Ahorro-Inversión-Financi'!R51</f>
        <v>-0.0238909631043166</v>
      </c>
      <c r="AF51" s="713" t="n">
        <f aca="false">'Cuenta Ahorro-Inversión-Financi'!I51-'Cuenta Ahorro-Inversión-Financi'!U51-'Cuenta Ahorro-Inversión-Financi'!H51</f>
        <v>-0.0142952749958618</v>
      </c>
      <c r="AG51" s="713" t="n">
        <f aca="false">'Cuenta Ahorro-Inversión-Financi'!I51-'Cuenta Ahorro-Inversión-Financi'!U51</f>
        <v>-0.014278091906323</v>
      </c>
      <c r="AH51" s="713" t="n">
        <f aca="false">'Cuenta Ahorro-Inversión-Financi'!O51-'Cuenta Ahorro-Inversión-Financi'!U51</f>
        <v>-0.0114398617982835</v>
      </c>
      <c r="AI51" s="713" t="n">
        <f aca="false">'Cuenta Ahorro-Inversión-Financi'!F51-('Cuenta Ahorro-Inversión-Financi'!BF18+'Cuenta Ahorro-Inversión-Financi'!BR18)/'PIB corriente base 1993'!V17/1000</f>
        <v>-0.0306768806590719</v>
      </c>
      <c r="AJ51" s="456" t="n">
        <f aca="false">'Cuenta Ahorro-Inversión-Financi'!AH51-'Cuenta Ahorro-Inversión-Financi'!H51</f>
        <v>-0.0114570448878223</v>
      </c>
      <c r="AN51" s="711" t="n">
        <f aca="false">'Cuenta Ahorro-Inversión-Financi'!AN52-1</f>
        <v>2002</v>
      </c>
      <c r="AO51" s="713" t="n">
        <f aca="false">'Cuenta Ahorro-Inversión-Financi'!I51</f>
        <v>0.0375241039760657</v>
      </c>
      <c r="AP51" s="713" t="n">
        <f aca="false">'Cuenta Ahorro-Inversión-Financi'!F51</f>
        <v>0.0204511996433966</v>
      </c>
      <c r="AQ51" s="713" t="n">
        <v>0</v>
      </c>
      <c r="AR51" s="713" t="n">
        <f aca="false">'Cuenta Ahorro-Inversión-Financi'!L51</f>
        <v>0.00963695804700716</v>
      </c>
      <c r="AS51" s="713" t="n">
        <f aca="false">'Cuenta Ahorro-Inversión-Financi'!T51+'Cuenta Ahorro-Inversión-Financi'!R51+(('Cuenta Ahorro-Inversión-Financi'!BC18)/1000/'PIB corriente base 1993'!V17)</f>
        <v>0.0511280803024685</v>
      </c>
      <c r="AT51" s="713" t="n">
        <f aca="false">'Cuenta Ahorro-Inversión-Financi'!T51+'Cuenta Ahorro-Inversión-Financi'!R51+(('Cuenta Ahorro-Inversión-Financi'!BC18-'Cuenta Ahorro-Inversión-Financi'!BP18-'Cuenta Ahorro-Inversión-Financi'!BQ18)/1000/'PIB corriente base 1993'!V17)</f>
        <v>0.0501515392156605</v>
      </c>
      <c r="AU51" s="713" t="n">
        <f aca="false">'Cuenta Ahorro-Inversión-Financi'!U51</f>
        <v>0.0518021958823888</v>
      </c>
      <c r="AV51" s="713" t="n">
        <f aca="false">('Cuenta Ahorro-Inversión-Financi'!CH18)/1000/'PIB corriente base 1993'!V17+'Cuenta Ahorro-Inversión-Financi'!Y51</f>
        <v>0.00679872793896764</v>
      </c>
      <c r="AW51" s="713" t="n">
        <f aca="false">'Cuenta Ahorro-Inversión-Financi'!AP51-'Cuenta Ahorro-Inversión-Financi'!AT51</f>
        <v>-0.0297003395722639</v>
      </c>
      <c r="AX51" s="713" t="n">
        <f aca="false">'Cuenta Ahorro-Inversión-Financi'!AO51-'Cuenta Ahorro-Inversión-Financi'!AU51</f>
        <v>-0.014278091906323</v>
      </c>
      <c r="AY51" s="713" t="n">
        <f aca="false">'Cuenta Ahorro-Inversión-Financi'!AO51+'Cuenta Ahorro-Inversión-Financi'!AQ51+'Cuenta Ahorro-Inversión-Financi'!AR51-'Cuenta Ahorro-Inversión-Financi'!AU51-'Cuenta Ahorro-Inversión-Financi'!AV51</f>
        <v>-0.0114398617982835</v>
      </c>
      <c r="AZ51" s="713" t="n">
        <f aca="false">'Cuenta Ahorro-Inversión-Financi'!AY51</f>
        <v>-0.0114398617982835</v>
      </c>
      <c r="BA51" s="456" t="n">
        <f aca="false">AU51+AV51</f>
        <v>0.0586009238213564</v>
      </c>
      <c r="BB51" s="456" t="n">
        <v>-0.0142952749958619</v>
      </c>
      <c r="BC51" s="456" t="n">
        <v>-0.0142780919063231</v>
      </c>
      <c r="BI51" s="1" t="s">
        <v>981</v>
      </c>
      <c r="BX51" s="1" t="n">
        <f aca="false">'Cuenta Ahorro-Inversión-Financi'!BF14+'Cuenta Ahorro-Inversión-Financi'!BS14</f>
        <v>16764543.50543</v>
      </c>
      <c r="BY51" s="456" t="n">
        <f aca="false">'Cuenta Ahorro-Inversión-Financi'!BS14/'Cuenta Ahorro-Inversión-Financi'!BX51</f>
        <v>0.122828722239472</v>
      </c>
      <c r="CA51" s="563"/>
      <c r="CB51" s="563"/>
      <c r="CC51" s="563"/>
      <c r="CD51" s="563"/>
      <c r="CE51" s="563"/>
      <c r="CF51" s="563"/>
      <c r="CG51" s="563"/>
      <c r="CH51" s="563"/>
      <c r="CI51" s="563"/>
      <c r="CJ51" s="563"/>
      <c r="CK51" s="563"/>
      <c r="CL51" s="563"/>
      <c r="CM51" s="563"/>
    </row>
    <row r="52" customFormat="false" ht="15.75" hidden="false" customHeight="true" outlineLevel="0" collapsed="false">
      <c r="A52" s="703"/>
      <c r="B52" s="703"/>
      <c r="C52" s="703"/>
      <c r="D52" s="703" t="s">
        <v>982</v>
      </c>
      <c r="E52" s="705" t="n">
        <v>2003</v>
      </c>
      <c r="F52" s="706" t="n">
        <f aca="false">'Cuenta Ahorro-Inversión-Financi'!T19/'PIB corriente base 1993'!V18/1000</f>
        <v>0.0204726739831029</v>
      </c>
      <c r="G52" s="706" t="n">
        <f aca="false">('Cuenta Ahorro-Inversión-Financi'!G19+'Cuenta Ahorro-Inversión-Financi'!S19)/'PIB corriente base 1993'!V18/1000</f>
        <v>0.0198553916144812</v>
      </c>
      <c r="H52" s="706" t="n">
        <f aca="false">'Cuenta Ahorro-Inversión-Financi'!X19/'PIB corriente base 1993'!V18/1000</f>
        <v>5.45970901702129E-006</v>
      </c>
      <c r="I52" s="706" t="n">
        <f aca="false">'Cuenta Ahorro-Inversión-Financi'!J52</f>
        <v>0.0403337211014856</v>
      </c>
      <c r="J52" s="706" t="n">
        <f aca="false">'Cuenta Ahorro-Inversión-Financi'!F19/'PIB corriente base 1993'!V18/1000</f>
        <v>0.0403337211014856</v>
      </c>
      <c r="K52" s="706" t="n">
        <f aca="false">'Cuenta Ahorro-Inversión-Financi'!T19/'PIB corriente base 1993'!V18/1000</f>
        <v>0.0204726739831029</v>
      </c>
      <c r="L52" s="706" t="n">
        <f aca="false">'Cuenta Ahorro-Inversión-Financi'!AI19/'PIB corriente base 1993'!V18/1000</f>
        <v>0.0118026727120887</v>
      </c>
      <c r="M52" s="706" t="n">
        <f aca="false">'Cuenta Ahorro-Inversión-Financi'!AO19/'PIB corriente base 1993'!V18/1000</f>
        <v>0.00500649725115281</v>
      </c>
      <c r="N52" s="706" t="n">
        <f aca="false">'Cuenta Ahorro-Inversión-Financi'!AG19/'PIB corriente base 1993'!V18/1000</f>
        <v>0.040337484666497</v>
      </c>
      <c r="O52" s="706" t="n">
        <f aca="false">'Cuenta Ahorro-Inversión-Financi'!M52+'Cuenta Ahorro-Inversión-Financi'!I52</f>
        <v>0.0453402183526384</v>
      </c>
      <c r="P52" s="703"/>
      <c r="Q52" s="714" t="n">
        <v>2003</v>
      </c>
      <c r="R52" s="722" t="n">
        <f aca="false">'Cuenta Ahorro-Inversión-Financi'!BF19/1000/'PIB corriente base 1993'!V18</f>
        <v>0.0414155099169041</v>
      </c>
      <c r="S52" s="722"/>
      <c r="T52" s="722" t="n">
        <f aca="false">'Cuenta Ahorro-Inversión-Financi'!BX19/1000/'PIB corriente base 1993'!V18</f>
        <v>0.00815617118660916</v>
      </c>
      <c r="U52" s="722" t="n">
        <f aca="false">'Cuenta Ahorro-Inversión-Financi'!T52+'Cuenta Ahorro-Inversión-Financi'!R52+(('Cuenta Ahorro-Inversión-Financi'!AY19+'Cuenta Ahorro-Inversión-Financi'!BC19)/1000/'PIB corriente base 1993'!V18)</f>
        <v>0.0502672923467887</v>
      </c>
      <c r="V52" s="722" t="n">
        <f aca="false">'Cuenta Ahorro-Inversión-Financi'!BN19/1000/'PIB corriente base 1993'!V18</f>
        <v>0.00815617118660916</v>
      </c>
      <c r="W52" s="708" t="n">
        <f aca="false">'Cuenta Ahorro-Inversión-Financi'!AX19/1000/'PIB corriente base 1993'!V18</f>
        <v>0.0502672923467887</v>
      </c>
      <c r="X52" s="708" t="n">
        <f aca="false">W52</f>
        <v>0.0502672923467887</v>
      </c>
      <c r="Y52" s="708"/>
      <c r="Z52" s="708" t="n">
        <f aca="false">('Cuenta Ahorro-Inversión-Financi'!CG19)/1000/'PIB corriente base 1993'!V18</f>
        <v>0.0502820708852091</v>
      </c>
      <c r="AA52" s="708" t="n">
        <f aca="false">('Cuenta Ahorro-Inversión-Financi'!CG19-'Cuenta Ahorro-Inversión-Financi'!AY19)/1000/'PIB corriente base 1993'!V18</f>
        <v>0.0495995128169112</v>
      </c>
      <c r="AB52" s="703"/>
      <c r="AC52" s="715" t="n">
        <v>2003</v>
      </c>
      <c r="AD52" s="710" t="n">
        <f aca="false">'Cuenta Ahorro-Inversión-Financi'!J52-'Cuenta Ahorro-Inversión-Financi'!X52</f>
        <v>-0.00993357124530309</v>
      </c>
      <c r="AE52" s="710" t="n">
        <f aca="false">'Cuenta Ahorro-Inversión-Financi'!F52-'Cuenta Ahorro-Inversión-Financi'!R52</f>
        <v>-0.0209428359338012</v>
      </c>
      <c r="AF52" s="710" t="n">
        <f aca="false">'Cuenta Ahorro-Inversión-Financi'!I52-'Cuenta Ahorro-Inversión-Financi'!U52-'Cuenta Ahorro-Inversión-Financi'!H52</f>
        <v>-0.00993903095432011</v>
      </c>
      <c r="AG52" s="710" t="n">
        <f aca="false">'Cuenta Ahorro-Inversión-Financi'!I52-'Cuenta Ahorro-Inversión-Financi'!U52</f>
        <v>-0.00993357124530309</v>
      </c>
      <c r="AH52" s="710" t="n">
        <f aca="false">'Cuenta Ahorro-Inversión-Financi'!O52-'Cuenta Ahorro-Inversión-Financi'!U52</f>
        <v>-0.00492707399415027</v>
      </c>
      <c r="AI52" s="710" t="n">
        <f aca="false">'Cuenta Ahorro-Inversión-Financi'!F52-('Cuenta Ahorro-Inversión-Financi'!BF19+'Cuenta Ahorro-Inversión-Financi'!BR19)/'PIB corriente base 1993'!V18/1000</f>
        <v>-0.0263351569442938</v>
      </c>
      <c r="AJ52" s="456" t="n">
        <f aca="false">'Cuenta Ahorro-Inversión-Financi'!AH52-'Cuenta Ahorro-Inversión-Financi'!H52</f>
        <v>-0.00493253370316729</v>
      </c>
      <c r="AN52" s="711" t="n">
        <v>2003</v>
      </c>
      <c r="AO52" s="710" t="n">
        <f aca="false">'Cuenta Ahorro-Inversión-Financi'!I52</f>
        <v>0.0403337211014856</v>
      </c>
      <c r="AP52" s="710" t="n">
        <f aca="false">'Cuenta Ahorro-Inversión-Financi'!F52</f>
        <v>0.0204726739831029</v>
      </c>
      <c r="AQ52" s="710" t="n">
        <v>0</v>
      </c>
      <c r="AR52" s="710" t="n">
        <f aca="false">'Cuenta Ahorro-Inversión-Financi'!L52</f>
        <v>0.0118026727120887</v>
      </c>
      <c r="AS52" s="710" t="n">
        <f aca="false">'Cuenta Ahorro-Inversión-Financi'!T52+'Cuenta Ahorro-Inversión-Financi'!R52+(('Cuenta Ahorro-Inversión-Financi'!BC19)/1000/'PIB corriente base 1993'!V18)</f>
        <v>0.0495847342784908</v>
      </c>
      <c r="AT52" s="710" t="n">
        <f aca="false">'Cuenta Ahorro-Inversión-Financi'!T52+'Cuenta Ahorro-Inversión-Financi'!R52+(('Cuenta Ahorro-Inversión-Financi'!BC19-'Cuenta Ahorro-Inversión-Financi'!BP19-'Cuenta Ahorro-Inversión-Financi'!BQ19)/1000/'PIB corriente base 1993'!V18)</f>
        <v>0.0482306120192345</v>
      </c>
      <c r="AU52" s="710" t="n">
        <f aca="false">'Cuenta Ahorro-Inversión-Financi'!U52</f>
        <v>0.0502672923467887</v>
      </c>
      <c r="AV52" s="710" t="n">
        <f aca="false">('Cuenta Ahorro-Inversión-Financi'!CH19)/1000/'PIB corriente base 1993'!V18+'Cuenta Ahorro-Inversión-Financi'!Y52</f>
        <v>0.00679617546093593</v>
      </c>
      <c r="AW52" s="710" t="n">
        <f aca="false">'Cuenta Ahorro-Inversión-Financi'!AP52-'Cuenta Ahorro-Inversión-Financi'!AT52</f>
        <v>-0.0277579380361316</v>
      </c>
      <c r="AX52" s="710" t="n">
        <f aca="false">'Cuenta Ahorro-Inversión-Financi'!AO52-'Cuenta Ahorro-Inversión-Financi'!AU52</f>
        <v>-0.00993357124530309</v>
      </c>
      <c r="AY52" s="710" t="n">
        <f aca="false">'Cuenta Ahorro-Inversión-Financi'!AO52+'Cuenta Ahorro-Inversión-Financi'!AQ52+'Cuenta Ahorro-Inversión-Financi'!AR52-'Cuenta Ahorro-Inversión-Financi'!AU52-'Cuenta Ahorro-Inversión-Financi'!AV52</f>
        <v>-0.00492707399415027</v>
      </c>
      <c r="AZ52" s="710" t="n">
        <f aca="false">'Cuenta Ahorro-Inversión-Financi'!AY52</f>
        <v>-0.00492707399415027</v>
      </c>
      <c r="BA52" s="456" t="n">
        <f aca="false">AU52+AV52</f>
        <v>0.0570634678077246</v>
      </c>
      <c r="BB52" s="456" t="n">
        <v>-0.00993903095432012</v>
      </c>
      <c r="BC52" s="456" t="n">
        <v>-0.0099335712453031</v>
      </c>
      <c r="BI52" s="1" t="s">
        <v>983</v>
      </c>
      <c r="BX52" s="1" t="n">
        <f aca="false">'Cuenta Ahorro-Inversión-Financi'!BF15+'Cuenta Ahorro-Inversión-Financi'!BS15</f>
        <v>16749800.15392</v>
      </c>
      <c r="BY52" s="456" t="n">
        <f aca="false">'Cuenta Ahorro-Inversión-Financi'!BS15/'Cuenta Ahorro-Inversión-Financi'!BX52</f>
        <v>0.124035597136589</v>
      </c>
      <c r="CA52" s="563"/>
      <c r="CB52" s="563"/>
      <c r="CC52" s="563"/>
      <c r="CD52" s="563"/>
      <c r="CE52" s="563"/>
      <c r="CF52" s="563"/>
      <c r="CG52" s="563"/>
      <c r="CH52" s="563"/>
      <c r="CI52" s="563"/>
      <c r="CJ52" s="563"/>
      <c r="CK52" s="563"/>
      <c r="CL52" s="563"/>
      <c r="CM52" s="563"/>
      <c r="DC52" s="456"/>
    </row>
    <row r="53" customFormat="false" ht="15.75" hidden="false" customHeight="true" outlineLevel="0" collapsed="false">
      <c r="A53" s="703"/>
      <c r="B53" s="703"/>
      <c r="C53" s="703"/>
      <c r="D53" s="703"/>
      <c r="E53" s="705" t="n">
        <v>2004</v>
      </c>
      <c r="F53" s="713" t="n">
        <f aca="false">'Cuenta Ahorro-Inversión-Financi'!T20/1000/'PIB corriente base 2004'!X8</f>
        <v>0.0198583830686151</v>
      </c>
      <c r="G53" s="713" t="n">
        <f aca="false">('Cuenta Ahorro-Inversión-Financi'!G20+'Cuenta Ahorro-Inversión-Financi'!S20)/1000/'PIB corriente base 2004'!X8</f>
        <v>0.0216742076161843</v>
      </c>
      <c r="H53" s="713" t="n">
        <f aca="false">'Cuenta Ahorro-Inversión-Financi'!X20/1000/'PIB corriente base 2004'!X8</f>
        <v>2.30880969959205E-005</v>
      </c>
      <c r="I53" s="713" t="n">
        <f aca="false">'Cuenta Ahorro-Inversión-Financi'!J53</f>
        <v>0.0415558395127328</v>
      </c>
      <c r="J53" s="713" t="n">
        <f aca="false">'Cuenta Ahorro-Inversión-Financi'!F20/1000/'PIB corriente base 2004'!X8</f>
        <v>0.0415558395127328</v>
      </c>
      <c r="K53" s="713" t="n">
        <f aca="false">'Cuenta Ahorro-Inversión-Financi'!T20/1000/'PIB corriente base 2004'!X8</f>
        <v>0.0198583830686151</v>
      </c>
      <c r="L53" s="713" t="n">
        <f aca="false">'Cuenta Ahorro-Inversión-Financi'!AH20/1000/'PIB corriente base 2004'!X8</f>
        <v>0.0133242836449752</v>
      </c>
      <c r="M53" s="713" t="n">
        <f aca="false">'Cuenta Ahorro-Inversión-Financi'!AO20/1000/'PIB corriente base 2004'!X8</f>
        <v>0.00739046595378507</v>
      </c>
      <c r="N53" s="713" t="n">
        <f aca="false">'Cuenta Ahorro-Inversión-Financi'!AG20/1000/'PIB corriente base 2004'!X8</f>
        <v>0.0415598510203111</v>
      </c>
      <c r="O53" s="713" t="n">
        <f aca="false">'Cuenta Ahorro-Inversión-Financi'!M53+'Cuenta Ahorro-Inversión-Financi'!I53</f>
        <v>0.0489463054665178</v>
      </c>
      <c r="P53" s="703"/>
      <c r="Q53" s="714" t="n">
        <v>2004</v>
      </c>
      <c r="R53" s="713" t="n">
        <f aca="false">'Cuenta Ahorro-Inversión-Financi'!BF20/1000/'PIB corriente base 2004'!X8</f>
        <v>0.036705436096272</v>
      </c>
      <c r="S53" s="713"/>
      <c r="T53" s="713" t="n">
        <f aca="false">'Cuenta Ahorro-Inversión-Financi'!BX20/1000/'PIB corriente base 2004'!X8</f>
        <v>0.00749095381892099</v>
      </c>
      <c r="U53" s="713" t="n">
        <f aca="false">'Cuenta Ahorro-Inversión-Financi'!T53+'Cuenta Ahorro-Inversión-Financi'!R53+(('Cuenta Ahorro-Inversión-Financi'!AY20+'Cuenta Ahorro-Inversión-Financi'!BC20)/1000/'PIB corriente base 2004'!X8)</f>
        <v>0.0448165647494005</v>
      </c>
      <c r="V53" s="713" t="n">
        <f aca="false">'Cuenta Ahorro-Inversión-Financi'!BN20/1000/'PIB corriente base 2004'!X8</f>
        <v>0.00749095381892099</v>
      </c>
      <c r="W53" s="713" t="n">
        <f aca="false">'Cuenta Ahorro-Inversión-Financi'!AX20/1000/'PIB corriente base 2004'!X8</f>
        <v>0.0448165647494005</v>
      </c>
      <c r="X53" s="713" t="n">
        <f aca="false">W53</f>
        <v>0.0448165647494005</v>
      </c>
      <c r="Y53" s="713"/>
      <c r="Z53" s="713" t="n">
        <f aca="false">('Cuenta Ahorro-Inversión-Financi'!CG20)/1000/'PIB corriente base 2004'!X8</f>
        <v>0.0448532585468193</v>
      </c>
      <c r="AA53" s="713" t="n">
        <f aca="false">('Cuenta Ahorro-Inversión-Financi'!CG20-'Cuenta Ahorro-Inversión-Financi'!AY20)/1000/'PIB corriente base 2004'!X8</f>
        <v>0.0442505440198379</v>
      </c>
      <c r="AB53" s="703"/>
      <c r="AC53" s="715" t="n">
        <v>2004</v>
      </c>
      <c r="AD53" s="713" t="n">
        <f aca="false">'Cuenta Ahorro-Inversión-Financi'!J53-'Cuenta Ahorro-Inversión-Financi'!X53</f>
        <v>-0.00326072523666775</v>
      </c>
      <c r="AE53" s="713" t="n">
        <f aca="false">'Cuenta Ahorro-Inversión-Financi'!F53-'Cuenta Ahorro-Inversión-Financi'!R53</f>
        <v>-0.0168470530276568</v>
      </c>
      <c r="AF53" s="713" t="n">
        <f aca="false">'Cuenta Ahorro-Inversión-Financi'!I53-'Cuenta Ahorro-Inversión-Financi'!U53-'Cuenta Ahorro-Inversión-Financi'!H53</f>
        <v>-0.00328381333366368</v>
      </c>
      <c r="AG53" s="713" t="n">
        <f aca="false">'Cuenta Ahorro-Inversión-Financi'!I53-'Cuenta Ahorro-Inversión-Financi'!U53</f>
        <v>-0.00326072523666776</v>
      </c>
      <c r="AH53" s="713" t="n">
        <f aca="false">'Cuenta Ahorro-Inversión-Financi'!O53-'Cuenta Ahorro-Inversión-Financi'!U53</f>
        <v>0.00412974071711731</v>
      </c>
      <c r="AI53" s="713" t="n">
        <f aca="false">'Cuenta Ahorro-Inversión-Financi'!F53-('Cuenta Ahorro-Inversión-Financi'!BF20+'Cuenta Ahorro-Inversión-Financi'!BR20)/'PIB corriente base 2004'!X8/1000</f>
        <v>-0.0228595882527077</v>
      </c>
      <c r="AJ53" s="456" t="n">
        <f aca="false">'Cuenta Ahorro-Inversión-Financi'!AH53-'Cuenta Ahorro-Inversión-Financi'!H53</f>
        <v>0.00410665262012139</v>
      </c>
      <c r="AN53" s="711" t="n">
        <v>2004</v>
      </c>
      <c r="AO53" s="713" t="n">
        <f aca="false">'Cuenta Ahorro-Inversión-Financi'!I53</f>
        <v>0.0415558395127328</v>
      </c>
      <c r="AP53" s="713" t="n">
        <f aca="false">'Cuenta Ahorro-Inversión-Financi'!F53</f>
        <v>0.0198583830686151</v>
      </c>
      <c r="AQ53" s="713" t="n">
        <v>0</v>
      </c>
      <c r="AR53" s="713" t="n">
        <f aca="false">'Cuenta Ahorro-Inversión-Financi'!L53</f>
        <v>0.0133242836449752</v>
      </c>
      <c r="AS53" s="713" t="n">
        <f aca="false">'Cuenta Ahorro-Inversión-Financi'!T53+'Cuenta Ahorro-Inversión-Financi'!R53+(('Cuenta Ahorro-Inversión-Financi'!BC20)/1000/'PIB corriente base 2004'!X8)</f>
        <v>0.0442138502224192</v>
      </c>
      <c r="AT53" s="713" t="n">
        <f aca="false">'Cuenta Ahorro-Inversión-Financi'!T53+'Cuenta Ahorro-Inversión-Financi'!R53+(('Cuenta Ahorro-Inversión-Financi'!BC20-'Cuenta Ahorro-Inversión-Financi'!BP20-'Cuenta Ahorro-Inversión-Financi'!BQ20)/1000/'PIB corriente base 2004'!X8)</f>
        <v>0.0417437519844329</v>
      </c>
      <c r="AU53" s="713" t="n">
        <f aca="false">'Cuenta Ahorro-Inversión-Financi'!U53</f>
        <v>0.0448165647494005</v>
      </c>
      <c r="AV53" s="713" t="n">
        <f aca="false">('Cuenta Ahorro-Inversión-Financi'!CH20)/'PIB corriente base 2004'!X8/1000+'Cuenta Ahorro-Inversión-Financi'!Y53</f>
        <v>0.0062422259511128</v>
      </c>
      <c r="AW53" s="713" t="n">
        <f aca="false">'Cuenta Ahorro-Inversión-Financi'!AP53-'Cuenta Ahorro-Inversión-Financi'!AT53</f>
        <v>-0.0218853689158177</v>
      </c>
      <c r="AX53" s="713" t="n">
        <f aca="false">'Cuenta Ahorro-Inversión-Financi'!AO53-'Cuenta Ahorro-Inversión-Financi'!AU53</f>
        <v>-0.00326072523666776</v>
      </c>
      <c r="AY53" s="713" t="n">
        <f aca="false">'Cuenta Ahorro-Inversión-Financi'!AO53+'Cuenta Ahorro-Inversión-Financi'!AQ53+'Cuenta Ahorro-Inversión-Financi'!AR53-'Cuenta Ahorro-Inversión-Financi'!AU53-'Cuenta Ahorro-Inversión-Financi'!AV53</f>
        <v>0.00382133245719463</v>
      </c>
      <c r="AZ53" s="713" t="n">
        <f aca="false">'Cuenta Ahorro-Inversión-Financi'!AY53</f>
        <v>0.00382133245719463</v>
      </c>
      <c r="BA53" s="456" t="n">
        <f aca="false">AU53+AV53</f>
        <v>0.0510587907005133</v>
      </c>
      <c r="BB53" s="456" t="n">
        <v>-0.00328381465178366</v>
      </c>
      <c r="BC53" s="456" t="n">
        <v>-0.00326072654552019</v>
      </c>
      <c r="BI53" s="1" t="s">
        <v>984</v>
      </c>
      <c r="BX53" s="1" t="n">
        <f aca="false">'Cuenta Ahorro-Inversión-Financi'!BF16+'Cuenta Ahorro-Inversión-Financi'!BS16</f>
        <v>16822291.5973</v>
      </c>
      <c r="BY53" s="456" t="n">
        <f aca="false">'Cuenta Ahorro-Inversión-Financi'!BS16/'Cuenta Ahorro-Inversión-Financi'!BX53</f>
        <v>0.124019414154897</v>
      </c>
      <c r="CA53" s="563"/>
      <c r="CB53" s="563"/>
      <c r="CC53" s="563"/>
      <c r="CD53" s="563"/>
      <c r="CE53" s="563"/>
      <c r="CF53" s="563"/>
      <c r="CG53" s="563"/>
      <c r="CH53" s="563"/>
      <c r="CI53" s="563"/>
      <c r="CJ53" s="563"/>
      <c r="CK53" s="563"/>
      <c r="CL53" s="563"/>
      <c r="CM53" s="563"/>
    </row>
    <row r="54" customFormat="false" ht="15.75" hidden="false" customHeight="true" outlineLevel="0" collapsed="false">
      <c r="A54" s="703"/>
      <c r="B54" s="703"/>
      <c r="C54" s="703"/>
      <c r="D54" s="703"/>
      <c r="E54" s="705" t="n">
        <v>2005</v>
      </c>
      <c r="F54" s="706" t="n">
        <f aca="false">'Cuenta Ahorro-Inversión-Financi'!T21/1000/'PIB corriente base 2004'!X9</f>
        <v>0.0214249777603053</v>
      </c>
      <c r="G54" s="706" t="n">
        <f aca="false">('Cuenta Ahorro-Inversión-Financi'!G21+'Cuenta Ahorro-Inversión-Financi'!S21)/1000/'PIB corriente base 2004'!X9</f>
        <v>0.0219471405894574</v>
      </c>
      <c r="H54" s="706" t="n">
        <f aca="false">'Cuenta Ahorro-Inversión-Financi'!X21/1000/'PIB corriente base 2004'!X9</f>
        <v>6.64758507150565E-005</v>
      </c>
      <c r="I54" s="706" t="n">
        <f aca="false">'Cuenta Ahorro-Inversión-Financi'!J54</f>
        <v>0.0434387490018353</v>
      </c>
      <c r="J54" s="706" t="n">
        <f aca="false">'Cuenta Ahorro-Inversión-Financi'!F21/1000/'PIB corriente base 2004'!X9</f>
        <v>0.0434387490018353</v>
      </c>
      <c r="K54" s="706" t="n">
        <f aca="false">'Cuenta Ahorro-Inversión-Financi'!T21/1000/'PIB corriente base 2004'!X9</f>
        <v>0.0214249777603053</v>
      </c>
      <c r="L54" s="706" t="n">
        <f aca="false">'Cuenta Ahorro-Inversión-Financi'!AH21/1000/'PIB corriente base 2004'!X9</f>
        <v>0.0139618318212355</v>
      </c>
      <c r="M54" s="706" t="n">
        <f aca="false">'Cuenta Ahorro-Inversión-Financi'!AO21/1000/'PIB corriente base 2004'!X9</f>
        <v>0.00801305232074019</v>
      </c>
      <c r="N54" s="706" t="n">
        <f aca="false">'Cuenta Ahorro-Inversión-Financi'!AG21/1000/'PIB corriente base 2004'!X9</f>
        <v>0.0434428375853147</v>
      </c>
      <c r="O54" s="706" t="n">
        <f aca="false">'Cuenta Ahorro-Inversión-Financi'!M54+'Cuenta Ahorro-Inversión-Financi'!I54</f>
        <v>0.0514518013225755</v>
      </c>
      <c r="P54" s="703"/>
      <c r="Q54" s="714" t="n">
        <v>2005</v>
      </c>
      <c r="R54" s="722" t="n">
        <f aca="false">'Cuenta Ahorro-Inversión-Financi'!BF21/1000/'PIB corriente base 2004'!X9</f>
        <v>0.0345505912680116</v>
      </c>
      <c r="S54" s="722"/>
      <c r="T54" s="722" t="n">
        <f aca="false">'Cuenta Ahorro-Inversión-Financi'!BX21/1000/'PIB corriente base 2004'!X9</f>
        <v>0.00852590691466118</v>
      </c>
      <c r="U54" s="722" t="n">
        <f aca="false">'Cuenta Ahorro-Inversión-Financi'!T54+'Cuenta Ahorro-Inversión-Financi'!R54+(('Cuenta Ahorro-Inversión-Financi'!AY21+'Cuenta Ahorro-Inversión-Financi'!BC21)/1000/'PIB corriente base 2004'!X9)</f>
        <v>0.0438517744121476</v>
      </c>
      <c r="V54" s="722" t="n">
        <f aca="false">'Cuenta Ahorro-Inversión-Financi'!BN21/1000/'PIB corriente base 2004'!X9</f>
        <v>0.00852590691466118</v>
      </c>
      <c r="W54" s="708" t="n">
        <f aca="false">'Cuenta Ahorro-Inversión-Financi'!AX21/1000/'PIB corriente base 2004'!X9</f>
        <v>0.0438517744121476</v>
      </c>
      <c r="X54" s="708" t="n">
        <f aca="false">W54</f>
        <v>0.0438517744121476</v>
      </c>
      <c r="Y54" s="708"/>
      <c r="Z54" s="708" t="n">
        <f aca="false">('Cuenta Ahorro-Inversión-Financi'!CG21)/1000/'PIB corriente base 2004'!X9</f>
        <v>0.0438780728454207</v>
      </c>
      <c r="AA54" s="708" t="n">
        <f aca="false">('Cuenta Ahorro-Inversión-Financi'!CG21-'Cuenta Ahorro-Inversión-Financi'!AY21)/1000/'PIB corriente base 2004'!X9</f>
        <v>0.0431171161948979</v>
      </c>
      <c r="AB54" s="703"/>
      <c r="AC54" s="715" t="n">
        <v>2005</v>
      </c>
      <c r="AD54" s="710" t="n">
        <f aca="false">'Cuenta Ahorro-Inversión-Financi'!J54-'Cuenta Ahorro-Inversión-Financi'!X54</f>
        <v>-0.000413025410312309</v>
      </c>
      <c r="AE54" s="710" t="n">
        <f aca="false">'Cuenta Ahorro-Inversión-Financi'!F54-'Cuenta Ahorro-Inversión-Financi'!R54</f>
        <v>-0.0131256135077062</v>
      </c>
      <c r="AF54" s="710" t="n">
        <f aca="false">'Cuenta Ahorro-Inversión-Financi'!I54-'Cuenta Ahorro-Inversión-Financi'!U54-'Cuenta Ahorro-Inversión-Financi'!H54</f>
        <v>-0.000479501261027359</v>
      </c>
      <c r="AG54" s="710" t="n">
        <f aca="false">'Cuenta Ahorro-Inversión-Financi'!I54-'Cuenta Ahorro-Inversión-Financi'!U54</f>
        <v>-0.000413025410312302</v>
      </c>
      <c r="AH54" s="710" t="n">
        <f aca="false">'Cuenta Ahorro-Inversión-Financi'!O54-'Cuenta Ahorro-Inversión-Financi'!U54</f>
        <v>0.00760002691042789</v>
      </c>
      <c r="AI54" s="710" t="n">
        <f aca="false">'Cuenta Ahorro-Inversión-Financi'!F54-('Cuenta Ahorro-Inversión-Financi'!BF21+'Cuenta Ahorro-Inversión-Financi'!BR21)/'PIB corriente base 2004'!X9/1000</f>
        <v>-0.0202970267501648</v>
      </c>
      <c r="AJ54" s="456" t="n">
        <f aca="false">'Cuenta Ahorro-Inversión-Financi'!AH54-'Cuenta Ahorro-Inversión-Financi'!H54</f>
        <v>0.00753355105971283</v>
      </c>
      <c r="AN54" s="711" t="n">
        <v>2005</v>
      </c>
      <c r="AO54" s="710" t="n">
        <f aca="false">'Cuenta Ahorro-Inversión-Financi'!I54</f>
        <v>0.0434387490018353</v>
      </c>
      <c r="AP54" s="710" t="n">
        <f aca="false">'Cuenta Ahorro-Inversión-Financi'!F54</f>
        <v>0.0214249777603053</v>
      </c>
      <c r="AQ54" s="710" t="n">
        <v>0</v>
      </c>
      <c r="AR54" s="710" t="n">
        <f aca="false">'Cuenta Ahorro-Inversión-Financi'!L54</f>
        <v>0.0139618318212355</v>
      </c>
      <c r="AS54" s="710" t="n">
        <f aca="false">'Cuenta Ahorro-Inversión-Financi'!T54+'Cuenta Ahorro-Inversión-Financi'!R54+(('Cuenta Ahorro-Inversión-Financi'!BC21-'Cuenta Ahorro-Inversión-Financi'!BL21-'Cuenta Ahorro-Inversión-Financi'!BV21-'Cuenta Ahorro-Inversión-Financi'!BW21)/1000/'PIB corriente base 2004'!X9)</f>
        <v>0.0427445870782809</v>
      </c>
      <c r="AT54" s="710" t="n">
        <f aca="false">'Cuenta Ahorro-Inversión-Financi'!T54+'Cuenta Ahorro-Inversión-Financi'!R54+(('Cuenta Ahorro-Inversión-Financi'!BC21-'Cuenta Ahorro-Inversión-Financi'!BL21-'Cuenta Ahorro-Inversión-Financi'!BV21-'Cuenta Ahorro-Inversión-Financi'!BW21-'Cuenta Ahorro-Inversión-Financi'!BP21-'Cuenta Ahorro-Inversión-Financi'!BQ21)/1000/'PIB corriente base 2004'!X9)</f>
        <v>0.039329035034631</v>
      </c>
      <c r="AU54" s="710" t="n">
        <f aca="false">'Cuenta Ahorro-Inversión-Financi'!U54</f>
        <v>0.0438517744121476</v>
      </c>
      <c r="AV54" s="710" t="n">
        <f aca="false">('Cuenta Ahorro-Inversión-Financi'!CH21)/'PIB corriente base 2004'!X9/1000+'Cuenta Ahorro-Inversión-Financi'!Y54</f>
        <v>0.00597111538341118</v>
      </c>
      <c r="AW54" s="710" t="n">
        <f aca="false">'Cuenta Ahorro-Inversión-Financi'!AP54-'Cuenta Ahorro-Inversión-Financi'!AT54</f>
        <v>-0.0179040572743257</v>
      </c>
      <c r="AX54" s="710" t="n">
        <f aca="false">'Cuenta Ahorro-Inversión-Financi'!AO54-'Cuenta Ahorro-Inversión-Financi'!AU54</f>
        <v>-0.000413025410312302</v>
      </c>
      <c r="AY54" s="710" t="n">
        <f aca="false">'Cuenta Ahorro-Inversión-Financi'!AO54+'Cuenta Ahorro-Inversión-Financi'!AQ54+'Cuenta Ahorro-Inversión-Financi'!AR54-'Cuenta Ahorro-Inversión-Financi'!AU54-'Cuenta Ahorro-Inversión-Financi'!AV54</f>
        <v>0.00757769102751198</v>
      </c>
      <c r="AZ54" s="710" t="n">
        <f aca="false">'Cuenta Ahorro-Inversión-Financi'!AY54</f>
        <v>0.00757769102751198</v>
      </c>
      <c r="BA54" s="456" t="n">
        <f aca="false">AU54+AV54</f>
        <v>0.0498228897955588</v>
      </c>
      <c r="BB54" s="456" t="n">
        <v>-0.000477678553323493</v>
      </c>
      <c r="BC54" s="456" t="n">
        <v>-0.000411455394426098</v>
      </c>
      <c r="BI54" s="1" t="s">
        <v>985</v>
      </c>
      <c r="BX54" s="1" t="n">
        <f aca="false">'Cuenta Ahorro-Inversión-Financi'!BF17+'Cuenta Ahorro-Inversión-Financi'!BS17</f>
        <v>16143811.96312</v>
      </c>
      <c r="BY54" s="456" t="n">
        <f aca="false">'Cuenta Ahorro-Inversión-Financi'!BS17/'Cuenta Ahorro-Inversión-Financi'!BX54</f>
        <v>0.125834560759304</v>
      </c>
      <c r="CA54" s="578" t="s">
        <v>986</v>
      </c>
      <c r="DB54" s="456"/>
    </row>
    <row r="55" customFormat="false" ht="15.75" hidden="false" customHeight="true" outlineLevel="0" collapsed="false">
      <c r="A55" s="703"/>
      <c r="B55" s="703"/>
      <c r="C55" s="703"/>
      <c r="D55" s="703"/>
      <c r="E55" s="705" t="n">
        <v>2006</v>
      </c>
      <c r="F55" s="713" t="n">
        <f aca="false">'Cuenta Ahorro-Inversión-Financi'!T22/1000/'PIB corriente base 2004'!X10</f>
        <v>0.0252575877444441</v>
      </c>
      <c r="G55" s="713" t="n">
        <f aca="false">('Cuenta Ahorro-Inversión-Financi'!G22+'Cuenta Ahorro-Inversión-Financi'!S22)/1000/'PIB corriente base 2004'!X10</f>
        <v>0.0212196799431274</v>
      </c>
      <c r="H55" s="713" t="n">
        <f aca="false">'Cuenta Ahorro-Inversión-Financi'!X22/1000/'PIB corriente base 2004'!X10</f>
        <v>0.000401428799431498</v>
      </c>
      <c r="I55" s="713" t="n">
        <f aca="false">'Cuenta Ahorro-Inversión-Financi'!J55</f>
        <v>0.0468788196581217</v>
      </c>
      <c r="J55" s="713" t="n">
        <f aca="false">'Cuenta Ahorro-Inversión-Financi'!F22/1000/'PIB corriente base 2004'!X10</f>
        <v>0.0468788196581217</v>
      </c>
      <c r="K55" s="713" t="n">
        <f aca="false">'Cuenta Ahorro-Inversión-Financi'!T22/1000/'PIB corriente base 2004'!X10</f>
        <v>0.0252575877444441</v>
      </c>
      <c r="L55" s="713" t="n">
        <f aca="false">'Cuenta Ahorro-Inversión-Financi'!AI22/1000/'PIB corriente base 2004'!X10</f>
        <v>0.0141131235333867</v>
      </c>
      <c r="M55" s="713" t="n">
        <f aca="false">'Cuenta Ahorro-Inversión-Financi'!AO22/1000/'PIB corriente base 2004'!X10</f>
        <v>0.00784939929145749</v>
      </c>
      <c r="N55" s="718" t="n">
        <f aca="false">'Cuenta Ahorro-Inversión-Financi'!AG22/1000/'PIB corriente base 2004'!X10</f>
        <v>0.0468820365196783</v>
      </c>
      <c r="O55" s="718" t="n">
        <f aca="false">'Cuenta Ahorro-Inversión-Financi'!M55+'Cuenta Ahorro-Inversión-Financi'!I55</f>
        <v>0.0547282189495791</v>
      </c>
      <c r="P55" s="703"/>
      <c r="Q55" s="714" t="n">
        <v>2006</v>
      </c>
      <c r="R55" s="713" t="n">
        <f aca="false">'Cuenta Ahorro-Inversión-Financi'!BF22/1000/'PIB corriente base 2004'!X10</f>
        <v>0.0368418871162505</v>
      </c>
      <c r="S55" s="713"/>
      <c r="T55" s="713" t="n">
        <f aca="false">'Cuenta Ahorro-Inversión-Financi'!BX22/1000/'PIB corriente base 2004'!X10</f>
        <v>0.00787102925233681</v>
      </c>
      <c r="U55" s="713" t="n">
        <f aca="false">'Cuenta Ahorro-Inversión-Financi'!T55+'Cuenta Ahorro-Inversión-Financi'!R55+(('Cuenta Ahorro-Inversión-Financi'!AY22+'Cuenta Ahorro-Inversión-Financi'!BC22)/1000/'PIB corriente base 2004'!X10)</f>
        <v>0.0455503006322098</v>
      </c>
      <c r="V55" s="713" t="n">
        <f aca="false">'Cuenta Ahorro-Inversión-Financi'!BN22/1000/'PIB corriente base 2004'!X10</f>
        <v>0.00787102925233681</v>
      </c>
      <c r="W55" s="713" t="n">
        <f aca="false">'Cuenta Ahorro-Inversión-Financi'!AX22/1000/'PIB corriente base 2004'!X10</f>
        <v>0.0455503006322098</v>
      </c>
      <c r="X55" s="713" t="n">
        <f aca="false">W55</f>
        <v>0.0455503006322098</v>
      </c>
      <c r="Y55" s="713"/>
      <c r="Z55" s="713" t="n">
        <f aca="false">('Cuenta Ahorro-Inversión-Financi'!CG22)/1000/'PIB corriente base 2004'!X10</f>
        <v>0.0455748570389028</v>
      </c>
      <c r="AA55" s="713" t="n">
        <f aca="false">('Cuenta Ahorro-Inversión-Financi'!CG22-'Cuenta Ahorro-Inversión-Financi'!AY22)/1000/'PIB corriente base 2004'!X10</f>
        <v>0.0447413567681965</v>
      </c>
      <c r="AB55" s="703"/>
      <c r="AC55" s="715" t="n">
        <v>2006</v>
      </c>
      <c r="AD55" s="713" t="n">
        <f aca="false">'Cuenta Ahorro-Inversión-Financi'!J55-'Cuenta Ahorro-Inversión-Financi'!X55</f>
        <v>0.00132851902591188</v>
      </c>
      <c r="AE55" s="713" t="n">
        <f aca="false">'Cuenta Ahorro-Inversión-Financi'!F55-'Cuenta Ahorro-Inversión-Financi'!R55</f>
        <v>-0.0115842993718065</v>
      </c>
      <c r="AF55" s="713" t="n">
        <f aca="false">'Cuenta Ahorro-Inversión-Financi'!I55-'Cuenta Ahorro-Inversión-Financi'!U55-'Cuenta Ahorro-Inversión-Financi'!H55</f>
        <v>0.000927090226480379</v>
      </c>
      <c r="AG55" s="713" t="n">
        <f aca="false">'Cuenta Ahorro-Inversión-Financi'!I55-'Cuenta Ahorro-Inversión-Financi'!U55</f>
        <v>0.00132851902591188</v>
      </c>
      <c r="AH55" s="713" t="n">
        <f aca="false">'Cuenta Ahorro-Inversión-Financi'!O55-'Cuenta Ahorro-Inversión-Financi'!U55</f>
        <v>0.00917791831736937</v>
      </c>
      <c r="AI55" s="713" t="n">
        <f aca="false">'Cuenta Ahorro-Inversión-Financi'!F55-('Cuenta Ahorro-Inversión-Financi'!BF22+'Cuenta Ahorro-Inversión-Financi'!BR22)/'PIB corriente base 2004'!X10/1000</f>
        <v>-0.0180344299892373</v>
      </c>
      <c r="AJ55" s="456" t="n">
        <f aca="false">'Cuenta Ahorro-Inversión-Financi'!AH55-'Cuenta Ahorro-Inversión-Financi'!H55</f>
        <v>0.00877648951793787</v>
      </c>
      <c r="AN55" s="711" t="n">
        <v>2006</v>
      </c>
      <c r="AO55" s="713" t="n">
        <f aca="false">'Cuenta Ahorro-Inversión-Financi'!I55</f>
        <v>0.0468788196581217</v>
      </c>
      <c r="AP55" s="713" t="n">
        <f aca="false">'Cuenta Ahorro-Inversión-Financi'!F55</f>
        <v>0.0252575877444441</v>
      </c>
      <c r="AQ55" s="713" t="n">
        <v>0</v>
      </c>
      <c r="AR55" s="713" t="n">
        <f aca="false">'Cuenta Ahorro-Inversión-Financi'!L55</f>
        <v>0.0141131235333867</v>
      </c>
      <c r="AS55" s="713" t="n">
        <f aca="false">'Cuenta Ahorro-Inversión-Financi'!T55+'Cuenta Ahorro-Inversión-Financi'!R55+(('Cuenta Ahorro-Inversión-Financi'!BC22-'Cuenta Ahorro-Inversión-Financi'!BL22-'Cuenta Ahorro-Inversión-Financi'!BV22-'Cuenta Ahorro-Inversión-Financi'!BW22)/1000/'PIB corriente base 2004'!X10)</f>
        <v>0.0442804250844522</v>
      </c>
      <c r="AT55" s="713" t="n">
        <f aca="false">'Cuenta Ahorro-Inversión-Financi'!T55+'Cuenta Ahorro-Inversión-Financi'!R55+(('Cuenta Ahorro-Inversión-Financi'!BC22-'Cuenta Ahorro-Inversión-Financi'!BL22-'Cuenta Ahorro-Inversión-Financi'!BV22-'Cuenta Ahorro-Inversión-Financi'!BW22-'Cuenta Ahorro-Inversión-Financi'!BP22-'Cuenta Ahorro-Inversión-Financi'!BQ22)/1000/'PIB corriente base 2004'!X10)</f>
        <v>0.0417711812402308</v>
      </c>
      <c r="AU55" s="713" t="n">
        <f aca="false">'Cuenta Ahorro-Inversión-Financi'!U55</f>
        <v>0.0455503006322098</v>
      </c>
      <c r="AV55" s="713" t="n">
        <f aca="false">('Cuenta Ahorro-Inversión-Financi'!CH22)/'PIB corriente base 2004'!X10/1000+'Cuenta Ahorro-Inversión-Financi'!Y55</f>
        <v>0.00626372424192923</v>
      </c>
      <c r="AW55" s="713" t="n">
        <f aca="false">'Cuenta Ahorro-Inversión-Financi'!AP55-'Cuenta Ahorro-Inversión-Financi'!AT55</f>
        <v>-0.0165135934957867</v>
      </c>
      <c r="AX55" s="713" t="n">
        <f aca="false">'Cuenta Ahorro-Inversión-Financi'!AO55-'Cuenta Ahorro-Inversión-Financi'!AU55</f>
        <v>0.00132851902591188</v>
      </c>
      <c r="AY55" s="713" t="n">
        <f aca="false">'Cuenta Ahorro-Inversión-Financi'!AO55+'Cuenta Ahorro-Inversión-Financi'!AQ55+'Cuenta Ahorro-Inversión-Financi'!AR55-'Cuenta Ahorro-Inversión-Financi'!AU55-'Cuenta Ahorro-Inversión-Financi'!AV55</f>
        <v>0.00917791831736937</v>
      </c>
      <c r="AZ55" s="713" t="n">
        <f aca="false">'Cuenta Ahorro-Inversión-Financi'!AY55</f>
        <v>0.00917791831736937</v>
      </c>
      <c r="BA55" s="456" t="n">
        <f aca="false">AU55+AV55</f>
        <v>0.051814024874139</v>
      </c>
      <c r="BB55" s="456" t="n">
        <v>0.000923024086262866</v>
      </c>
      <c r="BC55" s="456" t="n">
        <v>0.00132269225254431</v>
      </c>
      <c r="BI55" s="1" t="s">
        <v>987</v>
      </c>
      <c r="BX55" s="1" t="n">
        <f aca="false">'Cuenta Ahorro-Inversión-Financi'!BF18+'Cuenta Ahorro-Inversión-Financi'!BS18</f>
        <v>15772141.49193</v>
      </c>
      <c r="BY55" s="456" t="n">
        <f aca="false">'Cuenta Ahorro-Inversión-Financi'!BS18/'Cuenta Ahorro-Inversión-Financi'!BX55</f>
        <v>0.121204966500467</v>
      </c>
      <c r="CA55" s="1" t="s">
        <v>988</v>
      </c>
    </row>
    <row r="56" customFormat="false" ht="15.75" hidden="false" customHeight="true" outlineLevel="0" collapsed="false">
      <c r="A56" s="703"/>
      <c r="B56" s="703"/>
      <c r="C56" s="703"/>
      <c r="D56" s="703"/>
      <c r="E56" s="705" t="n">
        <v>2007</v>
      </c>
      <c r="F56" s="706" t="n">
        <f aca="false">'Cuenta Ahorro-Inversión-Financi'!T23/1000/'PIB corriente base 2004'!X11</f>
        <v>0.0385047966381489</v>
      </c>
      <c r="G56" s="706" t="n">
        <f aca="false">('Cuenta Ahorro-Inversión-Financi'!G23+'Cuenta Ahorro-Inversión-Financi'!S23)/1000/'PIB corriente base 2004'!X11</f>
        <v>0.0209548679959935</v>
      </c>
      <c r="H56" s="706" t="n">
        <f aca="false">'Cuenta Ahorro-Inversión-Financi'!X23/1000/'PIB corriente base 2004'!X11</f>
        <v>0.000737928817183578</v>
      </c>
      <c r="I56" s="706" t="n">
        <f aca="false">'Cuenta Ahorro-Inversión-Financi'!J56</f>
        <v>0.0601980468713142</v>
      </c>
      <c r="J56" s="706" t="n">
        <f aca="false">'Cuenta Ahorro-Inversión-Financi'!F23/1000/'PIB corriente base 2004'!X11</f>
        <v>0.0601980468713142</v>
      </c>
      <c r="K56" s="706" t="n">
        <f aca="false">'Cuenta Ahorro-Inversión-Financi'!T23/1000/'PIB corriente base 2004'!X11</f>
        <v>0.0385047966381489</v>
      </c>
      <c r="L56" s="706" t="n">
        <f aca="false">'Cuenta Ahorro-Inversión-Financi'!AH23/1000/'PIB corriente base 2004'!X11</f>
        <v>0.0149068047295749</v>
      </c>
      <c r="M56" s="706" t="n">
        <f aca="false">'Cuenta Ahorro-Inversión-Financi'!AO23/1000/'PIB corriente base 2004'!X11</f>
        <v>0.00796355543535948</v>
      </c>
      <c r="N56" s="706" t="n">
        <f aca="false">'Cuenta Ahorro-Inversión-Financi'!AG23/1000/'PIB corriente base 2004'!X11</f>
        <v>0.0602490212576403</v>
      </c>
      <c r="O56" s="706" t="n">
        <f aca="false">'Cuenta Ahorro-Inversión-Financi'!M56+'Cuenta Ahorro-Inversión-Financi'!I56</f>
        <v>0.0681616023066737</v>
      </c>
      <c r="P56" s="703"/>
      <c r="Q56" s="714" t="n">
        <v>2007</v>
      </c>
      <c r="R56" s="722" t="n">
        <f aca="false">'Cuenta Ahorro-Inversión-Financi'!BF23/1000/'PIB corriente base 2004'!X11</f>
        <v>0.0489808558686249</v>
      </c>
      <c r="S56" s="722"/>
      <c r="T56" s="722" t="n">
        <f aca="false">'Cuenta Ahorro-Inversión-Financi'!BX23/1000/'PIB corriente base 2004'!X11</f>
        <v>0.00739879187530181</v>
      </c>
      <c r="U56" s="722" t="n">
        <f aca="false">'Cuenta Ahorro-Inversión-Financi'!T56+'Cuenta Ahorro-Inversión-Financi'!R56+(('Cuenta Ahorro-Inversión-Financi'!AY23+'Cuenta Ahorro-Inversión-Financi'!BC23)/1000/'PIB corriente base 2004'!X11)</f>
        <v>0.0573140814102419</v>
      </c>
      <c r="V56" s="722" t="n">
        <f aca="false">'Cuenta Ahorro-Inversión-Financi'!BN23/1000/'PIB corriente base 2004'!X11</f>
        <v>0.00739879187530181</v>
      </c>
      <c r="W56" s="708" t="n">
        <f aca="false">'Cuenta Ahorro-Inversión-Financi'!AX23/1000/'PIB corriente base 2004'!X11</f>
        <v>0.0573140814102419</v>
      </c>
      <c r="X56" s="708" t="n">
        <f aca="false">W56</f>
        <v>0.0573140814102419</v>
      </c>
      <c r="Y56" s="708"/>
      <c r="Z56" s="708" t="n">
        <f aca="false">('Cuenta Ahorro-Inversión-Financi'!CG23)/1000/'PIB corriente base 2004'!X11</f>
        <v>0.0573610190367882</v>
      </c>
      <c r="AA56" s="708" t="n">
        <f aca="false">('Cuenta Ahorro-Inversión-Financi'!CG23-'Cuenta Ahorro-Inversión-Financi'!AY23)/1000/'PIB corriente base 2004'!X11</f>
        <v>0.056426585370473</v>
      </c>
      <c r="AB56" s="703"/>
      <c r="AC56" s="715" t="n">
        <v>2007</v>
      </c>
      <c r="AD56" s="710" t="n">
        <f aca="false">'Cuenta Ahorro-Inversión-Financi'!J56-'Cuenta Ahorro-Inversión-Financi'!X56</f>
        <v>0.00288396546107233</v>
      </c>
      <c r="AE56" s="710" t="n">
        <f aca="false">'Cuenta Ahorro-Inversión-Financi'!F56-'Cuenta Ahorro-Inversión-Financi'!R56</f>
        <v>-0.0104760592304761</v>
      </c>
      <c r="AF56" s="710" t="n">
        <f aca="false">'Cuenta Ahorro-Inversión-Financi'!I56-'Cuenta Ahorro-Inversión-Financi'!U56-'Cuenta Ahorro-Inversión-Financi'!H56</f>
        <v>0.00214603664388874</v>
      </c>
      <c r="AG56" s="710" t="n">
        <f aca="false">'Cuenta Ahorro-Inversión-Financi'!I56-'Cuenta Ahorro-Inversión-Financi'!U56</f>
        <v>0.00288396546107231</v>
      </c>
      <c r="AH56" s="710" t="n">
        <f aca="false">'Cuenta Ahorro-Inversión-Financi'!O56-'Cuenta Ahorro-Inversión-Financi'!U56</f>
        <v>0.0108475208964318</v>
      </c>
      <c r="AI56" s="710" t="n">
        <f aca="false">'Cuenta Ahorro-Inversión-Financi'!F56-('Cuenta Ahorro-Inversión-Financi'!BF23+'Cuenta Ahorro-Inversión-Financi'!BR23)/'PIB corriente base 2004'!X11/1000</f>
        <v>-0.0160664030586085</v>
      </c>
      <c r="AJ56" s="456" t="n">
        <f aca="false">'Cuenta Ahorro-Inversión-Financi'!AH56-'Cuenta Ahorro-Inversión-Financi'!H56</f>
        <v>0.0101095920792482</v>
      </c>
      <c r="AN56" s="711" t="n">
        <v>2007</v>
      </c>
      <c r="AO56" s="710" t="n">
        <f aca="false">'Cuenta Ahorro-Inversión-Financi'!I56</f>
        <v>0.0601980468713142</v>
      </c>
      <c r="AP56" s="710" t="n">
        <f aca="false">'Cuenta Ahorro-Inversión-Financi'!F56</f>
        <v>0.0385047966381489</v>
      </c>
      <c r="AQ56" s="710" t="n">
        <v>0</v>
      </c>
      <c r="AR56" s="710" t="n">
        <f aca="false">'Cuenta Ahorro-Inversión-Financi'!L56</f>
        <v>0.0149068047295749</v>
      </c>
      <c r="AS56" s="710" t="n">
        <f aca="false">'Cuenta Ahorro-Inversión-Financi'!T56+'Cuenta Ahorro-Inversión-Financi'!R56+(('Cuenta Ahorro-Inversión-Financi'!BC23-'Cuenta Ahorro-Inversión-Financi'!BL23-'Cuenta Ahorro-Inversión-Financi'!BV23-'Cuenta Ahorro-Inversión-Financi'!BW23)/1000/'PIB corriente base 2004'!X11)</f>
        <v>0.0559163490621917</v>
      </c>
      <c r="AT56" s="710" t="n">
        <f aca="false">'Cuenta Ahorro-Inversión-Financi'!T56+'Cuenta Ahorro-Inversión-Financi'!R56+(('Cuenta Ahorro-Inversión-Financi'!BC23-'Cuenta Ahorro-Inversión-Financi'!BL23-'Cuenta Ahorro-Inversión-Financi'!BV23-'Cuenta Ahorro-Inversión-Financi'!BW23-'Cuenta Ahorro-Inversión-Financi'!BP23-'Cuenta Ahorro-Inversión-Financi'!BQ23)/1000/'PIB corriente base 2004'!X11)</f>
        <v>0.0543704479016842</v>
      </c>
      <c r="AU56" s="710" t="n">
        <f aca="false">'Cuenta Ahorro-Inversión-Financi'!U56</f>
        <v>0.0573140814102419</v>
      </c>
      <c r="AV56" s="710" t="n">
        <f aca="false">('Cuenta Ahorro-Inversión-Financi'!CH23)/'PIB corriente base 2004'!X11/1000+'Cuenta Ahorro-Inversión-Financi'!Y56</f>
        <v>0.00694374082135591</v>
      </c>
      <c r="AW56" s="710" t="n">
        <f aca="false">'Cuenta Ahorro-Inversión-Financi'!AP56-'Cuenta Ahorro-Inversión-Financi'!AT56</f>
        <v>-0.0158656512635353</v>
      </c>
      <c r="AX56" s="710" t="n">
        <f aca="false">'Cuenta Ahorro-Inversión-Financi'!AO56-'Cuenta Ahorro-Inversión-Financi'!AU56</f>
        <v>0.00288396546107231</v>
      </c>
      <c r="AY56" s="710" t="n">
        <f aca="false">'Cuenta Ahorro-Inversión-Financi'!AO56+'Cuenta Ahorro-Inversión-Financi'!AQ56+'Cuenta Ahorro-Inversión-Financi'!AR56-'Cuenta Ahorro-Inversión-Financi'!AU56-'Cuenta Ahorro-Inversión-Financi'!AV56</f>
        <v>0.0108470293692913</v>
      </c>
      <c r="AZ56" s="710" t="n">
        <f aca="false">'Cuenta Ahorro-Inversión-Financi'!AY56</f>
        <v>0.0108470293692913</v>
      </c>
      <c r="BA56" s="456" t="n">
        <f aca="false">AU56+AV56</f>
        <v>0.0642578222315978</v>
      </c>
      <c r="BB56" s="456" t="n">
        <v>0.00213635773880085</v>
      </c>
      <c r="BC56" s="456" t="n">
        <v>0.0028709584007996</v>
      </c>
      <c r="BI56" s="1" t="s">
        <v>989</v>
      </c>
      <c r="BX56" s="1" t="n">
        <f aca="false">'Cuenta Ahorro-Inversión-Financi'!BF19+'Cuenta Ahorro-Inversión-Financi'!BS19</f>
        <v>16553740.61872</v>
      </c>
      <c r="BY56" s="456" t="n">
        <f aca="false">'Cuenta Ahorro-Inversión-Financi'!BS19/'Cuenta Ahorro-Inversión-Financi'!BX56</f>
        <v>0.0595190390276989</v>
      </c>
    </row>
    <row r="57" customFormat="false" ht="15.75" hidden="false" customHeight="true" outlineLevel="0" collapsed="false">
      <c r="A57" s="703"/>
      <c r="B57" s="703"/>
      <c r="C57" s="703"/>
      <c r="D57" s="703"/>
      <c r="E57" s="705" t="n">
        <v>2008</v>
      </c>
      <c r="F57" s="713" t="n">
        <f aca="false">'Cuenta Ahorro-Inversión-Financi'!T24/1000/'PIB corriente base 2004'!X12</f>
        <v>0.0368508016736982</v>
      </c>
      <c r="G57" s="713" t="n">
        <f aca="false">('Cuenta Ahorro-Inversión-Financi'!G24+'Cuenta Ahorro-Inversión-Financi'!S24)/1000/'PIB corriente base 2004'!X12</f>
        <v>0.0204392279016501</v>
      </c>
      <c r="H57" s="713" t="n">
        <f aca="false">'Cuenta Ahorro-Inversión-Financi'!X24/1000/'PIB corriente base 2004'!X12</f>
        <v>0.000971980550364607</v>
      </c>
      <c r="I57" s="713" t="n">
        <f aca="false">'Cuenta Ahorro-Inversión-Financi'!J57</f>
        <v>0.0582636493870521</v>
      </c>
      <c r="J57" s="713" t="n">
        <f aca="false">'Cuenta Ahorro-Inversión-Financi'!F24/1000/'PIB corriente base 2004'!X12</f>
        <v>0.0582636493870521</v>
      </c>
      <c r="K57" s="713" t="n">
        <f aca="false">'Cuenta Ahorro-Inversión-Financi'!T24/1000/'PIB corriente base 2004'!X12</f>
        <v>0.0368508016736982</v>
      </c>
      <c r="L57" s="713" t="n">
        <f aca="false">'Cuenta Ahorro-Inversión-Financi'!AI24/1000/'PIB corriente base 2004'!X12</f>
        <v>0.0145730376476074</v>
      </c>
      <c r="M57" s="713" t="n">
        <f aca="false">'Cuenta Ahorro-Inversión-Financi'!AO24/1000/'PIB corriente base 2004'!X12</f>
        <v>0.00701832015439975</v>
      </c>
      <c r="N57" s="718" t="n">
        <f aca="false">'Cuenta Ahorro-Inversión-Financi'!AG24/1000/'PIB corriente base 2004'!X12</f>
        <v>0.0582661848512213</v>
      </c>
      <c r="O57" s="718" t="n">
        <f aca="false">'Cuenta Ahorro-Inversión-Financi'!M57+'Cuenta Ahorro-Inversión-Financi'!I57</f>
        <v>0.0652819695414518</v>
      </c>
      <c r="P57" s="703"/>
      <c r="Q57" s="714" t="n">
        <v>2008</v>
      </c>
      <c r="R57" s="713" t="n">
        <f aca="false">'Cuenta Ahorro-Inversión-Financi'!BF24/1000/'PIB corriente base 2004'!X12</f>
        <v>0.0483764714177785</v>
      </c>
      <c r="S57" s="713"/>
      <c r="T57" s="713" t="n">
        <f aca="false">'Cuenta Ahorro-Inversión-Financi'!BX24/1000/'PIB corriente base 2004'!X12</f>
        <v>0.00893501787658427</v>
      </c>
      <c r="U57" s="713" t="n">
        <f aca="false">'Cuenta Ahorro-Inversión-Financi'!T57+'Cuenta Ahorro-Inversión-Financi'!R57+(('Cuenta Ahorro-Inversión-Financi'!AY24+'Cuenta Ahorro-Inversión-Financi'!BC24)/1000/'PIB corriente base 2004'!X12)</f>
        <v>0.0584126184319631</v>
      </c>
      <c r="V57" s="713" t="n">
        <f aca="false">'Cuenta Ahorro-Inversión-Financi'!BN24/1000/'PIB corriente base 2004'!X12</f>
        <v>0.00893501787658427</v>
      </c>
      <c r="W57" s="713" t="n">
        <f aca="false">'Cuenta Ahorro-Inversión-Financi'!AX24/1000/'PIB corriente base 2004'!X12</f>
        <v>0.0584126184319631</v>
      </c>
      <c r="X57" s="713" t="n">
        <f aca="false">W57</f>
        <v>0.0584126184319631</v>
      </c>
      <c r="Y57" s="713" t="n">
        <f aca="false">'Cuenta Ahorro-Inversión-Financi'!CM24/1000/'PIB corriente base 2004'!X12</f>
        <v>0.00116689653702815</v>
      </c>
      <c r="Z57" s="713" t="n">
        <f aca="false">('Cuenta Ahorro-Inversión-Financi'!CG24)/1000/'PIB corriente base 2004'!X12+'Cuenta Ahorro-Inversión-Financi'!Y57</f>
        <v>0.0596246972943047</v>
      </c>
      <c r="AA57" s="713" t="n">
        <f aca="false">('Cuenta Ahorro-Inversión-Financi'!CG24-'Cuenta Ahorro-Inversión-Financi'!AY24)/1000/'PIB corriente base 2004'!X12</f>
        <v>0.0573566716196761</v>
      </c>
      <c r="AB57" s="703"/>
      <c r="AC57" s="715" t="n">
        <v>2008</v>
      </c>
      <c r="AD57" s="713" t="n">
        <f aca="false">'Cuenta Ahorro-Inversión-Financi'!J57-'Cuenta Ahorro-Inversión-Financi'!X57</f>
        <v>-0.000148969044911074</v>
      </c>
      <c r="AE57" s="713" t="n">
        <f aca="false">'Cuenta Ahorro-Inversión-Financi'!F57-'Cuenta Ahorro-Inversión-Financi'!R57</f>
        <v>-0.0115256697440803</v>
      </c>
      <c r="AF57" s="713" t="n">
        <f aca="false">'Cuenta Ahorro-Inversión-Financi'!I57-'Cuenta Ahorro-Inversión-Financi'!U57-'Cuenta Ahorro-Inversión-Financi'!H57</f>
        <v>-0.00112094959527569</v>
      </c>
      <c r="AG57" s="713" t="n">
        <f aca="false">'Cuenta Ahorro-Inversión-Financi'!I57-'Cuenta Ahorro-Inversión-Financi'!U57</f>
        <v>-0.000148969044911088</v>
      </c>
      <c r="AH57" s="713" t="n">
        <f aca="false">'Cuenta Ahorro-Inversión-Financi'!O57-'Cuenta Ahorro-Inversión-Financi'!U57</f>
        <v>0.00686935110948866</v>
      </c>
      <c r="AI57" s="713" t="n">
        <f aca="false">'Cuenta Ahorro-Inversión-Financi'!F57-('Cuenta Ahorro-Inversión-Financi'!BF24+'Cuenta Ahorro-Inversión-Financi'!BR24)/'PIB corriente base 2004'!X12/1000</f>
        <v>-0.0187024003340929</v>
      </c>
      <c r="AJ57" s="456" t="n">
        <f aca="false">'Cuenta Ahorro-Inversión-Financi'!AH57-'Cuenta Ahorro-Inversión-Financi'!H57</f>
        <v>0.00589737055912405</v>
      </c>
      <c r="AN57" s="711" t="n">
        <v>2008</v>
      </c>
      <c r="AO57" s="713" t="n">
        <f aca="false">'Cuenta Ahorro-Inversión-Financi'!I57</f>
        <v>0.0582636493870521</v>
      </c>
      <c r="AP57" s="713" t="n">
        <f aca="false">'Cuenta Ahorro-Inversión-Financi'!F57</f>
        <v>0.0368508016736982</v>
      </c>
      <c r="AQ57" s="713" t="n">
        <v>0</v>
      </c>
      <c r="AR57" s="713" t="n">
        <f aca="false">'Cuenta Ahorro-Inversión-Financi'!L57</f>
        <v>0.0145730376476074</v>
      </c>
      <c r="AS57" s="713" t="n">
        <f aca="false">'Cuenta Ahorro-Inversión-Financi'!T57+'Cuenta Ahorro-Inversión-Financi'!R57+(('Cuenta Ahorro-Inversión-Financi'!BC24-'Cuenta Ahorro-Inversión-Financi'!BL24-'Cuenta Ahorro-Inversión-Financi'!BV24-'Cuenta Ahorro-Inversión-Financi'!BW24)/1000/'PIB corriente base 2004'!X12)</f>
        <v>0.0568675728340972</v>
      </c>
      <c r="AT57" s="713" t="n">
        <f aca="false">'Cuenta Ahorro-Inversión-Financi'!T57+'Cuenta Ahorro-Inversión-Financi'!R57+(('Cuenta Ahorro-Inversión-Financi'!BC24-'Cuenta Ahorro-Inversión-Financi'!BL24-'Cuenta Ahorro-Inversión-Financi'!BV24-'Cuenta Ahorro-Inversión-Financi'!BW24-'Cuenta Ahorro-Inversión-Financi'!BP24-'Cuenta Ahorro-Inversión-Financi'!BQ24)/1000/'PIB corriente base 2004'!X12)</f>
        <v>0.0551521388373889</v>
      </c>
      <c r="AU57" s="713" t="n">
        <f aca="false">'Cuenta Ahorro-Inversión-Financi'!U57</f>
        <v>0.0584126184319631</v>
      </c>
      <c r="AV57" s="713" t="n">
        <f aca="false">('Cuenta Ahorro-Inversión-Financi'!CH24)/'PIB corriente base 2004'!X12/1000+'Cuenta Ahorro-Inversión-Financi'!Y57</f>
        <v>0.00872161403023583</v>
      </c>
      <c r="AW57" s="713" t="n">
        <f aca="false">'Cuenta Ahorro-Inversión-Financi'!AP57-'Cuenta Ahorro-Inversión-Financi'!AT57</f>
        <v>-0.0183013371636907</v>
      </c>
      <c r="AX57" s="713" t="n">
        <f aca="false">'Cuenta Ahorro-Inversión-Financi'!AO57-'Cuenta Ahorro-Inversión-Financi'!AU57</f>
        <v>-0.000148969044911088</v>
      </c>
      <c r="AY57" s="713" t="n">
        <f aca="false">'Cuenta Ahorro-Inversión-Financi'!AO57+'Cuenta Ahorro-Inversión-Financi'!AQ57+'Cuenta Ahorro-Inversión-Financi'!AR57-'Cuenta Ahorro-Inversión-Financi'!AU57-'Cuenta Ahorro-Inversión-Financi'!AV57</f>
        <v>0.0057024545724605</v>
      </c>
      <c r="AZ57" s="713" t="n">
        <f aca="false">'Cuenta Ahorro-Inversión-Financi'!AY57-'Cuenta Ahorro-Inversión-Financi'!H57</f>
        <v>0.00473047402209589</v>
      </c>
      <c r="BA57" s="456" t="n">
        <f aca="false">AU57+AV57</f>
        <v>0.067134232462199</v>
      </c>
      <c r="BB57" s="456" t="n">
        <v>-0.00111607433474384</v>
      </c>
      <c r="BC57" s="456" t="n">
        <v>-0.000148321145212302</v>
      </c>
      <c r="BX57" s="1" t="n">
        <f aca="false">'Cuenta Ahorro-Inversión-Financi'!BF20+'Cuenta Ahorro-Inversión-Financi'!BS20</f>
        <v>18523568.10335</v>
      </c>
      <c r="BY57" s="456" t="n">
        <f aca="false">'Cuenta Ahorro-Inversión-Financi'!BS20/'Cuenta Ahorro-Inversión-Financi'!BX57</f>
        <v>0.0387184218530928</v>
      </c>
    </row>
    <row r="58" customFormat="false" ht="15.75" hidden="false" customHeight="true" outlineLevel="0" collapsed="false">
      <c r="A58" s="703"/>
      <c r="B58" s="703"/>
      <c r="C58" s="703"/>
      <c r="D58" s="703"/>
      <c r="E58" s="705" t="n">
        <v>2009</v>
      </c>
      <c r="F58" s="706" t="n">
        <f aca="false">'Cuenta Ahorro-Inversión-Financi'!T25/1000/'PIB corriente base 2004'!X13</f>
        <v>0.0507701371819389</v>
      </c>
      <c r="G58" s="706" t="n">
        <f aca="false">('Cuenta Ahorro-Inversión-Financi'!G25+'Cuenta Ahorro-Inversión-Financi'!S25)/1000/'PIB corriente base 2004'!X13</f>
        <v>0.0203921181346288</v>
      </c>
      <c r="H58" s="706" t="n">
        <f aca="false">'Cuenta Ahorro-Inversión-Financi'!X25/1000/'PIB corriente base 2004'!X13</f>
        <v>0.00680095700317286</v>
      </c>
      <c r="I58" s="706" t="n">
        <f aca="false">'Cuenta Ahorro-Inversión-Financi'!J58</f>
        <v>0.0779638818556597</v>
      </c>
      <c r="J58" s="706" t="n">
        <f aca="false">'Cuenta Ahorro-Inversión-Financi'!F25/1000/'PIB corriente base 2004'!X13</f>
        <v>0.0779638818556597</v>
      </c>
      <c r="K58" s="706" t="n">
        <f aca="false">'Cuenta Ahorro-Inversión-Financi'!T25/1000/'PIB corriente base 2004'!X13</f>
        <v>0.0507701371819389</v>
      </c>
      <c r="L58" s="706" t="n">
        <f aca="false">'Cuenta Ahorro-Inversión-Financi'!AI25/1000/'PIB corriente base 2004'!X13</f>
        <v>0.0146173597980544</v>
      </c>
      <c r="M58" s="706" t="n">
        <f aca="false">'Cuenta Ahorro-Inversión-Financi'!AO25/1000/'PIB corriente base 2004'!X13</f>
        <v>0.00498469519573689</v>
      </c>
      <c r="N58" s="706" t="n">
        <f aca="false">'Cuenta Ahorro-Inversión-Financi'!AG25/1000/'PIB corriente base 2004'!X13</f>
        <v>0.07796470897676</v>
      </c>
      <c r="O58" s="706" t="n">
        <f aca="false">'Cuenta Ahorro-Inversión-Financi'!M58+'Cuenta Ahorro-Inversión-Financi'!I58</f>
        <v>0.0829485770513966</v>
      </c>
      <c r="P58" s="703"/>
      <c r="Q58" s="714" t="n">
        <v>2009</v>
      </c>
      <c r="R58" s="722" t="n">
        <f aca="false">'Cuenta Ahorro-Inversión-Financi'!BF25/1000/'PIB corriente base 2004'!X13</f>
        <v>0.0568162745570319</v>
      </c>
      <c r="S58" s="722"/>
      <c r="T58" s="722" t="n">
        <f aca="false">'Cuenta Ahorro-Inversión-Financi'!BX25/1000/'PIB corriente base 2004'!X13</f>
        <v>0.0123962475351313</v>
      </c>
      <c r="U58" s="722" t="n">
        <f aca="false">'Cuenta Ahorro-Inversión-Financi'!T58+'Cuenta Ahorro-Inversión-Financi'!R58+(('Cuenta Ahorro-Inversión-Financi'!AY25+'Cuenta Ahorro-Inversión-Financi'!BC25)/1000/'PIB corriente base 2004'!X13)</f>
        <v>0.0709937465458173</v>
      </c>
      <c r="V58" s="722" t="n">
        <f aca="false">'Cuenta Ahorro-Inversión-Financi'!BN25/1000/'PIB corriente base 2004'!X13</f>
        <v>0.0123962475351313</v>
      </c>
      <c r="W58" s="708" t="n">
        <f aca="false">'Cuenta Ahorro-Inversión-Financi'!AX25/1000/'PIB corriente base 2004'!X13</f>
        <v>0.0709937465458173</v>
      </c>
      <c r="X58" s="708" t="n">
        <f aca="false">W58</f>
        <v>0.0709937465458173</v>
      </c>
      <c r="Y58" s="708" t="n">
        <f aca="false">'Cuenta Ahorro-Inversión-Financi'!CM25/1000/'PIB corriente base 2004'!X13</f>
        <v>0.00167502693461996</v>
      </c>
      <c r="Z58" s="708" t="n">
        <f aca="false">('Cuenta Ahorro-Inversión-Financi'!CG25)/1000/'PIB corriente base 2004'!X13+'Cuenta Ahorro-Inversión-Financi'!Y58</f>
        <v>0.0727406098176419</v>
      </c>
      <c r="AA58" s="708" t="n">
        <f aca="false">('Cuenta Ahorro-Inversión-Financi'!CG25-'Cuenta Ahorro-Inversión-Financi'!AY25)/1000/'PIB corriente base 2004'!X13</f>
        <v>0.0692878360339629</v>
      </c>
      <c r="AB58" s="703"/>
      <c r="AC58" s="715" t="n">
        <v>2009</v>
      </c>
      <c r="AD58" s="710" t="n">
        <f aca="false">'Cuenta Ahorro-Inversión-Financi'!J58-'Cuenta Ahorro-Inversión-Financi'!X58</f>
        <v>0.00697013530984235</v>
      </c>
      <c r="AE58" s="710" t="n">
        <f aca="false">'Cuenta Ahorro-Inversión-Financi'!F58-'Cuenta Ahorro-Inversión-Financi'!R58</f>
        <v>-0.00604613737509297</v>
      </c>
      <c r="AF58" s="710" t="n">
        <f aca="false">'Cuenta Ahorro-Inversión-Financi'!I58-'Cuenta Ahorro-Inversión-Financi'!U58-'Cuenta Ahorro-Inversión-Financi'!H58</f>
        <v>0.000169178306669476</v>
      </c>
      <c r="AG58" s="710" t="n">
        <f aca="false">'Cuenta Ahorro-Inversión-Financi'!I58-'Cuenta Ahorro-Inversión-Financi'!U58</f>
        <v>0.00697013530984234</v>
      </c>
      <c r="AH58" s="710" t="n">
        <f aca="false">'Cuenta Ahorro-Inversión-Financi'!O58-'Cuenta Ahorro-Inversión-Financi'!U58</f>
        <v>0.0119548305055792</v>
      </c>
      <c r="AI58" s="710" t="n">
        <f aca="false">'Cuenta Ahorro-Inversión-Financi'!F58-('Cuenta Ahorro-Inversión-Financi'!BF25+'Cuenta Ahorro-Inversión-Financi'!BR25)/'PIB corriente base 2004'!X13/1000</f>
        <v>-0.0164010117864058</v>
      </c>
      <c r="AJ58" s="456" t="n">
        <f aca="false">'Cuenta Ahorro-Inversión-Financi'!AH58-'Cuenta Ahorro-Inversión-Financi'!H58</f>
        <v>0.00515387350240637</v>
      </c>
      <c r="AN58" s="711" t="n">
        <v>2009</v>
      </c>
      <c r="AO58" s="710" t="n">
        <f aca="false">'Cuenta Ahorro-Inversión-Financi'!I58</f>
        <v>0.0779638818556597</v>
      </c>
      <c r="AP58" s="710" t="n">
        <f aca="false">'Cuenta Ahorro-Inversión-Financi'!F58</f>
        <v>0.0507701371819389</v>
      </c>
      <c r="AQ58" s="710" t="n">
        <v>0</v>
      </c>
      <c r="AR58" s="710" t="n">
        <f aca="false">'Cuenta Ahorro-Inversión-Financi'!L58</f>
        <v>0.0146173597980544</v>
      </c>
      <c r="AS58" s="710" t="n">
        <f aca="false">'Cuenta Ahorro-Inversión-Financi'!T58+'Cuenta Ahorro-Inversión-Financi'!R58+(('Cuenta Ahorro-Inversión-Financi'!BC25-'Cuenta Ahorro-Inversión-Financi'!BL25-'Cuenta Ahorro-Inversión-Financi'!BV25-'Cuenta Ahorro-Inversión-Financi'!BW25)/1000/'PIB corriente base 2004'!X13)</f>
        <v>0.0687237844793052</v>
      </c>
      <c r="AT58" s="710" t="n">
        <f aca="false">'Cuenta Ahorro-Inversión-Financi'!T58+'Cuenta Ahorro-Inversión-Financi'!R58+(('Cuenta Ahorro-Inversión-Financi'!BC25-'Cuenta Ahorro-Inversión-Financi'!BL25-'Cuenta Ahorro-Inversión-Financi'!BV25-'Cuenta Ahorro-Inversión-Financi'!BW25-'Cuenta Ahorro-Inversión-Financi'!BP25-'Cuenta Ahorro-Inversión-Financi'!BQ25)/1000/'PIB corriente base 2004'!X13)</f>
        <v>0.0664412280851967</v>
      </c>
      <c r="AU58" s="710" t="n">
        <f aca="false">'Cuenta Ahorro-Inversión-Financi'!U58</f>
        <v>0.0709937465458173</v>
      </c>
      <c r="AV58" s="710" t="n">
        <f aca="false">('Cuenta Ahorro-Inversión-Financi'!CH25)/'PIB corriente base 2004'!X13/1000+'Cuenta Ahorro-Inversión-Financi'!Y58</f>
        <v>0.0113076915369375</v>
      </c>
      <c r="AW58" s="710" t="n">
        <f aca="false">'Cuenta Ahorro-Inversión-Financi'!AP58-'Cuenta Ahorro-Inversión-Financi'!AT58</f>
        <v>-0.0156710909032578</v>
      </c>
      <c r="AX58" s="710" t="n">
        <f aca="false">'Cuenta Ahorro-Inversión-Financi'!AO58-'Cuenta Ahorro-Inversión-Financi'!AU58</f>
        <v>0.00697013530984234</v>
      </c>
      <c r="AY58" s="710" t="n">
        <f aca="false">'Cuenta Ahorro-Inversión-Financi'!AO58+'Cuenta Ahorro-Inversión-Financi'!AQ58+'Cuenta Ahorro-Inversión-Financi'!AR58-'Cuenta Ahorro-Inversión-Financi'!AU58-'Cuenta Ahorro-Inversión-Financi'!AV58</f>
        <v>0.0102798035709593</v>
      </c>
      <c r="AZ58" s="710" t="n">
        <f aca="false">'Cuenta Ahorro-Inversión-Financi'!AY58-'Cuenta Ahorro-Inversión-Financi'!H58</f>
        <v>0.00347884656778641</v>
      </c>
      <c r="BA58" s="456" t="n">
        <f aca="false">AU58+AV58</f>
        <v>0.0823014380827548</v>
      </c>
      <c r="BB58" s="456" t="n">
        <v>0.00016841261592386</v>
      </c>
      <c r="BC58" s="456" t="n">
        <v>0.006938588900569</v>
      </c>
      <c r="BX58" s="1" t="n">
        <f aca="false">'Cuenta Ahorro-Inversión-Financi'!BF21+'Cuenta Ahorro-Inversión-Financi'!BS21</f>
        <v>20916082.58023</v>
      </c>
      <c r="BY58" s="456" t="n">
        <f aca="false">'Cuenta Ahorro-Inversión-Financi'!BS21/'Cuenta Ahorro-Inversión-Financi'!BX58</f>
        <v>0.0377242854168978</v>
      </c>
    </row>
    <row r="59" customFormat="false" ht="15.75" hidden="false" customHeight="true" outlineLevel="0" collapsed="false">
      <c r="A59" s="703"/>
      <c r="B59" s="703"/>
      <c r="C59" s="703"/>
      <c r="D59" s="703"/>
      <c r="E59" s="705" t="n">
        <v>2010</v>
      </c>
      <c r="F59" s="713" t="n">
        <f aca="false">'Cuenta Ahorro-Inversión-Financi'!T26/1000/'PIB corriente base 2004'!X14</f>
        <v>0.0504873115779599</v>
      </c>
      <c r="G59" s="713" t="n">
        <f aca="false">('Cuenta Ahorro-Inversión-Financi'!G26+'Cuenta Ahorro-Inversión-Financi'!S26)/1000/'PIB corriente base 2004'!X14</f>
        <v>0.0206407631065506</v>
      </c>
      <c r="H59" s="713" t="n">
        <f aca="false">'Cuenta Ahorro-Inversión-Financi'!X26/1000/'PIB corriente base 2004'!X14</f>
        <v>0.00524439899269864</v>
      </c>
      <c r="I59" s="713" t="n">
        <f aca="false">'Cuenta Ahorro-Inversión-Financi'!J59</f>
        <v>0.0763729917909168</v>
      </c>
      <c r="J59" s="713" t="n">
        <f aca="false">'Cuenta Ahorro-Inversión-Financi'!F26/1000/'PIB corriente base 2004'!X14</f>
        <v>0.0763729917909168</v>
      </c>
      <c r="K59" s="713" t="n">
        <f aca="false">'Cuenta Ahorro-Inversión-Financi'!T26/1000/'PIB corriente base 2004'!X14</f>
        <v>0.0504873115779599</v>
      </c>
      <c r="L59" s="713" t="n">
        <f aca="false">('Cuenta Ahorro-Inversión-Financi'!AI26+'Cuenta Ahorro-Inversión-Financi'!AK26)/1000/'PIB corriente base 2004'!X14</f>
        <v>0.0147920638625873</v>
      </c>
      <c r="M59" s="713" t="n">
        <f aca="false">'Cuenta Ahorro-Inversión-Financi'!AO26/1000/'PIB corriente base 2004'!X14</f>
        <v>0.00482847303931563</v>
      </c>
      <c r="N59" s="718" t="n">
        <f aca="false">'Cuenta Ahorro-Inversión-Financi'!AG26/1000/'PIB corriente base 2004'!X14</f>
        <v>0.0763730369385458</v>
      </c>
      <c r="O59" s="718" t="n">
        <f aca="false">'Cuenta Ahorro-Inversión-Financi'!M59+'Cuenta Ahorro-Inversión-Financi'!I59</f>
        <v>0.0812014648302324</v>
      </c>
      <c r="P59" s="703"/>
      <c r="Q59" s="714" t="n">
        <v>2010</v>
      </c>
      <c r="R59" s="713" t="n">
        <f aca="false">'Cuenta Ahorro-Inversión-Financi'!BF26/1000/'PIB corriente base 2004'!X14</f>
        <v>0.0531723252388029</v>
      </c>
      <c r="S59" s="713"/>
      <c r="T59" s="713" t="n">
        <f aca="false">'Cuenta Ahorro-Inversión-Financi'!BX26/1000/'PIB corriente base 2004'!X14</f>
        <v>0.0153052918080471</v>
      </c>
      <c r="U59" s="713" t="n">
        <f aca="false">'Cuenta Ahorro-Inversión-Financi'!T59+'Cuenta Ahorro-Inversión-Financi'!R59+(('Cuenta Ahorro-Inversión-Financi'!AY26+'Cuenta Ahorro-Inversión-Financi'!BC26)/1000/'PIB corriente base 2004'!X14)</f>
        <v>0.0704103509264721</v>
      </c>
      <c r="V59" s="713" t="n">
        <f aca="false">'Cuenta Ahorro-Inversión-Financi'!BN26/1000/'PIB corriente base 2004'!X14</f>
        <v>0.0153052918080471</v>
      </c>
      <c r="W59" s="713" t="n">
        <f aca="false">'Cuenta Ahorro-Inversión-Financi'!AX26/1000/'PIB corriente base 2004'!X14</f>
        <v>0.0704103509264721</v>
      </c>
      <c r="X59" s="713" t="n">
        <f aca="false">W59</f>
        <v>0.0704103509264721</v>
      </c>
      <c r="Y59" s="713" t="n">
        <f aca="false">'Cuenta Ahorro-Inversión-Financi'!CM26/1000/'PIB corriente base 2004'!X14</f>
        <v>0.00129161278918117</v>
      </c>
      <c r="Z59" s="713" t="n">
        <f aca="false">('Cuenta Ahorro-Inversión-Financi'!CG26)/1000/'PIB corriente base 2004'!X14+'Cuenta Ahorro-Inversión-Financi'!Y59</f>
        <v>0.0718447099215995</v>
      </c>
      <c r="AA59" s="713" t="n">
        <f aca="false">('Cuenta Ahorro-Inversión-Financi'!CG26-'Cuenta Ahorro-Inversión-Financi'!AY26)/1000/'PIB corriente base 2004'!X14</f>
        <v>0.0686248686754115</v>
      </c>
      <c r="AB59" s="703"/>
      <c r="AC59" s="715" t="n">
        <v>2010</v>
      </c>
      <c r="AD59" s="713" t="n">
        <f aca="false">'Cuenta Ahorro-Inversión-Financi'!J59-'Cuenta Ahorro-Inversión-Financi'!X59</f>
        <v>0.00596264086444469</v>
      </c>
      <c r="AE59" s="713" t="n">
        <f aca="false">'Cuenta Ahorro-Inversión-Financi'!F59-'Cuenta Ahorro-Inversión-Financi'!R59</f>
        <v>-0.00268501366084307</v>
      </c>
      <c r="AF59" s="713" t="n">
        <f aca="false">'Cuenta Ahorro-Inversión-Financi'!I59-'Cuenta Ahorro-Inversión-Financi'!U59-'Cuenta Ahorro-Inversión-Financi'!H59</f>
        <v>0.000718241871746038</v>
      </c>
      <c r="AG59" s="713" t="n">
        <f aca="false">'Cuenta Ahorro-Inversión-Financi'!I59-'Cuenta Ahorro-Inversión-Financi'!U59</f>
        <v>0.00596264086444467</v>
      </c>
      <c r="AH59" s="713" t="n">
        <f aca="false">'Cuenta Ahorro-Inversión-Financi'!O59-'Cuenta Ahorro-Inversión-Financi'!U59</f>
        <v>0.0107911139037603</v>
      </c>
      <c r="AI59" s="713" t="n">
        <f aca="false">'Cuenta Ahorro-Inversión-Financi'!F59-('Cuenta Ahorro-Inversión-Financi'!BF26+'Cuenta Ahorro-Inversión-Financi'!BR26)/'PIB corriente base 2004'!X14/1000</f>
        <v>-0.0160861458341661</v>
      </c>
      <c r="AJ59" s="456" t="n">
        <f aca="false">'Cuenta Ahorro-Inversión-Financi'!AH59-'Cuenta Ahorro-Inversión-Financi'!H59</f>
        <v>0.00554671491106166</v>
      </c>
      <c r="AN59" s="711" t="n">
        <v>2010</v>
      </c>
      <c r="AO59" s="713" t="n">
        <f aca="false">'Cuenta Ahorro-Inversión-Financi'!I59</f>
        <v>0.0763729917909168</v>
      </c>
      <c r="AP59" s="713" t="n">
        <f aca="false">'Cuenta Ahorro-Inversión-Financi'!F59</f>
        <v>0.0504873115779599</v>
      </c>
      <c r="AQ59" s="713" t="n">
        <v>0</v>
      </c>
      <c r="AR59" s="713" t="n">
        <f aca="false">'Cuenta Ahorro-Inversión-Financi'!L59</f>
        <v>0.0147920638625873</v>
      </c>
      <c r="AS59" s="713" t="n">
        <f aca="false">'Cuenta Ahorro-Inversión-Financi'!T59+'Cuenta Ahorro-Inversión-Financi'!R59+(('Cuenta Ahorro-Inversión-Financi'!BC26-'Cuenta Ahorro-Inversión-Financi'!BL26-'Cuenta Ahorro-Inversión-Financi'!BV26-'Cuenta Ahorro-Inversión-Financi'!BW26)/1000/'PIB corriente base 2004'!X14)</f>
        <v>0.0680327246756838</v>
      </c>
      <c r="AT59" s="713" t="n">
        <f aca="false">'Cuenta Ahorro-Inversión-Financi'!T59+'Cuenta Ahorro-Inversión-Financi'!R59+(('Cuenta Ahorro-Inversión-Financi'!BC26-'Cuenta Ahorro-Inversión-Financi'!BL26-'Cuenta Ahorro-Inversión-Financi'!BV26-'Cuenta Ahorro-Inversión-Financi'!BW26-'Cuenta Ahorro-Inversión-Financi'!BP26-'Cuenta Ahorro-Inversión-Financi'!BQ26)/1000/'PIB corriente base 2004'!X14)</f>
        <v>0.0662913073083211</v>
      </c>
      <c r="AU59" s="713" t="n">
        <f aca="false">'Cuenta Ahorro-Inversión-Financi'!U59</f>
        <v>0.0704103509264721</v>
      </c>
      <c r="AV59" s="713" t="n">
        <f aca="false">('Cuenta Ahorro-Inversión-Financi'!CH26+'Cuenta Ahorro-Inversión-Financi'!BZ26)/'PIB corriente base 2004'!X14/1000+'Cuenta Ahorro-Inversión-Financi'!Y59</f>
        <v>0.0113979498183991</v>
      </c>
      <c r="AW59" s="713" t="n">
        <f aca="false">'Cuenta Ahorro-Inversión-Financi'!AP59-'Cuenta Ahorro-Inversión-Financi'!AT59</f>
        <v>-0.0158039957303612</v>
      </c>
      <c r="AX59" s="713" t="n">
        <f aca="false">'Cuenta Ahorro-Inversión-Financi'!AO59-'Cuenta Ahorro-Inversión-Financi'!AU59</f>
        <v>0.00596264086444467</v>
      </c>
      <c r="AY59" s="713" t="n">
        <f aca="false">'Cuenta Ahorro-Inversión-Financi'!AO59+'Cuenta Ahorro-Inversión-Financi'!AQ59+'Cuenta Ahorro-Inversión-Financi'!AR59-'Cuenta Ahorro-Inversión-Financi'!AU59-'Cuenta Ahorro-Inversión-Financi'!AV59</f>
        <v>0.00935675490863292</v>
      </c>
      <c r="AZ59" s="713" t="n">
        <f aca="false">'Cuenta Ahorro-Inversión-Financi'!AY59-'Cuenta Ahorro-Inversión-Financi'!H59</f>
        <v>0.00411235591593429</v>
      </c>
      <c r="BA59" s="456" t="n">
        <f aca="false">AU59+AV59</f>
        <v>0.0818083007448712</v>
      </c>
      <c r="BB59" s="456" t="n">
        <v>0.000714382580316697</v>
      </c>
      <c r="BC59" s="456" t="n">
        <v>0.0059306021185995</v>
      </c>
      <c r="BX59" s="1" t="n">
        <f aca="false">'Cuenta Ahorro-Inversión-Financi'!BF22+'Cuenta Ahorro-Inversión-Financi'!BS22</f>
        <v>27392491.76769</v>
      </c>
      <c r="BY59" s="456" t="n">
        <f aca="false">'Cuenta Ahorro-Inversión-Financi'!BS22/'Cuenta Ahorro-Inversión-Financi'!BX59</f>
        <v>0.0371352635991239</v>
      </c>
    </row>
    <row r="60" customFormat="false" ht="15.75" hidden="false" customHeight="true" outlineLevel="0" collapsed="false">
      <c r="A60" s="703"/>
      <c r="B60" s="703"/>
      <c r="C60" s="703"/>
      <c r="D60" s="703"/>
      <c r="E60" s="705" t="n">
        <v>2011</v>
      </c>
      <c r="F60" s="706" t="n">
        <f aca="false">'Cuenta Ahorro-Inversión-Financi'!T27/1000/'PIB corriente base 2004'!X15</f>
        <v>0.051623947009386</v>
      </c>
      <c r="G60" s="706" t="n">
        <f aca="false">('Cuenta Ahorro-Inversión-Financi'!G27+'Cuenta Ahorro-Inversión-Financi'!S27)/1000/'PIB corriente base 2004'!X15</f>
        <v>0.0210555255476486</v>
      </c>
      <c r="H60" s="706" t="n">
        <f aca="false">'Cuenta Ahorro-Inversión-Financi'!X27/1000/'PIB corriente base 2004'!X15</f>
        <v>0.00506588207799855</v>
      </c>
      <c r="I60" s="706" t="n">
        <f aca="false">'Cuenta Ahorro-Inversión-Financi'!J60</f>
        <v>0.0777453546350332</v>
      </c>
      <c r="J60" s="706" t="n">
        <f aca="false">'Cuenta Ahorro-Inversión-Financi'!F27/1000/'PIB corriente base 2004'!X15</f>
        <v>0.0777453546350332</v>
      </c>
      <c r="K60" s="706" t="n">
        <f aca="false">'Cuenta Ahorro-Inversión-Financi'!T27/1000/'PIB corriente base 2004'!X15</f>
        <v>0.051623947009386</v>
      </c>
      <c r="L60" s="706" t="n">
        <f aca="false">'Cuenta Ahorro-Inversión-Financi'!AI27/1000/'PIB corriente base 2004'!X15</f>
        <v>0.0148856065446608</v>
      </c>
      <c r="M60" s="706" t="n">
        <f aca="false">'Cuenta Ahorro-Inversión-Financi'!AO27/1000/'PIB corriente base 2004'!X15</f>
        <v>0.00601299450657208</v>
      </c>
      <c r="N60" s="706" t="n">
        <f aca="false">'Cuenta Ahorro-Inversión-Financi'!AG27/1000/'PIB corriente base 2004'!X15</f>
        <v>0.0777457899698183</v>
      </c>
      <c r="O60" s="706" t="n">
        <f aca="false">'Cuenta Ahorro-Inversión-Financi'!M60+'Cuenta Ahorro-Inversión-Financi'!I60</f>
        <v>0.0837583491416052</v>
      </c>
      <c r="P60" s="703"/>
      <c r="Q60" s="714" t="n">
        <v>2011</v>
      </c>
      <c r="R60" s="722" t="n">
        <f aca="false">'Cuenta Ahorro-Inversión-Financi'!BF27/1000/'PIB corriente base 2004'!X15</f>
        <v>0.0559923504050296</v>
      </c>
      <c r="S60" s="722"/>
      <c r="T60" s="722" t="n">
        <f aca="false">'Cuenta Ahorro-Inversión-Financi'!BX27/1000/'PIB corriente base 2004'!X15</f>
        <v>0.0129869169225331</v>
      </c>
      <c r="U60" s="722" t="n">
        <f aca="false">'Cuenta Ahorro-Inversión-Financi'!T60+'Cuenta Ahorro-Inversión-Financi'!R60+(('Cuenta Ahorro-Inversión-Financi'!AY27+'Cuenta Ahorro-Inversión-Financi'!BC27)/1000/'PIB corriente base 2004'!X15)</f>
        <v>0.0711714016656091</v>
      </c>
      <c r="V60" s="722" t="n">
        <f aca="false">'Cuenta Ahorro-Inversión-Financi'!BN27/1000/'PIB corriente base 2004'!X15</f>
        <v>0.0129869169225331</v>
      </c>
      <c r="W60" s="708" t="n">
        <f aca="false">'Cuenta Ahorro-Inversión-Financi'!AX27/1000/'PIB corriente base 2004'!X15</f>
        <v>0.0711714016656091</v>
      </c>
      <c r="X60" s="708" t="n">
        <f aca="false">W60</f>
        <v>0.0711714016656091</v>
      </c>
      <c r="Y60" s="708" t="n">
        <f aca="false">'Cuenta Ahorro-Inversión-Financi'!CM27/1000/'PIB corriente base 2004'!X15</f>
        <v>0.00103133324512357</v>
      </c>
      <c r="Z60" s="708" t="n">
        <f aca="false">('Cuenta Ahorro-Inversión-Financi'!CG27)/1000/'PIB corriente base 2004'!X15+'Cuenta Ahorro-Inversión-Financi'!Y60</f>
        <v>0.0737775476263434</v>
      </c>
      <c r="AA60" s="708" t="n">
        <f aca="false">('Cuenta Ahorro-Inversión-Financi'!CG27-'Cuenta Ahorro-Inversión-Financi'!AY27)/1000/'PIB corriente base 2004'!X15</f>
        <v>0.0705574903290108</v>
      </c>
      <c r="AB60" s="703"/>
      <c r="AC60" s="715" t="n">
        <v>2011</v>
      </c>
      <c r="AD60" s="710" t="n">
        <f aca="false">'Cuenta Ahorro-Inversión-Financi'!J60-'Cuenta Ahorro-Inversión-Financi'!X60</f>
        <v>0.00657395296942401</v>
      </c>
      <c r="AE60" s="710" t="n">
        <f aca="false">'Cuenta Ahorro-Inversión-Financi'!F60-'Cuenta Ahorro-Inversión-Financi'!R60</f>
        <v>-0.00436840339564363</v>
      </c>
      <c r="AF60" s="710" t="n">
        <f aca="false">'Cuenta Ahorro-Inversión-Financi'!I60-'Cuenta Ahorro-Inversión-Financi'!U60-'Cuenta Ahorro-Inversión-Financi'!H60</f>
        <v>0.00150807089142546</v>
      </c>
      <c r="AG60" s="710" t="n">
        <f aca="false">'Cuenta Ahorro-Inversión-Financi'!I60-'Cuenta Ahorro-Inversión-Financi'!U60</f>
        <v>0.00657395296942401</v>
      </c>
      <c r="AH60" s="710" t="n">
        <f aca="false">'Cuenta Ahorro-Inversión-Financi'!O60-'Cuenta Ahorro-Inversión-Financi'!U60</f>
        <v>0.0125869474759961</v>
      </c>
      <c r="AI60" s="710" t="n">
        <f aca="false">'Cuenta Ahorro-Inversión-Financi'!F60-('Cuenta Ahorro-Inversión-Financi'!BF27+'Cuenta Ahorro-Inversión-Financi'!BR27)/'PIB corriente base 2004'!X15/1000</f>
        <v>-0.0153483958005436</v>
      </c>
      <c r="AJ60" s="456" t="n">
        <f aca="false">'Cuenta Ahorro-Inversión-Financi'!AH60-'Cuenta Ahorro-Inversión-Financi'!H60</f>
        <v>0.00752106539799753</v>
      </c>
      <c r="AN60" s="711" t="n">
        <v>2011</v>
      </c>
      <c r="AO60" s="710" t="n">
        <f aca="false">'Cuenta Ahorro-Inversión-Financi'!I60</f>
        <v>0.0777453546350332</v>
      </c>
      <c r="AP60" s="710" t="n">
        <f aca="false">'Cuenta Ahorro-Inversión-Financi'!F60</f>
        <v>0.051623947009386</v>
      </c>
      <c r="AQ60" s="710" t="n">
        <v>0</v>
      </c>
      <c r="AR60" s="710" t="n">
        <f aca="false">'Cuenta Ahorro-Inversión-Financi'!L60</f>
        <v>0.0148856065446608</v>
      </c>
      <c r="AS60" s="710" t="n">
        <f aca="false">'Cuenta Ahorro-Inversión-Financi'!T60+'Cuenta Ahorro-Inversión-Financi'!R60+(('Cuenta Ahorro-Inversión-Financi'!BC27-'Cuenta Ahorro-Inversión-Financi'!BL27-'Cuenta Ahorro-Inversión-Financi'!BV27-'Cuenta Ahorro-Inversión-Financi'!BW27)/1000/'PIB corriente base 2004'!X15)</f>
        <v>0.0685120828029566</v>
      </c>
      <c r="AT60" s="710" t="n">
        <f aca="false">'Cuenta Ahorro-Inversión-Financi'!T60+'Cuenta Ahorro-Inversión-Financi'!R60+(('Cuenta Ahorro-Inversión-Financi'!BC27-'Cuenta Ahorro-Inversión-Financi'!BL27-'Cuenta Ahorro-Inversión-Financi'!BV27-'Cuenta Ahorro-Inversión-Financi'!BW27-'Cuenta Ahorro-Inversión-Financi'!BP27-'Cuenta Ahorro-Inversión-Financi'!BQ27)/1000/'PIB corriente base 2004'!X15)</f>
        <v>0.0678471828728429</v>
      </c>
      <c r="AU60" s="710" t="n">
        <f aca="false">'Cuenta Ahorro-Inversión-Financi'!U60</f>
        <v>0.0711714016656091</v>
      </c>
      <c r="AV60" s="710" t="n">
        <f aca="false">('Cuenta Ahorro-Inversión-Financi'!CH27+'Cuenta Ahorro-Inversión-Financi'!BZ27)/'PIB corriente base 2004'!X15/1000+'Cuenta Ahorro-Inversión-Financi'!Y60</f>
        <v>0.0131305983772762</v>
      </c>
      <c r="AW60" s="710" t="n">
        <f aca="false">'Cuenta Ahorro-Inversión-Financi'!AP60-'Cuenta Ahorro-Inversión-Financi'!AT60</f>
        <v>-0.016223235863457</v>
      </c>
      <c r="AX60" s="710" t="n">
        <f aca="false">'Cuenta Ahorro-Inversión-Financi'!AO60-'Cuenta Ahorro-Inversión-Financi'!AU60</f>
        <v>0.00657395296942401</v>
      </c>
      <c r="AY60" s="710" t="n">
        <f aca="false">'Cuenta Ahorro-Inversión-Financi'!AO60+'Cuenta Ahorro-Inversión-Financi'!AQ60+'Cuenta Ahorro-Inversión-Financi'!AR60-'Cuenta Ahorro-Inversión-Financi'!AU60-'Cuenta Ahorro-Inversión-Financi'!AV60</f>
        <v>0.00832896113680864</v>
      </c>
      <c r="AZ60" s="710" t="n">
        <f aca="false">'Cuenta Ahorro-Inversión-Financi'!AY60-'Cuenta Ahorro-Inversión-Financi'!H60</f>
        <v>0.00326307905881009</v>
      </c>
      <c r="BA60" s="456" t="n">
        <f aca="false">AU60+AV60</f>
        <v>0.0843020000428853</v>
      </c>
      <c r="BB60" s="456" t="n">
        <v>0.00149948086973943</v>
      </c>
      <c r="BC60" s="456" t="n">
        <v>0.0065365075158373</v>
      </c>
      <c r="BX60" s="1" t="n">
        <f aca="false">'Cuenta Ahorro-Inversión-Financi'!BF23+'Cuenta Ahorro-Inversión-Financi'!BS23</f>
        <v>45556998.66738</v>
      </c>
      <c r="BY60" s="456" t="n">
        <f aca="false">'Cuenta Ahorro-Inversión-Financi'!BS23/'Cuenta Ahorro-Inversión-Financi'!BX60</f>
        <v>0.0356068681344343</v>
      </c>
    </row>
    <row r="61" customFormat="false" ht="14.45" hidden="false" customHeight="true" outlineLevel="0" collapsed="false">
      <c r="A61" s="703"/>
      <c r="B61" s="703"/>
      <c r="C61" s="703"/>
      <c r="D61" s="703"/>
      <c r="E61" s="705" t="n">
        <v>2012</v>
      </c>
      <c r="F61" s="713" t="n">
        <f aca="false">'Cuenta Ahorro-Inversión-Financi'!T28/1000/'PIB corriente base 2004'!X16</f>
        <v>0.055778278265298</v>
      </c>
      <c r="G61" s="713" t="n">
        <f aca="false">('Cuenta Ahorro-Inversión-Financi'!G28+'Cuenta Ahorro-Inversión-Financi'!S28)/1000/'PIB corriente base 2004'!X16</f>
        <v>0.0224400989125377</v>
      </c>
      <c r="H61" s="713" t="n">
        <f aca="false">'Cuenta Ahorro-Inversión-Financi'!X28/1000/'PIB corriente base 2004'!X16</f>
        <v>0.00657689666047515</v>
      </c>
      <c r="I61" s="713" t="n">
        <f aca="false">'Cuenta Ahorro-Inversión-Financi'!J61</f>
        <v>0.0847952738383109</v>
      </c>
      <c r="J61" s="713" t="n">
        <f aca="false">'Cuenta Ahorro-Inversión-Financi'!F28/1000/'PIB corriente base 2004'!X16</f>
        <v>0.0847952738383109</v>
      </c>
      <c r="K61" s="713" t="n">
        <f aca="false">'Cuenta Ahorro-Inversión-Financi'!T28/1000/'PIB corriente base 2004'!X16</f>
        <v>0.055778278265298</v>
      </c>
      <c r="L61" s="713" t="n">
        <f aca="false">'Cuenta Ahorro-Inversión-Financi'!AI28/1000/'PIB corriente base 2004'!X16</f>
        <v>0.0155583049965991</v>
      </c>
      <c r="M61" s="713" t="n">
        <f aca="false">'Cuenta Ahorro-Inversión-Financi'!AO28/1000/'PIB corriente base 2004'!X16</f>
        <v>0.00341523495437666</v>
      </c>
      <c r="N61" s="718" t="n">
        <f aca="false">'Cuenta Ahorro-Inversión-Financi'!AG28/1000/'PIB corriente base 2004'!X16</f>
        <v>0.0847957449746222</v>
      </c>
      <c r="O61" s="718" t="n">
        <f aca="false">'Cuenta Ahorro-Inversión-Financi'!M61+'Cuenta Ahorro-Inversión-Financi'!I61</f>
        <v>0.0882105087926875</v>
      </c>
      <c r="P61" s="703"/>
      <c r="Q61" s="714" t="n">
        <v>2012</v>
      </c>
      <c r="R61" s="713" t="n">
        <f aca="false">'Cuenta Ahorro-Inversión-Financi'!BF28/1000/'PIB corriente base 2004'!X16</f>
        <v>0.0639576874295608</v>
      </c>
      <c r="S61" s="713"/>
      <c r="T61" s="713" t="n">
        <f aca="false">'Cuenta Ahorro-Inversión-Financi'!BX28/1000/'PIB corriente base 2004'!X16</f>
        <v>0.0122469232596296</v>
      </c>
      <c r="U61" s="713" t="n">
        <f aca="false">'Cuenta Ahorro-Inversión-Financi'!T61+'Cuenta Ahorro-Inversión-Financi'!R61+(('Cuenta Ahorro-Inversión-Financi'!AY28+'Cuenta Ahorro-Inversión-Financi'!BC28)/1000/'PIB corriente base 2004'!X16)</f>
        <v>0.0785714228908752</v>
      </c>
      <c r="V61" s="713" t="n">
        <f aca="false">'Cuenta Ahorro-Inversión-Financi'!BN28/1000/'PIB corriente base 2004'!X16</f>
        <v>0.0122469232596296</v>
      </c>
      <c r="W61" s="713" t="n">
        <f aca="false">'Cuenta Ahorro-Inversión-Financi'!AX28/1000/'PIB corriente base 2004'!X16</f>
        <v>0.0785714228908752</v>
      </c>
      <c r="X61" s="713" t="n">
        <f aca="false">W61</f>
        <v>0.0785714228908752</v>
      </c>
      <c r="Y61" s="713" t="n">
        <f aca="false">'Cuenta Ahorro-Inversión-Financi'!CM28/1000/'PIB corriente base 2004'!X16</f>
        <v>0.00123537014000835</v>
      </c>
      <c r="Z61" s="713" t="n">
        <f aca="false">('Cuenta Ahorro-Inversión-Financi'!CG28)/1000/'PIB corriente base 2004'!X16+'Cuenta Ahorro-Inversión-Financi'!Y61</f>
        <v>0.0801052163522867</v>
      </c>
      <c r="AA61" s="713" t="n">
        <f aca="false">('Cuenta Ahorro-Inversión-Financi'!CG28-'Cuenta Ahorro-Inversión-Financi'!AY28)/1000/'PIB corriente base 2004'!X16</f>
        <v>0.0765049823293961</v>
      </c>
      <c r="AB61" s="703"/>
      <c r="AC61" s="715" t="n">
        <v>2012</v>
      </c>
      <c r="AD61" s="713" t="n">
        <f aca="false">'Cuenta Ahorro-Inversión-Financi'!J61-'Cuenta Ahorro-Inversión-Financi'!X61</f>
        <v>0.00622385094743566</v>
      </c>
      <c r="AE61" s="713" t="n">
        <f aca="false">'Cuenta Ahorro-Inversión-Financi'!F61-'Cuenta Ahorro-Inversión-Financi'!R61</f>
        <v>-0.0081794091642628</v>
      </c>
      <c r="AF61" s="713" t="n">
        <f aca="false">'Cuenta Ahorro-Inversión-Financi'!I61-'Cuenta Ahorro-Inversión-Financi'!U61-'Cuenta Ahorro-Inversión-Financi'!H61</f>
        <v>-0.000353045713039486</v>
      </c>
      <c r="AG61" s="713" t="n">
        <f aca="false">'Cuenta Ahorro-Inversión-Financi'!I61-'Cuenta Ahorro-Inversión-Financi'!U61</f>
        <v>0.00622385094743566</v>
      </c>
      <c r="AH61" s="713" t="n">
        <f aca="false">'Cuenta Ahorro-Inversión-Financi'!O61-'Cuenta Ahorro-Inversión-Financi'!U61</f>
        <v>0.00963908590181232</v>
      </c>
      <c r="AI61" s="713" t="n">
        <f aca="false">'Cuenta Ahorro-Inversión-Financi'!F61-('Cuenta Ahorro-Inversión-Financi'!BF28+'Cuenta Ahorro-Inversión-Financi'!BR28)/'PIB corriente base 2004'!X16/1000</f>
        <v>-0.018134562253195</v>
      </c>
      <c r="AJ61" s="456" t="n">
        <f aca="false">'Cuenta Ahorro-Inversión-Financi'!AH61-'Cuenta Ahorro-Inversión-Financi'!H61</f>
        <v>0.00306218924133718</v>
      </c>
      <c r="AN61" s="711" t="n">
        <v>2012</v>
      </c>
      <c r="AO61" s="713" t="n">
        <f aca="false">'Cuenta Ahorro-Inversión-Financi'!I61</f>
        <v>0.0847952738383109</v>
      </c>
      <c r="AP61" s="713" t="n">
        <f aca="false">'Cuenta Ahorro-Inversión-Financi'!F61</f>
        <v>0.055778278265298</v>
      </c>
      <c r="AQ61" s="713" t="n">
        <v>0</v>
      </c>
      <c r="AR61" s="713" t="n">
        <f aca="false">'Cuenta Ahorro-Inversión-Financi'!L61</f>
        <v>0.0155583049965991</v>
      </c>
      <c r="AS61" s="713" t="n">
        <f aca="false">'Cuenta Ahorro-Inversión-Financi'!T61+'Cuenta Ahorro-Inversión-Financi'!R61+(('Cuenta Ahorro-Inversión-Financi'!BC28-'Cuenta Ahorro-Inversión-Financi'!BL28-'Cuenta Ahorro-Inversión-Financi'!BV28-'Cuenta Ahorro-Inversión-Financi'!BW28)/1000/'PIB corriente base 2004'!X16)</f>
        <v>0.0756743176901236</v>
      </c>
      <c r="AT61" s="713" t="n">
        <f aca="false">'Cuenta Ahorro-Inversión-Financi'!T61+'Cuenta Ahorro-Inversión-Financi'!R61+(('Cuenta Ahorro-Inversión-Financi'!BC28-'Cuenta Ahorro-Inversión-Financi'!BL28-'Cuenta Ahorro-Inversión-Financi'!BV28-'Cuenta Ahorro-Inversión-Financi'!BW28-'Cuenta Ahorro-Inversión-Financi'!BP28-'Cuenta Ahorro-Inversión-Financi'!BQ28)/1000/'PIB corriente base 2004'!X16)</f>
        <v>0.0753118641967782</v>
      </c>
      <c r="AU61" s="713" t="n">
        <f aca="false">'Cuenta Ahorro-Inversión-Financi'!U61</f>
        <v>0.0785714228908752</v>
      </c>
      <c r="AV61" s="713" t="n">
        <f aca="false">('Cuenta Ahorro-Inversión-Financi'!CH28+'Cuenta Ahorro-Inversión-Financi'!BZ28)/'PIB corriente base 2004'!X16/1000+'Cuenta Ahorro-Inversión-Financi'!Y61</f>
        <v>0.0141536417732696</v>
      </c>
      <c r="AW61" s="713" t="n">
        <f aca="false">'Cuenta Ahorro-Inversión-Financi'!AP61-'Cuenta Ahorro-Inversión-Financi'!AT61</f>
        <v>-0.0195335859314802</v>
      </c>
      <c r="AX61" s="713" t="n">
        <f aca="false">'Cuenta Ahorro-Inversión-Financi'!AO61-'Cuenta Ahorro-Inversión-Financi'!AU61</f>
        <v>0.00622385094743566</v>
      </c>
      <c r="AY61" s="713" t="n">
        <f aca="false">'Cuenta Ahorro-Inversión-Financi'!AO61+'Cuenta Ahorro-Inversión-Financi'!AQ61+'Cuenta Ahorro-Inversión-Financi'!AR61-'Cuenta Ahorro-Inversión-Financi'!AU61-'Cuenta Ahorro-Inversión-Financi'!AV61</f>
        <v>0.00762851417076517</v>
      </c>
      <c r="AZ61" s="713" t="n">
        <f aca="false">'Cuenta Ahorro-Inversión-Financi'!AY61-'Cuenta Ahorro-Inversión-Financi'!H61</f>
        <v>0.00105161751029002</v>
      </c>
      <c r="BA61" s="456" t="n">
        <f aca="false">AU61+AV61</f>
        <v>0.0927250646641448</v>
      </c>
      <c r="BB61" s="456" t="n">
        <v>-0.000351145478501055</v>
      </c>
      <c r="BC61" s="456" t="n">
        <v>0.0061903516693078</v>
      </c>
      <c r="BX61" s="1" t="n">
        <f aca="false">'Cuenta Ahorro-Inversión-Financi'!BF24+'Cuenta Ahorro-Inversión-Financi'!BS24</f>
        <v>57637229.34681</v>
      </c>
      <c r="BY61" s="456" t="n">
        <f aca="false">'Cuenta Ahorro-Inversión-Financi'!BS24/'Cuenta Ahorro-Inversión-Financi'!BX61</f>
        <v>0.0350712226808639</v>
      </c>
    </row>
    <row r="62" customFormat="false" ht="14.45" hidden="false" customHeight="true" outlineLevel="0" collapsed="false">
      <c r="A62" s="703"/>
      <c r="B62" s="703"/>
      <c r="C62" s="703"/>
      <c r="D62" s="703"/>
      <c r="E62" s="705" t="s">
        <v>899</v>
      </c>
      <c r="F62" s="706" t="n">
        <f aca="false">'Cuenta Ahorro-Inversión-Financi'!T29/1000/'PIB corriente base 2004'!X17</f>
        <v>0.0576719027752101</v>
      </c>
      <c r="G62" s="706" t="n">
        <f aca="false">('Cuenta Ahorro-Inversión-Financi'!G29+'Cuenta Ahorro-Inversión-Financi'!S29)/1000/'PIB corriente base 2004'!X17</f>
        <v>0.0223318530313047</v>
      </c>
      <c r="H62" s="706" t="n">
        <f aca="false">'Cuenta Ahorro-Inversión-Financi'!X29/1000/'PIB corriente base 2004'!X17</f>
        <v>0.00683124675183988</v>
      </c>
      <c r="I62" s="706" t="n">
        <f aca="false">'Cuenta Ahorro-Inversión-Financi'!J62</f>
        <v>0.0868350025583547</v>
      </c>
      <c r="J62" s="706" t="n">
        <f aca="false">'Cuenta Ahorro-Inversión-Financi'!F29/1000/'PIB corriente base 2004'!X17</f>
        <v>0.0868350025583547</v>
      </c>
      <c r="K62" s="706" t="n">
        <f aca="false">'Cuenta Ahorro-Inversión-Financi'!T29/1000/'PIB corriente base 2004'!X17</f>
        <v>0.0576719027752101</v>
      </c>
      <c r="L62" s="706" t="n">
        <f aca="false">SUM('Cuenta Ahorro-Inversión-Financi'!AI29:AM29)/1000/'PIB corriente base 2004'!X17</f>
        <v>0.0171367306825722</v>
      </c>
      <c r="M62" s="706" t="n">
        <f aca="false">'Cuenta Ahorro-Inversión-Financi'!AO29/1000/'PIB corriente base 2004'!X17</f>
        <v>0.00370355972287239</v>
      </c>
      <c r="N62" s="706" t="n">
        <f aca="false">'Cuenta Ahorro-Inversión-Financi'!AG29/1000/'PIB corriente base 2004'!X17</f>
        <v>0.0868350423362367</v>
      </c>
      <c r="O62" s="706" t="n">
        <f aca="false">'Cuenta Ahorro-Inversión-Financi'!M62+'Cuenta Ahorro-Inversión-Financi'!I62</f>
        <v>0.090538562281227</v>
      </c>
      <c r="P62" s="703"/>
      <c r="Q62" s="714" t="n">
        <v>2013</v>
      </c>
      <c r="R62" s="722" t="n">
        <f aca="false">'Cuenta Ahorro-Inversión-Financi'!BF29/1000/'PIB corriente base 2004'!X17</f>
        <v>0.0665922944987349</v>
      </c>
      <c r="S62" s="722"/>
      <c r="T62" s="722" t="n">
        <f aca="false">'Cuenta Ahorro-Inversión-Financi'!BX29/1000/'PIB corriente base 2004'!X17</f>
        <v>0.0131002920580577</v>
      </c>
      <c r="U62" s="722" t="n">
        <f aca="false">'Cuenta Ahorro-Inversión-Financi'!T62+'Cuenta Ahorro-Inversión-Financi'!R62+(('Cuenta Ahorro-Inversión-Financi'!AY29+'Cuenta Ahorro-Inversión-Financi'!BC29)/1000/'PIB corriente base 2004'!X17)</f>
        <v>0.0818006561264896</v>
      </c>
      <c r="V62" s="722" t="n">
        <f aca="false">'Cuenta Ahorro-Inversión-Financi'!BN29/1000/'PIB corriente base 2004'!X17</f>
        <v>0.0131002920580577</v>
      </c>
      <c r="W62" s="708" t="n">
        <f aca="false">'Cuenta Ahorro-Inversión-Financi'!AX29/1000/'PIB corriente base 2004'!X17</f>
        <v>0.0818006561264897</v>
      </c>
      <c r="X62" s="708" t="n">
        <f aca="false">W62</f>
        <v>0.0818006561264897</v>
      </c>
      <c r="Y62" s="708" t="n">
        <f aca="false">'Cuenta Ahorro-Inversión-Financi'!CM29/1000/'PIB corriente base 2004'!X17</f>
        <v>0.00166967888999977</v>
      </c>
      <c r="Z62" s="708" t="n">
        <f aca="false">('Cuenta Ahorro-Inversión-Financi'!CG29)/1000/'PIB corriente base 2004'!X17+'Cuenta Ahorro-Inversión-Financi'!Y62</f>
        <v>0.0846589840875483</v>
      </c>
      <c r="AA62" s="708" t="n">
        <f aca="false">('Cuenta Ahorro-Inversión-Financi'!CG29-'Cuenta Ahorro-Inversión-Financi'!AY29)/1000/'PIB corriente base 2004'!X17</f>
        <v>0.0808859149821987</v>
      </c>
      <c r="AB62" s="703"/>
      <c r="AC62" s="715" t="n">
        <v>2013</v>
      </c>
      <c r="AD62" s="710" t="n">
        <f aca="false">'Cuenta Ahorro-Inversión-Financi'!J62-'Cuenta Ahorro-Inversión-Financi'!X62</f>
        <v>0.005034346431865</v>
      </c>
      <c r="AE62" s="710" t="n">
        <f aca="false">'Cuenta Ahorro-Inversión-Financi'!F62-'Cuenta Ahorro-Inversión-Financi'!R62</f>
        <v>-0.00892039172352486</v>
      </c>
      <c r="AF62" s="710" t="n">
        <f aca="false">'Cuenta Ahorro-Inversión-Financi'!I62-'Cuenta Ahorro-Inversión-Financi'!U62-'Cuenta Ahorro-Inversión-Financi'!H62</f>
        <v>-0.00179690031997486</v>
      </c>
      <c r="AG62" s="710" t="n">
        <f aca="false">'Cuenta Ahorro-Inversión-Financi'!I62-'Cuenta Ahorro-Inversión-Financi'!U62</f>
        <v>0.00503434643186503</v>
      </c>
      <c r="AH62" s="710" t="n">
        <f aca="false">'Cuenta Ahorro-Inversión-Financi'!O62-'Cuenta Ahorro-Inversión-Financi'!U62</f>
        <v>0.00873790615473741</v>
      </c>
      <c r="AI62" s="710" t="n">
        <f aca="false">'Cuenta Ahorro-Inversión-Financi'!F62-('Cuenta Ahorro-Inversión-Financi'!BF29+'Cuenta Ahorro-Inversión-Financi'!BR29)/'PIB corriente base 2004'!X17/1000</f>
        <v>-0.0196350638176708</v>
      </c>
      <c r="AJ62" s="456" t="n">
        <f aca="false">'Cuenta Ahorro-Inversión-Financi'!AH62-'Cuenta Ahorro-Inversión-Financi'!H62</f>
        <v>0.00190665940289753</v>
      </c>
      <c r="AN62" s="711" t="n">
        <v>2013</v>
      </c>
      <c r="AO62" s="710" t="n">
        <f aca="false">'Cuenta Ahorro-Inversión-Financi'!I62</f>
        <v>0.0868350025583547</v>
      </c>
      <c r="AP62" s="710" t="n">
        <f aca="false">'Cuenta Ahorro-Inversión-Financi'!F62</f>
        <v>0.0576719027752101</v>
      </c>
      <c r="AQ62" s="710" t="n">
        <v>0</v>
      </c>
      <c r="AR62" s="710" t="n">
        <f aca="false">'Cuenta Ahorro-Inversión-Financi'!L62</f>
        <v>0.0171367306825722</v>
      </c>
      <c r="AS62" s="710" t="n">
        <f aca="false">'Cuenta Ahorro-Inversión-Financi'!T62+'Cuenta Ahorro-Inversión-Financi'!R62+(('Cuenta Ahorro-Inversión-Financi'!BC29-'Cuenta Ahorro-Inversión-Financi'!BL29-'Cuenta Ahorro-Inversión-Financi'!BV29-'Cuenta Ahorro-Inversión-Financi'!BW29)/1000/'PIB corriente base 2004'!X17)</f>
        <v>0.0791463813957239</v>
      </c>
      <c r="AT62" s="710" t="n">
        <f aca="false">'Cuenta Ahorro-Inversión-Financi'!T62+'Cuenta Ahorro-Inversión-Financi'!R62+(('Cuenta Ahorro-Inversión-Financi'!BC29-'Cuenta Ahorro-Inversión-Financi'!BL29-'Cuenta Ahorro-Inversión-Financi'!BV29-'Cuenta Ahorro-Inversión-Financi'!BW29-'Cuenta Ahorro-Inversión-Financi'!BP29-'Cuenta Ahorro-Inversión-Financi'!BQ29)/1000/'PIB corriente base 2004'!X17)</f>
        <v>0.0787710312694201</v>
      </c>
      <c r="AU62" s="710" t="n">
        <f aca="false">'Cuenta Ahorro-Inversión-Financi'!U62</f>
        <v>0.0818006561264896</v>
      </c>
      <c r="AV62" s="710" t="n">
        <f aca="false">('Cuenta Ahorro-Inversión-Financi'!CH29+'Cuenta Ahorro-Inversión-Financi'!BZ29)/'PIB corriente base 2004'!X17/1000+'Cuenta Ahorro-Inversión-Financi'!Y62</f>
        <v>0.0162914989207585</v>
      </c>
      <c r="AW62" s="710" t="n">
        <f aca="false">'Cuenta Ahorro-Inversión-Financi'!AP62-'Cuenta Ahorro-Inversión-Financi'!AT62</f>
        <v>-0.02109912849421</v>
      </c>
      <c r="AX62" s="710" t="n">
        <f aca="false">'Cuenta Ahorro-Inversión-Financi'!AO62-'Cuenta Ahorro-Inversión-Financi'!AU62</f>
        <v>0.00503434643186503</v>
      </c>
      <c r="AY62" s="710" t="n">
        <f aca="false">'Cuenta Ahorro-Inversión-Financi'!AO62+'Cuenta Ahorro-Inversión-Financi'!AQ62+'Cuenta Ahorro-Inversión-Financi'!AR62-'Cuenta Ahorro-Inversión-Financi'!AU62-'Cuenta Ahorro-Inversión-Financi'!AV62</f>
        <v>0.0058795781936787</v>
      </c>
      <c r="AZ62" s="710" t="n">
        <f aca="false">'Cuenta Ahorro-Inversión-Financi'!AY62-'Cuenta Ahorro-Inversión-Financi'!H62</f>
        <v>-0.000951668558161176</v>
      </c>
      <c r="BA62" s="456" t="n">
        <f aca="false">AU62+AV62</f>
        <v>0.0980921550472481</v>
      </c>
      <c r="BB62" s="456" t="n">
        <v>-0.00178998773781633</v>
      </c>
      <c r="BC62" s="456" t="n">
        <v>0.00501497956274159</v>
      </c>
      <c r="BX62" s="1" t="n">
        <f aca="false">'Cuenta Ahorro-Inversión-Financi'!BF25+'Cuenta Ahorro-Inversión-Financi'!BS25</f>
        <v>73450181.24101</v>
      </c>
      <c r="BY62" s="456" t="n">
        <f aca="false">'Cuenta Ahorro-Inversión-Financi'!BS25/'Cuenta Ahorro-Inversión-Financi'!BX62</f>
        <v>0.0346832264668074</v>
      </c>
    </row>
    <row r="63" customFormat="false" ht="14.45" hidden="false" customHeight="true" outlineLevel="0" collapsed="false">
      <c r="A63" s="703"/>
      <c r="B63" s="703"/>
      <c r="C63" s="703"/>
      <c r="D63" s="703"/>
      <c r="E63" s="705" t="s">
        <v>901</v>
      </c>
      <c r="F63" s="713" t="n">
        <f aca="false">'Cuenta Ahorro-Inversión-Financi'!T30/1000/'PIB corriente base 2004'!X18</f>
        <v>0.0542098068652894</v>
      </c>
      <c r="G63" s="713" t="n">
        <f aca="false">('Cuenta Ahorro-Inversión-Financi'!G30+'Cuenta Ahorro-Inversión-Financi'!S30)/1000/'PIB corriente base 2004'!X18</f>
        <v>0.0225793750807335</v>
      </c>
      <c r="H63" s="713" t="n">
        <f aca="false">'Cuenta Ahorro-Inversión-Financi'!X30/1000/'PIB corriente base 2004'!X18</f>
        <v>0.00838241527111434</v>
      </c>
      <c r="I63" s="713" t="n">
        <f aca="false">'Cuenta Ahorro-Inversión-Financi'!J63</f>
        <v>0.0851715972171373</v>
      </c>
      <c r="J63" s="713" t="n">
        <f aca="false">'Cuenta Ahorro-Inversión-Financi'!F30/1000/'PIB corriente base 2004'!X18</f>
        <v>0.0851715972171373</v>
      </c>
      <c r="K63" s="713" t="n">
        <f aca="false">'Cuenta Ahorro-Inversión-Financi'!T30/1000/'PIB corriente base 2004'!X18</f>
        <v>0.0542098068652894</v>
      </c>
      <c r="L63" s="713" t="n">
        <f aca="false">SUM('Cuenta Ahorro-Inversión-Financi'!AI30:AM30)/1000/'PIB corriente base 2004'!X18</f>
        <v>0.0175040087963095</v>
      </c>
      <c r="M63" s="713" t="n">
        <f aca="false">'Cuenta Ahorro-Inversión-Financi'!AO30/1000/'PIB corriente base 2004'!X18</f>
        <v>0.00420112112720762</v>
      </c>
      <c r="N63" s="718" t="n">
        <f aca="false">'Cuenta Ahorro-Inversión-Financi'!AG30/1000/'PIB corriente base 2004'!X18</f>
        <v>0.0851719902748311</v>
      </c>
      <c r="O63" s="718" t="n">
        <f aca="false">'Cuenta Ahorro-Inversión-Financi'!M63+'Cuenta Ahorro-Inversión-Financi'!I63</f>
        <v>0.0893727183443449</v>
      </c>
      <c r="P63" s="703"/>
      <c r="Q63" s="714" t="n">
        <v>2014</v>
      </c>
      <c r="R63" s="713" t="n">
        <f aca="false">'Cuenta Ahorro-Inversión-Financi'!BF30/1000/'PIB corriente base 2004'!X18</f>
        <v>0.0645559228265026</v>
      </c>
      <c r="S63" s="713"/>
      <c r="T63" s="713" t="n">
        <f aca="false">'Cuenta Ahorro-Inversión-Financi'!BX30/1000/'PIB corriente base 2004'!X18</f>
        <v>0.0130023586657087</v>
      </c>
      <c r="U63" s="713" t="n">
        <f aca="false">'Cuenta Ahorro-Inversión-Financi'!T63+'Cuenta Ahorro-Inversión-Financi'!R63+(('Cuenta Ahorro-Inversión-Financi'!AY30+'Cuenta Ahorro-Inversión-Financi'!BC30)/1000/'PIB corriente base 2004'!X18)</f>
        <v>0.0796396153072454</v>
      </c>
      <c r="V63" s="713" t="n">
        <f aca="false">'Cuenta Ahorro-Inversión-Financi'!BN30/1000/'PIB corriente base 2004'!X18</f>
        <v>0.013735278412184</v>
      </c>
      <c r="W63" s="713" t="n">
        <f aca="false">'Cuenta Ahorro-Inversión-Financi'!AX30/1000/'PIB corriente base 2004'!X18</f>
        <v>0.0796396153072454</v>
      </c>
      <c r="X63" s="713" t="n">
        <f aca="false">W63</f>
        <v>0.0796396153072454</v>
      </c>
      <c r="Y63" s="713" t="n">
        <f aca="false">'Cuenta Ahorro-Inversión-Financi'!CM30/1000/'PIB corriente base 2004'!X18</f>
        <v>0.00180520724704594</v>
      </c>
      <c r="Z63" s="713" t="n">
        <f aca="false">('Cuenta Ahorro-Inversión-Financi'!CG30)/1000/'PIB corriente base 2004'!X18+'Cuenta Ahorro-Inversión-Financi'!Y63</f>
        <v>0.0822831668291991</v>
      </c>
      <c r="AA63" s="713" t="n">
        <f aca="false">('Cuenta Ahorro-Inversión-Financi'!CG30-'Cuenta Ahorro-Inversión-Financi'!AY30)/1000/'PIB corriente base 2004'!X18</f>
        <v>0.0783996393205831</v>
      </c>
      <c r="AB63" s="703"/>
      <c r="AC63" s="715" t="n">
        <v>2014</v>
      </c>
      <c r="AD63" s="713" t="n">
        <f aca="false">'Cuenta Ahorro-Inversión-Financi'!J63-'Cuenta Ahorro-Inversión-Financi'!X63</f>
        <v>0.00553198190989185</v>
      </c>
      <c r="AE63" s="713" t="n">
        <f aca="false">'Cuenta Ahorro-Inversión-Financi'!F63-'Cuenta Ahorro-Inversión-Financi'!R63</f>
        <v>-0.0103461159612132</v>
      </c>
      <c r="AF63" s="713" t="n">
        <f aca="false">'Cuenta Ahorro-Inversión-Financi'!I63-'Cuenta Ahorro-Inversión-Financi'!U63-'Cuenta Ahorro-Inversión-Financi'!H63</f>
        <v>-0.00285043336122248</v>
      </c>
      <c r="AG63" s="713" t="n">
        <f aca="false">'Cuenta Ahorro-Inversión-Financi'!I63-'Cuenta Ahorro-Inversión-Financi'!U63</f>
        <v>0.00553198190989186</v>
      </c>
      <c r="AH63" s="713" t="n">
        <f aca="false">'Cuenta Ahorro-Inversión-Financi'!O63-'Cuenta Ahorro-Inversión-Financi'!U63</f>
        <v>0.00973310303709948</v>
      </c>
      <c r="AI63" s="713" t="n">
        <f aca="false">'Cuenta Ahorro-Inversión-Financi'!F63-('Cuenta Ahorro-Inversión-Financi'!BF30+'Cuenta Ahorro-Inversión-Financi'!BR30)/'PIB corriente base 2004'!X18/1000</f>
        <v>-0.021754181101231</v>
      </c>
      <c r="AJ63" s="456" t="n">
        <f aca="false">'Cuenta Ahorro-Inversión-Financi'!AH63-'Cuenta Ahorro-Inversión-Financi'!H63</f>
        <v>0.00135068776598514</v>
      </c>
      <c r="AN63" s="711" t="n">
        <v>2014</v>
      </c>
      <c r="AO63" s="713" t="n">
        <f aca="false">'Cuenta Ahorro-Inversión-Financi'!I63</f>
        <v>0.0851715972171373</v>
      </c>
      <c r="AP63" s="713" t="n">
        <f aca="false">'Cuenta Ahorro-Inversión-Financi'!F63</f>
        <v>0.0542098068652894</v>
      </c>
      <c r="AQ63" s="713" t="n">
        <v>0</v>
      </c>
      <c r="AR63" s="713" t="n">
        <f aca="false">'Cuenta Ahorro-Inversión-Financi'!L63</f>
        <v>0.0175040087963095</v>
      </c>
      <c r="AS63" s="713" t="n">
        <f aca="false">'Cuenta Ahorro-Inversión-Financi'!T63+'Cuenta Ahorro-Inversión-Financi'!R63+(('Cuenta Ahorro-Inversión-Financi'!BC30-'Cuenta Ahorro-Inversión-Financi'!BL30-'Cuenta Ahorro-Inversión-Financi'!BV30-'Cuenta Ahorro-Inversión-Financi'!BW30)/1000/'PIB corriente base 2004'!X18)</f>
        <v>0.0763034143747544</v>
      </c>
      <c r="AT63" s="713" t="n">
        <f aca="false">'Cuenta Ahorro-Inversión-Financi'!T63+'Cuenta Ahorro-Inversión-Financi'!R63+(('Cuenta Ahorro-Inversión-Financi'!BC30-'Cuenta Ahorro-Inversión-Financi'!BL30-'Cuenta Ahorro-Inversión-Financi'!BV30-'Cuenta Ahorro-Inversión-Financi'!BW30-'Cuenta Ahorro-Inversión-Financi'!BP30-'Cuenta Ahorro-Inversión-Financi'!BQ30)/1000/'PIB corriente base 2004'!X18)</f>
        <v>0.0759516663570708</v>
      </c>
      <c r="AU63" s="713" t="n">
        <f aca="false">'Cuenta Ahorro-Inversión-Financi'!U63</f>
        <v>0.0796396153072454</v>
      </c>
      <c r="AV63" s="713" t="n">
        <f aca="false">('Cuenta Ahorro-Inversión-Financi'!CH30+'Cuenta Ahorro-Inversión-Financi'!BZ30)/'PIB corriente base 2004'!X18/1000+'Cuenta Ahorro-Inversión-Financi'!Y63</f>
        <v>0.0159464391910555</v>
      </c>
      <c r="AW63" s="713" t="n">
        <f aca="false">'Cuenta Ahorro-Inversión-Financi'!AP63-'Cuenta Ahorro-Inversión-Financi'!AT63</f>
        <v>-0.0217418594917814</v>
      </c>
      <c r="AX63" s="713" t="n">
        <f aca="false">'Cuenta Ahorro-Inversión-Financi'!AO63-'Cuenta Ahorro-Inversión-Financi'!AU63</f>
        <v>0.00553198190989186</v>
      </c>
      <c r="AY63" s="713" t="n">
        <f aca="false">'Cuenta Ahorro-Inversión-Financi'!AO63+'Cuenta Ahorro-Inversión-Financi'!AQ63+'Cuenta Ahorro-Inversión-Financi'!AR63-'Cuenta Ahorro-Inversión-Financi'!AU63-'Cuenta Ahorro-Inversión-Financi'!AV63</f>
        <v>0.00708955151514588</v>
      </c>
      <c r="AZ63" s="713" t="n">
        <f aca="false">'Cuenta Ahorro-Inversión-Financi'!AY63-'Cuenta Ahorro-Inversión-Financi'!H63</f>
        <v>-0.00129286375596846</v>
      </c>
      <c r="BA63" s="456" t="n">
        <f aca="false">AU63+AV63</f>
        <v>0.095586054498301</v>
      </c>
      <c r="BB63" s="456" t="n">
        <v>-0.00356029321928419</v>
      </c>
      <c r="BC63" s="456" t="n">
        <v>0.0047681788441756</v>
      </c>
      <c r="BX63" s="1" t="n">
        <f aca="false">'Cuenta Ahorro-Inversión-Financi'!BF26+'Cuenta Ahorro-Inversión-Financi'!BS26</f>
        <v>91521747.44181</v>
      </c>
      <c r="BY63" s="456" t="n">
        <f aca="false">'Cuenta Ahorro-Inversión-Financi'!BS26/'Cuenta Ahorro-Inversión-Financi'!BX63</f>
        <v>0.0345730058680512</v>
      </c>
    </row>
    <row r="64" customFormat="false" ht="14.45" hidden="false" customHeight="true" outlineLevel="0" collapsed="false">
      <c r="A64" s="703"/>
      <c r="B64" s="703"/>
      <c r="C64" s="703"/>
      <c r="D64" s="703"/>
      <c r="E64" s="725" t="s">
        <v>902</v>
      </c>
      <c r="F64" s="706" t="n">
        <f aca="false">'Cuenta Ahorro-Inversión-Financi'!T31/1000/'PIB corriente base 2004'!X19</f>
        <v>0.0564297158299164</v>
      </c>
      <c r="G64" s="706" t="n">
        <f aca="false">('Cuenta Ahorro-Inversión-Financi'!G31+'Cuenta Ahorro-Inversión-Financi'!S31)/1000/'PIB corriente base 2004'!X19</f>
        <v>0.0236426052651485</v>
      </c>
      <c r="H64" s="706" t="n">
        <f aca="false">'Cuenta Ahorro-Inversión-Financi'!X31/1000/'PIB corriente base 2004'!X19</f>
        <v>0.00893120932488722</v>
      </c>
      <c r="I64" s="706" t="n">
        <f aca="false">'Cuenta Ahorro-Inversión-Financi'!J64</f>
        <v>0.0890035304199522</v>
      </c>
      <c r="J64" s="706" t="n">
        <f aca="false">'Cuenta Ahorro-Inversión-Financi'!F31/1000/'PIB corriente base 2004'!X19</f>
        <v>0.0890035304199522</v>
      </c>
      <c r="K64" s="706" t="n">
        <f aca="false">'Cuenta Ahorro-Inversión-Financi'!T31/1000/'PIB corriente base 2004'!X19</f>
        <v>0.0564297158299164</v>
      </c>
      <c r="L64" s="706" t="n">
        <f aca="false">SUM('Cuenta Ahorro-Inversión-Financi'!AI31:AM31)/1000/'PIB corriente base 2004'!X19</f>
        <v>0.0178031916850921</v>
      </c>
      <c r="M64" s="706" t="n">
        <f aca="false">'Cuenta Ahorro-Inversión-Financi'!AO31/1000/'PIB corriente base 2004'!X19</f>
        <v>0.00362904076122233</v>
      </c>
      <c r="N64" s="706" t="n">
        <f aca="false">'Cuenta Ahorro-Inversión-Financi'!AG31/1000/'PIB corriente base 2004'!X19</f>
        <v>0.0890035625299765</v>
      </c>
      <c r="O64" s="706" t="n">
        <f aca="false">'Cuenta Ahorro-Inversión-Financi'!M64+'Cuenta Ahorro-Inversión-Financi'!I64</f>
        <v>0.0926325711811745</v>
      </c>
      <c r="P64" s="703"/>
      <c r="Q64" s="714" t="n">
        <v>2015</v>
      </c>
      <c r="R64" s="722" t="n">
        <f aca="false">'Cuenta Ahorro-Inversión-Financi'!BF31/1000/'PIB corriente base 2004'!X19</f>
        <v>0.0727904762035428</v>
      </c>
      <c r="S64" s="722"/>
      <c r="T64" s="722" t="n">
        <f aca="false">'Cuenta Ahorro-Inversión-Financi'!BX31/1000/'PIB corriente base 2004'!X19</f>
        <v>0.0142397374282983</v>
      </c>
      <c r="U64" s="722" t="n">
        <f aca="false">'Cuenta Ahorro-Inversión-Financi'!T64+'Cuenta Ahorro-Inversión-Financi'!R64+(('Cuenta Ahorro-Inversión-Financi'!AY31+'Cuenta Ahorro-Inversión-Financi'!BC31)/1000/'PIB corriente base 2004'!X19)</f>
        <v>0.0891294674359281</v>
      </c>
      <c r="V64" s="722" t="n">
        <f aca="false">'Cuenta Ahorro-Inversión-Financi'!BN31/1000/'PIB corriente base 2004'!X19</f>
        <v>0.0155820139455487</v>
      </c>
      <c r="W64" s="708" t="n">
        <f aca="false">'Cuenta Ahorro-Inversión-Financi'!AX31/1000/'PIB corriente base 2004'!X19</f>
        <v>0.0891294674359281</v>
      </c>
      <c r="X64" s="708" t="n">
        <f aca="false">W64</f>
        <v>0.0891294674359281</v>
      </c>
      <c r="Y64" s="708" t="n">
        <f aca="false">'Cuenta Ahorro-Inversión-Financi'!CM31/1000/'PIB corriente base 2004'!X19</f>
        <v>0.00171424659032606</v>
      </c>
      <c r="Z64" s="708" t="n">
        <f aca="false">('Cuenta Ahorro-Inversión-Financi'!CG31)/1000/'PIB corriente base 2004'!X19+'Cuenta Ahorro-Inversión-Financi'!Y64</f>
        <v>0.0912086949180605</v>
      </c>
      <c r="AA64" s="708" t="n">
        <f aca="false">('Cuenta Ahorro-Inversión-Financi'!CG31-'Cuenta Ahorro-Inversión-Financi'!AY31)/1000/'PIB corriente base 2004'!X19</f>
        <v>0.0873976374123707</v>
      </c>
      <c r="AB64" s="710"/>
      <c r="AC64" s="715" t="n">
        <v>2015</v>
      </c>
      <c r="AD64" s="710" t="n">
        <f aca="false">'Cuenta Ahorro-Inversión-Financi'!J64-'Cuenta Ahorro-Inversión-Financi'!X64</f>
        <v>-0.000125937015975991</v>
      </c>
      <c r="AE64" s="710" t="n">
        <f aca="false">'Cuenta Ahorro-Inversión-Financi'!F64-'Cuenta Ahorro-Inversión-Financi'!R64</f>
        <v>-0.0163607603736264</v>
      </c>
      <c r="AF64" s="710" t="n">
        <f aca="false">'Cuenta Ahorro-Inversión-Financi'!I64-'Cuenta Ahorro-Inversión-Financi'!U64-'Cuenta Ahorro-Inversión-Financi'!H64</f>
        <v>-0.0090571463408632</v>
      </c>
      <c r="AG64" s="710" t="n">
        <f aca="false">'Cuenta Ahorro-Inversión-Financi'!I64-'Cuenta Ahorro-Inversión-Financi'!U64</f>
        <v>-0.000125937015975977</v>
      </c>
      <c r="AH64" s="710" t="n">
        <f aca="false">'Cuenta Ahorro-Inversión-Financi'!O64-'Cuenta Ahorro-Inversión-Financi'!U64</f>
        <v>0.00350310374524636</v>
      </c>
      <c r="AI64" s="710" t="n">
        <f aca="false">'Cuenta Ahorro-Inversión-Financi'!F64-('Cuenta Ahorro-Inversión-Financi'!BF31+'Cuenta Ahorro-Inversión-Financi'!BR31-'Cuenta Ahorro-Inversión-Financi'!BV31)/'PIB corriente base 2004'!X19/1000</f>
        <v>-0.0281992343233266</v>
      </c>
      <c r="AJ64" s="456" t="n">
        <f aca="false">'Cuenta Ahorro-Inversión-Financi'!AH64-'Cuenta Ahorro-Inversión-Financi'!H64</f>
        <v>-0.00542810557964086</v>
      </c>
      <c r="AN64" s="711" t="n">
        <v>2015</v>
      </c>
      <c r="AO64" s="710" t="n">
        <f aca="false">'Cuenta Ahorro-Inversión-Financi'!I64</f>
        <v>0.0890035304199522</v>
      </c>
      <c r="AP64" s="710" t="n">
        <f aca="false">'Cuenta Ahorro-Inversión-Financi'!F64</f>
        <v>0.0564297158299164</v>
      </c>
      <c r="AQ64" s="710" t="n">
        <v>0</v>
      </c>
      <c r="AR64" s="710" t="n">
        <f aca="false">'Cuenta Ahorro-Inversión-Financi'!L64</f>
        <v>0.0178031916850921</v>
      </c>
      <c r="AS64" s="710" t="n">
        <f aca="false">'Cuenta Ahorro-Inversión-Financi'!T64+'Cuenta Ahorro-Inversión-Financi'!R64+(('Cuenta Ahorro-Inversión-Financi'!BC31-'Cuenta Ahorro-Inversión-Financi'!BL31-'Cuenta Ahorro-Inversión-Financi'!BV31-'Cuenta Ahorro-Inversión-Financi'!BW31)/1000/'PIB corriente base 2004'!X19)</f>
        <v>0.0851093604565191</v>
      </c>
      <c r="AT64" s="710" t="n">
        <f aca="false">'Cuenta Ahorro-Inversión-Financi'!T64+'Cuenta Ahorro-Inversión-Financi'!R64+(('Cuenta Ahorro-Inversión-Financi'!BC31-'Cuenta Ahorro-Inversión-Financi'!BL31-'Cuenta Ahorro-Inversión-Financi'!BV31-'Cuenta Ahorro-Inversión-Financi'!BW31-'Cuenta Ahorro-Inversión-Financi'!BP31-'Cuenta Ahorro-Inversión-Financi'!BQ31)/1000/'PIB corriente base 2004'!X19)</f>
        <v>0.0847387751477364</v>
      </c>
      <c r="AU64" s="710" t="n">
        <f aca="false">'Cuenta Ahorro-Inversión-Financi'!U64</f>
        <v>0.0891294674359281</v>
      </c>
      <c r="AV64" s="710" t="n">
        <f aca="false">('Cuenta Ahorro-Inversión-Financi'!CH31+'Cuenta Ahorro-Inversión-Financi'!BZ31)/'PIB corriente base 2004'!X19/1000+'Cuenta Ahorro-Inversión-Financi'!Y64</f>
        <v>0.0162533784060021</v>
      </c>
      <c r="AW64" s="710" t="n">
        <f aca="false">'Cuenta Ahorro-Inversión-Financi'!AP64-'Cuenta Ahorro-Inversión-Financi'!AT64</f>
        <v>-0.02830905931782</v>
      </c>
      <c r="AX64" s="710" t="n">
        <f aca="false">'Cuenta Ahorro-Inversión-Financi'!AO64-'Cuenta Ahorro-Inversión-Financi'!AU64</f>
        <v>-0.000125937015975977</v>
      </c>
      <c r="AY64" s="710" t="n">
        <f aca="false">'Cuenta Ahorro-Inversión-Financi'!AO64+'Cuenta Ahorro-Inversión-Financi'!AQ64+'Cuenta Ahorro-Inversión-Financi'!AR64-'Cuenta Ahorro-Inversión-Financi'!AU64-'Cuenta Ahorro-Inversión-Financi'!AV64</f>
        <v>0.00142387626311401</v>
      </c>
      <c r="AZ64" s="710" t="n">
        <f aca="false">'Cuenta Ahorro-Inversión-Financi'!AY64-'Cuenta Ahorro-Inversión-Financi'!H64</f>
        <v>-0.00750733306177321</v>
      </c>
      <c r="BA64" s="456" t="n">
        <f aca="false">AU64+AV64</f>
        <v>0.10538284584193</v>
      </c>
      <c r="BB64" s="456" t="n">
        <v>-0.00921259860891338</v>
      </c>
      <c r="BC64" s="456" t="n">
        <v>-0.000128066327956403</v>
      </c>
      <c r="BX64" s="1" t="n">
        <f aca="false">'Cuenta Ahorro-Inversión-Financi'!BF27+'Cuenta Ahorro-Inversión-Financi'!BS27</f>
        <v>126381818.04959</v>
      </c>
      <c r="BY64" s="456" t="n">
        <f aca="false">'Cuenta Ahorro-Inversión-Financi'!BS27/'Cuenta Ahorro-Inversión-Financi'!BX64</f>
        <v>0.0346025794341244</v>
      </c>
    </row>
    <row r="65" customFormat="false" ht="14.45" hidden="false" customHeight="true" outlineLevel="0" collapsed="false">
      <c r="A65" s="703"/>
      <c r="B65" s="703"/>
      <c r="C65" s="703"/>
      <c r="D65" s="703"/>
      <c r="E65" s="725" t="s">
        <v>903</v>
      </c>
      <c r="F65" s="713" t="n">
        <f aca="false">'Cuenta Ahorro-Inversión-Financi'!T32/1000/'PIB corriente base 2004'!X20</f>
        <v>0.0546875274954749</v>
      </c>
      <c r="G65" s="713" t="n">
        <f aca="false">('Cuenta Ahorro-Inversión-Financi'!G32+'Cuenta Ahorro-Inversión-Financi'!S32)/1000/'PIB corriente base 2004'!X20</f>
        <v>0.0338118602116522</v>
      </c>
      <c r="H65" s="713" t="n">
        <f aca="false">'Cuenta Ahorro-Inversión-Financi'!X32/1000/'PIB corriente base 2004'!X20</f>
        <v>0.00880758496959625</v>
      </c>
      <c r="I65" s="713" t="n">
        <f aca="false">'Cuenta Ahorro-Inversión-Financi'!J65</f>
        <v>0.0973069726767233</v>
      </c>
      <c r="J65" s="713" t="n">
        <f aca="false">'Cuenta Ahorro-Inversión-Financi'!F32/1000/'PIB corriente base 2004'!X20</f>
        <v>0.0973069726767233</v>
      </c>
      <c r="K65" s="713" t="n">
        <f aca="false">'Cuenta Ahorro-Inversión-Financi'!T32/1000/'PIB corriente base 2004'!X20</f>
        <v>0.0546875274954749</v>
      </c>
      <c r="L65" s="713" t="n">
        <f aca="false">SUM('Cuenta Ahorro-Inversión-Financi'!AI32:AM32)/1000/'PIB corriente base 2004'!X20</f>
        <v>0.0170502765613292</v>
      </c>
      <c r="M65" s="713" t="n">
        <f aca="false">'Cuenta Ahorro-Inversión-Financi'!AO32/1000/'PIB corriente base 2004'!X20</f>
        <v>0.00357999676517328</v>
      </c>
      <c r="N65" s="713" t="n">
        <f aca="false">'Cuenta Ahorro-Inversión-Financi'!AG32/1000/'PIB corriente base 2004'!X20</f>
        <v>0.0973075317601221</v>
      </c>
      <c r="O65" s="713" t="n">
        <f aca="false">'Cuenta Ahorro-Inversión-Financi'!M65+'Cuenta Ahorro-Inversión-Financi'!I65</f>
        <v>0.100886969441897</v>
      </c>
      <c r="P65" s="703"/>
      <c r="Q65" s="714" t="n">
        <v>2016</v>
      </c>
      <c r="R65" s="726" t="n">
        <f aca="false">'Cuenta Ahorro-Inversión-Financi'!BF32/1000/'PIB corriente base 2004'!X20</f>
        <v>0.0734052495921815</v>
      </c>
      <c r="S65" s="726" t="n">
        <f aca="false">('Cuenta Ahorro-Inversión-Financi'!BF32-V75/1000)/1000/'PIB corriente base 2004'!X20</f>
        <v>0.0730410743804782</v>
      </c>
      <c r="T65" s="726" t="n">
        <f aca="false">'Cuenta Ahorro-Inversión-Financi'!BX32/1000/'PIB corriente base 2004'!X20</f>
        <v>0.0189823374662956</v>
      </c>
      <c r="U65" s="726" t="n">
        <f aca="false">'Cuenta Ahorro-Inversión-Financi'!T65+'Cuenta Ahorro-Inversión-Financi'!R65+(('Cuenta Ahorro-Inversión-Financi'!AY32+'Cuenta Ahorro-Inversión-Financi'!BC32)/1000/'PIB corriente base 2004'!X20)</f>
        <v>0.0941583125499129</v>
      </c>
      <c r="V65" s="726" t="n">
        <f aca="false">'Cuenta Ahorro-Inversión-Financi'!BN32/1000/'PIB corriente base 2004'!X20</f>
        <v>0.0204169278190341</v>
      </c>
      <c r="W65" s="713" t="n">
        <f aca="false">'Cuenta Ahorro-Inversión-Financi'!AX32/1000/'PIB corriente base 2004'!X20</f>
        <v>0.0941583125499129</v>
      </c>
      <c r="X65" s="713" t="n">
        <f aca="false">('Cuenta Ahorro-Inversión-Financi'!AX32-V75/1000)/1000/'PIB corriente base 2004'!X20</f>
        <v>0.0937941373382097</v>
      </c>
      <c r="Y65" s="713" t="n">
        <f aca="false">'Cuenta Ahorro-Inversión-Financi'!CM32/1000/'PIB corriente base 2004'!X20</f>
        <v>0.00197107261819154</v>
      </c>
      <c r="Z65" s="713" t="n">
        <f aca="false">('Cuenta Ahorro-Inversión-Financi'!CG32)/1000/'PIB corriente base 2004'!X20+'Cuenta Ahorro-Inversión-Financi'!Y65</f>
        <v>0.0964037851152477</v>
      </c>
      <c r="AA65" s="713" t="n">
        <f aca="false">('Cuenta Ahorro-Inversión-Financi'!CG32-'Cuenta Ahorro-Inversión-Financi'!AY32)/1000/'PIB corriente base 2004'!X20</f>
        <v>0.0926638504222064</v>
      </c>
      <c r="AB65" s="703"/>
      <c r="AC65" s="715" t="n">
        <v>2016</v>
      </c>
      <c r="AD65" s="713" t="n">
        <f aca="false">'Cuenta Ahorro-Inversión-Financi'!J65-'Cuenta Ahorro-Inversión-Financi'!X65</f>
        <v>0.00351283533851367</v>
      </c>
      <c r="AE65" s="713" t="n">
        <f aca="false">'Cuenta Ahorro-Inversión-Financi'!F65-'Cuenta Ahorro-Inversión-Financi'!S65</f>
        <v>-0.0183535468850034</v>
      </c>
      <c r="AF65" s="713" t="n">
        <f aca="false">'Cuenta Ahorro-Inversión-Financi'!I65-'Cuenta Ahorro-Inversión-Financi'!X65-'Cuenta Ahorro-Inversión-Financi'!H65</f>
        <v>-0.00529474963108259</v>
      </c>
      <c r="AG65" s="713" t="n">
        <f aca="false">'Cuenta Ahorro-Inversión-Financi'!I65-'Cuenta Ahorro-Inversión-Financi'!X65</f>
        <v>0.00351283533851367</v>
      </c>
      <c r="AH65" s="713" t="n">
        <f aca="false">'Cuenta Ahorro-Inversión-Financi'!O65-'Cuenta Ahorro-Inversión-Financi'!X65</f>
        <v>0.00709283210368694</v>
      </c>
      <c r="AI65" s="713" t="n">
        <f aca="false">'Cuenta Ahorro-Inversión-Financi'!F65-('Cuenta Ahorro-Inversión-Financi'!BF32+'Cuenta Ahorro-Inversión-Financi'!BR32-'Cuenta Ahorro-Inversión-Financi'!BV32-7076808)/'PIB corriente base 2004'!X20/1000</f>
        <v>-0.0334394743667076</v>
      </c>
      <c r="AJ65" s="456" t="n">
        <f aca="false">'Cuenta Ahorro-Inversión-Financi'!AH65-'Cuenta Ahorro-Inversión-Financi'!H65</f>
        <v>-0.00171475286590931</v>
      </c>
      <c r="AN65" s="711" t="n">
        <v>2016</v>
      </c>
      <c r="AO65" s="713" t="n">
        <f aca="false">'Cuenta Ahorro-Inversión-Financi'!I65</f>
        <v>0.0973069726767233</v>
      </c>
      <c r="AP65" s="713" t="n">
        <f aca="false">'Cuenta Ahorro-Inversión-Financi'!F65</f>
        <v>0.0546875274954749</v>
      </c>
      <c r="AQ65" s="713" t="n">
        <f aca="false">'Cuenta Ahorro-Inversión-Financi'!I32/'PIB corriente base 2004'!X20/1000</f>
        <v>0.0125824966432202</v>
      </c>
      <c r="AR65" s="713" t="n">
        <f aca="false">'Cuenta Ahorro-Inversión-Financi'!L65</f>
        <v>0.0170502765613292</v>
      </c>
      <c r="AS65" s="713" t="n">
        <f aca="false">'Cuenta Ahorro-Inversión-Financi'!T65+'Cuenta Ahorro-Inversión-Financi'!R65+(('Cuenta Ahorro-Inversión-Financi'!BC32-'Cuenta Ahorro-Inversión-Financi'!BL32-'Cuenta Ahorro-Inversión-Financi'!BV32-'Cuenta Ahorro-Inversión-Financi'!BW32)/1000/'PIB corriente base 2004'!X20)-DJ31</f>
        <v>0.0900059626482562</v>
      </c>
      <c r="AT65" s="713" t="n">
        <f aca="false">'Cuenta Ahorro-Inversión-Financi'!T65+'Cuenta Ahorro-Inversión-Financi'!R65+(('Cuenta Ahorro-Inversión-Financi'!BC32-'Cuenta Ahorro-Inversión-Financi'!BL32-'Cuenta Ahorro-Inversión-Financi'!BV32-'Cuenta Ahorro-Inversión-Financi'!BW32-'Cuenta Ahorro-Inversión-Financi'!BP32-'Cuenta Ahorro-Inversión-Financi'!BQ32)/1000/'PIB corriente base 2004'!X20)-DJ31</f>
        <v>0.0873212412258694</v>
      </c>
      <c r="AU65" s="713" t="n">
        <f aca="false">'Cuenta Ahorro-Inversión-Financi'!X65</f>
        <v>0.0937941373382097</v>
      </c>
      <c r="AV65" s="713" t="n">
        <f aca="false">('Cuenta Ahorro-Inversión-Financi'!CH32+'Cuenta Ahorro-Inversión-Financi'!BZ32)/'PIB corriente base 2004'!X20/1000+'Cuenta Ahorro-Inversión-Financi'!Y65</f>
        <v>0.0157135432398074</v>
      </c>
      <c r="AW65" s="713" t="n">
        <f aca="false">'Cuenta Ahorro-Inversión-Financi'!AP65-'Cuenta Ahorro-Inversión-Financi'!AT65</f>
        <v>-0.0326337137303945</v>
      </c>
      <c r="AX65" s="713" t="n">
        <f aca="false">'Cuenta Ahorro-Inversión-Financi'!AO65-'Cuenta Ahorro-Inversión-Financi'!AU65</f>
        <v>0.00351283533851367</v>
      </c>
      <c r="AY65" s="713" t="n">
        <f aca="false">'Cuenta Ahorro-Inversión-Financi'!AO65-'Cuenta Ahorro-Inversión-Financi'!AQ65+'Cuenta Ahorro-Inversión-Financi'!AR65-'Cuenta Ahorro-Inversión-Financi'!AU65-'Cuenta Ahorro-Inversión-Financi'!AV65</f>
        <v>-0.00773292798318479</v>
      </c>
      <c r="AZ65" s="713" t="n">
        <f aca="false">'Cuenta Ahorro-Inversión-Financi'!AY65-'Cuenta Ahorro-Inversión-Financi'!H65</f>
        <v>-0.016540512952781</v>
      </c>
      <c r="BA65" s="456" t="n">
        <f aca="false">AU65+AV65</f>
        <v>0.109507680578017</v>
      </c>
      <c r="BO65" s="1" t="n">
        <f aca="false">'Cuenta Ahorro-Inversión-Financi'!BF28+'Cuenta Ahorro-Inversión-Financi'!BS28</f>
        <v>174760361.64049</v>
      </c>
      <c r="BP65" s="456" t="n">
        <f aca="false">'Cuenta Ahorro-Inversión-Financi'!BS28/'Cuenta Ahorro-Inversión-Financi'!BO65</f>
        <v>0.0345930405125079</v>
      </c>
    </row>
    <row r="66" customFormat="false" ht="14.45" hidden="false" customHeight="true" outlineLevel="0" collapsed="false">
      <c r="A66" s="703"/>
      <c r="B66" s="703"/>
      <c r="C66" s="703"/>
      <c r="D66" s="703"/>
      <c r="E66" s="725" t="s">
        <v>907</v>
      </c>
      <c r="F66" s="706" t="n">
        <f aca="false">'Cuenta Ahorro-Inversión-Financi'!T33/1000/'PIB corriente base 2004'!X21</f>
        <v>0.055590096056665</v>
      </c>
      <c r="G66" s="706" t="n">
        <f aca="false">('Cuenta Ahorro-Inversión-Financi'!G33+'Cuenta Ahorro-Inversión-Financi'!S33)/1000/'PIB corriente base 2004'!X21</f>
        <v>0.0255748356540204</v>
      </c>
      <c r="H66" s="706" t="n">
        <f aca="false">'Cuenta Ahorro-Inversión-Financi'!X33/1000/'PIB corriente base 2004'!X21</f>
        <v>0.0103596875406384</v>
      </c>
      <c r="I66" s="706" t="n">
        <f aca="false">'Cuenta Ahorro-Inversión-Financi'!J66</f>
        <v>0.0915246192513237</v>
      </c>
      <c r="J66" s="706" t="n">
        <f aca="false">'Cuenta Ahorro-Inversión-Financi'!F33/1000/'PIB corriente base 2004'!X21</f>
        <v>0.0915246192513237</v>
      </c>
      <c r="K66" s="706" t="n">
        <f aca="false">'Cuenta Ahorro-Inversión-Financi'!T33/1000/'PIB corriente base 2004'!X21</f>
        <v>0.055590096056665</v>
      </c>
      <c r="L66" s="706" t="n">
        <f aca="false">SUM('Cuenta Ahorro-Inversión-Financi'!AI33:AM33)/1000/'PIB corriente base 2004'!X21</f>
        <v>0.0170222865326478</v>
      </c>
      <c r="M66" s="706" t="n">
        <f aca="false">'Cuenta Ahorro-Inversión-Financi'!AO33/1000/'PIB corriente base 2004'!X21</f>
        <v>0.00428888246217367</v>
      </c>
      <c r="N66" s="706" t="n">
        <f aca="false">'Cuenta Ahorro-Inversión-Financi'!AG33/1000/'PIB corriente base 2004'!X21</f>
        <v>0.0915247549270439</v>
      </c>
      <c r="O66" s="706" t="n">
        <f aca="false">'Cuenta Ahorro-Inversión-Financi'!M66+'Cuenta Ahorro-Inversión-Financi'!I66</f>
        <v>0.0958135017134974</v>
      </c>
      <c r="P66" s="703"/>
      <c r="Q66" s="714" t="n">
        <v>2017</v>
      </c>
      <c r="R66" s="722" t="n">
        <f aca="false">'Cuenta Ahorro-Inversión-Financi'!BF33/1000/'PIB corriente base 2004'!X21</f>
        <v>0.0802812285820589</v>
      </c>
      <c r="S66" s="722" t="n">
        <f aca="false">('Cuenta Ahorro-Inversión-Financi'!BF33-V76/1000)/1000/'PIB corriente base 2004'!X21</f>
        <v>0.0763864240518465</v>
      </c>
      <c r="T66" s="722" t="n">
        <f aca="false">'Cuenta Ahorro-Inversión-Financi'!BX33/1000/'PIB corriente base 2004'!X21</f>
        <v>0.0178844223922627</v>
      </c>
      <c r="U66" s="722" t="n">
        <f aca="false">'Cuenta Ahorro-Inversión-Financi'!T66+'Cuenta Ahorro-Inversión-Financi'!R66+(('Cuenta Ahorro-Inversión-Financi'!AY33+'Cuenta Ahorro-Inversión-Financi'!BC33)/1000/'PIB corriente base 2004'!X21)</f>
        <v>0.0998927019121354</v>
      </c>
      <c r="V66" s="722" t="n">
        <f aca="false">'Cuenta Ahorro-Inversión-Financi'!BN33/1000/'PIB corriente base 2004'!X21</f>
        <v>0.0189897770389836</v>
      </c>
      <c r="W66" s="708" t="n">
        <f aca="false">'Cuenta Ahorro-Inversión-Financi'!AX33/1000/'PIB corriente base 2004'!X21</f>
        <v>0.0998927019121354</v>
      </c>
      <c r="X66" s="708" t="n">
        <f aca="false">('Cuenta Ahorro-Inversión-Financi'!AX33-V76/1000)/1000/'PIB corriente base 2004'!X21</f>
        <v>0.0959978973819231</v>
      </c>
      <c r="Y66" s="708" t="n">
        <f aca="false">'Cuenta Ahorro-Inversión-Financi'!CM33/1000/'PIB corriente base 2004'!X21</f>
        <v>0.00169318277702991</v>
      </c>
      <c r="Z66" s="708" t="n">
        <f aca="false">('Cuenta Ahorro-Inversión-Financi'!CG33)/1000/'PIB corriente base 2004'!X21+'Cuenta Ahorro-Inversión-Financi'!Y66</f>
        <v>0.10163915276192</v>
      </c>
      <c r="AA66" s="708" t="n">
        <f aca="false">('Cuenta Ahorro-Inversión-Financi'!CG33-'Cuenta Ahorro-Inversión-Financi'!AY33)/1000/'PIB corriente base 2004'!X21</f>
        <v>0.0982246704562847</v>
      </c>
      <c r="AB66" s="703"/>
      <c r="AC66" s="715" t="n">
        <v>2017</v>
      </c>
      <c r="AD66" s="710" t="n">
        <f aca="false">'Cuenta Ahorro-Inversión-Financi'!J66-'Cuenta Ahorro-Inversión-Financi'!X66</f>
        <v>-0.00447327813059935</v>
      </c>
      <c r="AE66" s="710" t="n">
        <f aca="false">'Cuenta Ahorro-Inversión-Financi'!F66-'Cuenta Ahorro-Inversión-Financi'!S66</f>
        <v>-0.0207963279951815</v>
      </c>
      <c r="AF66" s="710" t="n">
        <f aca="false">'Cuenta Ahorro-Inversión-Financi'!I66-'Cuenta Ahorro-Inversión-Financi'!X66-'Cuenta Ahorro-Inversión-Financi'!H66</f>
        <v>-0.0148329656712377</v>
      </c>
      <c r="AG66" s="710" t="n">
        <f aca="false">'Cuenta Ahorro-Inversión-Financi'!I66-'Cuenta Ahorro-Inversión-Financi'!X66</f>
        <v>-0.00447327813059935</v>
      </c>
      <c r="AH66" s="710" t="n">
        <f aca="false">'Cuenta Ahorro-Inversión-Financi'!O66-'Cuenta Ahorro-Inversión-Financi'!X66</f>
        <v>-0.00018439566842568</v>
      </c>
      <c r="AI66" s="710" t="n">
        <f aca="false">'Cuenta Ahorro-Inversión-Financi'!F66-('Cuenta Ahorro-Inversión-Financi'!BF33+'Cuenta Ahorro-Inversión-Financi'!BR33-'Cuenta Ahorro-Inversión-Financi'!BV33-65807027)/'PIB corriente base 2004'!X21/1000</f>
        <v>-0.032995458584196</v>
      </c>
      <c r="AJ66" s="456" t="n">
        <f aca="false">'Cuenta Ahorro-Inversión-Financi'!AH66-'Cuenta Ahorro-Inversión-Financi'!H66</f>
        <v>-0.010544083209064</v>
      </c>
      <c r="AN66" s="711" t="n">
        <v>2017</v>
      </c>
      <c r="AO66" s="710" t="n">
        <f aca="false">'Cuenta Ahorro-Inversión-Financi'!I66</f>
        <v>0.0915246192513237</v>
      </c>
      <c r="AP66" s="710" t="n">
        <f aca="false">'Cuenta Ahorro-Inversión-Financi'!F66</f>
        <v>0.055590096056665</v>
      </c>
      <c r="AQ66" s="710" t="n">
        <f aca="false">'Cuenta Ahorro-Inversión-Financi'!I33/'PIB corriente base 2004'!X21/1000</f>
        <v>0.00420963634008006</v>
      </c>
      <c r="AR66" s="710" t="n">
        <f aca="false">'Cuenta Ahorro-Inversión-Financi'!L66</f>
        <v>0.0170222865326478</v>
      </c>
      <c r="AS66" s="710" t="n">
        <f aca="false">'Cuenta Ahorro-Inversión-Financi'!T66+'Cuenta Ahorro-Inversión-Financi'!R66+(('Cuenta Ahorro-Inversión-Financi'!BC33-'Cuenta Ahorro-Inversión-Financi'!BL33-'Cuenta Ahorro-Inversión-Financi'!BV33-'Cuenta Ahorro-Inversión-Financi'!BW33)/1000/'PIB corriente base 2004'!X21)-DJ32</f>
        <v>0.0923815175122481</v>
      </c>
      <c r="AT66" s="710" t="n">
        <f aca="false">'Cuenta Ahorro-Inversión-Financi'!T66+'Cuenta Ahorro-Inversión-Financi'!R66+(('Cuenta Ahorro-Inversión-Financi'!BC33-'Cuenta Ahorro-Inversión-Financi'!BL33-'Cuenta Ahorro-Inversión-Financi'!BV33-'Cuenta Ahorro-Inversión-Financi'!BW33-'Cuenta Ahorro-Inversión-Financi'!BP33-'Cuenta Ahorro-Inversión-Financi'!BQ33)/1000/'PIB corriente base 2004'!X21)-DJ32</f>
        <v>0.0879200579085419</v>
      </c>
      <c r="AU66" s="710" t="n">
        <f aca="false">'Cuenta Ahorro-Inversión-Financi'!X66</f>
        <v>0.0959978973819231</v>
      </c>
      <c r="AV66" s="710" t="n">
        <f aca="false">('Cuenta Ahorro-Inversión-Financi'!CH33+'Cuenta Ahorro-Inversión-Financi'!BZ33)/'PIB corriente base 2004'!X21/1000+'Cuenta Ahorro-Inversión-Financi'!Y66</f>
        <v>0.0144798549202584</v>
      </c>
      <c r="AW66" s="710" t="n">
        <f aca="false">'Cuenta Ahorro-Inversión-Financi'!AP66-'Cuenta Ahorro-Inversión-Financi'!AT66</f>
        <v>-0.0323299618518769</v>
      </c>
      <c r="AX66" s="710" t="n">
        <f aca="false">'Cuenta Ahorro-Inversión-Financi'!AO66-'Cuenta Ahorro-Inversión-Financi'!AU66</f>
        <v>-0.00447327813059935</v>
      </c>
      <c r="AY66" s="710" t="n">
        <f aca="false">'Cuenta Ahorro-Inversión-Financi'!AO66-'Cuenta Ahorro-Inversión-Financi'!AQ66+'Cuenta Ahorro-Inversión-Financi'!AR66-'Cuenta Ahorro-Inversión-Financi'!AU66-'Cuenta Ahorro-Inversión-Financi'!AV66</f>
        <v>-0.00614048285829008</v>
      </c>
      <c r="AZ66" s="710" t="n">
        <f aca="false">'Cuenta Ahorro-Inversión-Financi'!AY66-'Cuenta Ahorro-Inversión-Financi'!H66</f>
        <v>-0.0165001703989284</v>
      </c>
      <c r="BA66" s="456" t="n">
        <f aca="false">AU66+AV66</f>
        <v>0.110477752302181</v>
      </c>
      <c r="BO66" s="1" t="n">
        <f aca="false">'Cuenta Ahorro-Inversión-Financi'!BF29+'Cuenta Ahorro-Inversión-Financi'!BS29</f>
        <v>230959336.49549</v>
      </c>
      <c r="BP66" s="456" t="n">
        <f aca="false">'Cuenta Ahorro-Inversión-Financi'!BS29/'Cuenta Ahorro-Inversión-Financi'!BO66</f>
        <v>0.0345852724382328</v>
      </c>
    </row>
    <row r="67" customFormat="false" ht="14.45" hidden="false" customHeight="true" outlineLevel="0" collapsed="false">
      <c r="A67" s="703"/>
      <c r="B67" s="703"/>
      <c r="C67" s="703"/>
      <c r="D67" s="703"/>
      <c r="E67" s="725" t="s">
        <v>909</v>
      </c>
      <c r="F67" s="713" t="n">
        <f aca="false">'Cuenta Ahorro-Inversión-Financi'!T34/1000/'PIB corriente base 2004'!X22</f>
        <v>0.0507048464919942</v>
      </c>
      <c r="G67" s="713" t="n">
        <f aca="false">('Cuenta Ahorro-Inversión-Financi'!G34+'Cuenta Ahorro-Inversión-Financi'!S34)/1000/'PIB corriente base 2004'!X22</f>
        <v>0.0267202526606726</v>
      </c>
      <c r="H67" s="713" t="n">
        <f aca="false">'Cuenta Ahorro-Inversión-Financi'!X34/1000/'PIB corriente base 2004'!X22</f>
        <v>0.0125788869347148</v>
      </c>
      <c r="I67" s="713" t="n">
        <f aca="false">'Cuenta Ahorro-Inversión-Financi'!J67</f>
        <v>0.0900039860873816</v>
      </c>
      <c r="J67" s="713" t="n">
        <f aca="false">'Cuenta Ahorro-Inversión-Financi'!F34/1000/'PIB corriente base 2004'!X22</f>
        <v>0.0900039860873816</v>
      </c>
      <c r="K67" s="713" t="n">
        <f aca="false">'Cuenta Ahorro-Inversión-Financi'!T34/1000/'PIB corriente base 2004'!X22</f>
        <v>0.0507048464919942</v>
      </c>
      <c r="L67" s="713" t="n">
        <f aca="false">SUM('Cuenta Ahorro-Inversión-Financi'!AI34:AM34)/1000/'PIB corriente base 2004'!X22</f>
        <v>0.0187919591587087</v>
      </c>
      <c r="M67" s="713" t="n">
        <f aca="false">'Cuenta Ahorro-Inversión-Financi'!AO34/1000/'PIB corriente base 2004'!X22</f>
        <v>0.00914197198297227</v>
      </c>
      <c r="N67" s="713" t="n">
        <f aca="false">'Cuenta Ahorro-Inversión-Financi'!AG34/1000/'PIB corriente base 2004'!X22</f>
        <v>0.0900058618440899</v>
      </c>
      <c r="O67" s="713" t="n">
        <f aca="false">'Cuenta Ahorro-Inversión-Financi'!M67+'Cuenta Ahorro-Inversión-Financi'!I67</f>
        <v>0.0991459580703538</v>
      </c>
      <c r="P67" s="703"/>
      <c r="Q67" s="714" t="n">
        <v>2018</v>
      </c>
      <c r="R67" s="726" t="n">
        <f aca="false">'Cuenta Ahorro-Inversión-Financi'!BF34/1000/'PIB corriente base 2004'!X22</f>
        <v>0.0770684076779868</v>
      </c>
      <c r="S67" s="726" t="n">
        <f aca="false">('Cuenta Ahorro-Inversión-Financi'!BF34-V77/1000)/1000/'PIB corriente base 2004'!X22</f>
        <v>0.0719771065625742</v>
      </c>
      <c r="T67" s="726" t="n">
        <f aca="false">'Cuenta Ahorro-Inversión-Financi'!BX34/1000/'PIB corriente base 2004'!X22</f>
        <v>0.0176895961599097</v>
      </c>
      <c r="U67" s="726" t="n">
        <f aca="false">'Cuenta Ahorro-Inversión-Financi'!T67+'Cuenta Ahorro-Inversión-Financi'!R67+(('Cuenta Ahorro-Inversión-Financi'!AY34+'Cuenta Ahorro-Inversión-Financi'!BC34)/1000/'PIB corriente base 2004'!X22)</f>
        <v>0.0962402585284138</v>
      </c>
      <c r="V67" s="726" t="n">
        <f aca="false">'Cuenta Ahorro-Inversión-Financi'!BN34/1000/'PIB corriente base 2004'!X22</f>
        <v>0.0180122461239541</v>
      </c>
      <c r="W67" s="713" t="n">
        <f aca="false">'Cuenta Ahorro-Inversión-Financi'!AX34/1000/'PIB corriente base 2004'!X22</f>
        <v>0.0962402585284138</v>
      </c>
      <c r="X67" s="713" t="n">
        <f aca="false">('Cuenta Ahorro-Inversión-Financi'!AX34-V77/1000)/1000/'PIB corriente base 2004'!X22</f>
        <v>0.0911489574130013</v>
      </c>
      <c r="Y67" s="713" t="n">
        <f aca="false">'Cuenta Ahorro-Inversión-Financi'!CM34/1000/'PIB corriente base 2004'!X22</f>
        <v>0.00155582043184477</v>
      </c>
      <c r="Z67" s="713" t="n">
        <f aca="false">('Cuenta Ahorro-Inversión-Financi'!CG34)/1000/'PIB corriente base 2004'!X22+'Cuenta Ahorro-Inversión-Financi'!Y67</f>
        <v>0.0977965095628983</v>
      </c>
      <c r="AA67" s="713" t="n">
        <f aca="false">('Cuenta Ahorro-Inversión-Financi'!CG34-'Cuenta Ahorro-Inversión-Financi'!AY34)/1000/'PIB corriente base 2004'!X22</f>
        <v>0.0947629576439233</v>
      </c>
      <c r="AB67" s="703"/>
      <c r="AC67" s="727" t="n">
        <v>2018</v>
      </c>
      <c r="AD67" s="728" t="n">
        <f aca="false">'Cuenta Ahorro-Inversión-Financi'!J67-'Cuenta Ahorro-Inversión-Financi'!X67</f>
        <v>-0.00114497132561972</v>
      </c>
      <c r="AE67" s="728" t="n">
        <f aca="false">'Cuenta Ahorro-Inversión-Financi'!F67-'Cuenta Ahorro-Inversión-Financi'!S67</f>
        <v>-0.02127226007058</v>
      </c>
      <c r="AF67" s="728" t="n">
        <f aca="false">'Cuenta Ahorro-Inversión-Financi'!I67-'Cuenta Ahorro-Inversión-Financi'!X67-'Cuenta Ahorro-Inversión-Financi'!H67</f>
        <v>-0.0137238582603345</v>
      </c>
      <c r="AG67" s="728" t="n">
        <f aca="false">'Cuenta Ahorro-Inversión-Financi'!I67-'Cuenta Ahorro-Inversión-Financi'!X67</f>
        <v>-0.00114497132561972</v>
      </c>
      <c r="AH67" s="728" t="n">
        <f aca="false">'Cuenta Ahorro-Inversión-Financi'!O67-'Cuenta Ahorro-Inversión-Financi'!X67</f>
        <v>0.00799700065735254</v>
      </c>
      <c r="AI67" s="728" t="n">
        <f aca="false">'Cuenta Ahorro-Inversión-Financi'!F67-('Cuenta Ahorro-Inversión-Financi'!BF34+'Cuenta Ahorro-Inversión-Financi'!BR34-'Cuenta Ahorro-Inversión-Financi'!BV34)/'PIB corriente base 2004'!X22/1000</f>
        <v>-0.0414651509707601</v>
      </c>
      <c r="AJ67" s="456" t="n">
        <f aca="false">'Cuenta Ahorro-Inversión-Financi'!AH67-'Cuenta Ahorro-Inversión-Financi'!H67</f>
        <v>-0.00458188627736222</v>
      </c>
      <c r="AN67" s="729" t="n">
        <v>2018</v>
      </c>
      <c r="AO67" s="728" t="n">
        <f aca="false">'Cuenta Ahorro-Inversión-Financi'!I67</f>
        <v>0.0900039860873816</v>
      </c>
      <c r="AP67" s="728" t="n">
        <f aca="false">'Cuenta Ahorro-Inversión-Financi'!F67</f>
        <v>0.0507048464919942</v>
      </c>
      <c r="AQ67" s="728" t="n">
        <f aca="false">'Cuenta Ahorro-Inversión-Financi'!I34/'PIB corriente base 2004'!X22/1000</f>
        <v>0</v>
      </c>
      <c r="AR67" s="728" t="n">
        <f aca="false">'Cuenta Ahorro-Inversión-Financi'!L67</f>
        <v>0.0187919591587087</v>
      </c>
      <c r="AS67" s="713" t="n">
        <f aca="false">'Cuenta Ahorro-Inversión-Financi'!T67+'Cuenta Ahorro-Inversión-Financi'!R67+(('Cuenta Ahorro-Inversión-Financi'!BC34-'Cuenta Ahorro-Inversión-Financi'!BL34-'Cuenta Ahorro-Inversión-Financi'!BV34-'Cuenta Ahorro-Inversión-Financi'!BW34)/1000/'PIB corriente base 2004'!X22)-V77/1000/1000/'PIB corriente base 2004'!X22</f>
        <v>0.0887828934015174</v>
      </c>
      <c r="AT67" s="728" t="n">
        <f aca="false">'Cuenta Ahorro-Inversión-Financi'!T67+'Cuenta Ahorro-Inversión-Financi'!R67+(('Cuenta Ahorro-Inversión-Financi'!BC34-'Cuenta Ahorro-Inversión-Financi'!BL34-'Cuenta Ahorro-Inversión-Financi'!BV34-'Cuenta Ahorro-Inversión-Financi'!BW34-'Cuenta Ahorro-Inversión-Financi'!BP34-'Cuenta Ahorro-Inversión-Financi'!BQ34)/1000/'PIB corriente base 2004'!X22)-V77/1000/1000/'PIB corriente base 2004'!X22</f>
        <v>0.0841942556481053</v>
      </c>
      <c r="AU67" s="728" t="n">
        <f aca="false">'Cuenta Ahorro-Inversión-Financi'!X67</f>
        <v>0.0911489574130013</v>
      </c>
      <c r="AV67" s="728" t="n">
        <f aca="false">('Cuenta Ahorro-Inversión-Financi'!CH34+'Cuenta Ahorro-Inversión-Financi'!BZ34)/'PIB corriente base 2004'!X22/1000+'Cuenta Ahorro-Inversión-Financi'!Y67</f>
        <v>0.0112062382102208</v>
      </c>
      <c r="AW67" s="728" t="n">
        <f aca="false">'Cuenta Ahorro-Inversión-Financi'!AP67-'Cuenta Ahorro-Inversión-Financi'!AT67</f>
        <v>-0.0334894091561111</v>
      </c>
      <c r="AX67" s="728" t="n">
        <f aca="false">'Cuenta Ahorro-Inversión-Financi'!AO67-'Cuenta Ahorro-Inversión-Financi'!AU67</f>
        <v>-0.00114497132561972</v>
      </c>
      <c r="AY67" s="728" t="n">
        <f aca="false">'Cuenta Ahorro-Inversión-Financi'!AO67-'Cuenta Ahorro-Inversión-Financi'!AQ67+'Cuenta Ahorro-Inversión-Financi'!AR67-'Cuenta Ahorro-Inversión-Financi'!AU67-'Cuenta Ahorro-Inversión-Financi'!AV67</f>
        <v>0.00644074962286809</v>
      </c>
      <c r="AZ67" s="728" t="n">
        <f aca="false">'Cuenta Ahorro-Inversión-Financi'!AY67-'Cuenta Ahorro-Inversión-Financi'!H67</f>
        <v>-0.00613813731184667</v>
      </c>
      <c r="BA67" s="456" t="n">
        <f aca="false">AU67+AV67</f>
        <v>0.102355195623222</v>
      </c>
      <c r="BK67" s="1" t="n">
        <f aca="false">'Cuenta Ahorro-Inversión-Financi'!BF30+'Cuenta Ahorro-Inversión-Financi'!BS30</f>
        <v>306263660.59827</v>
      </c>
      <c r="BL67" s="456" t="n">
        <f aca="false">'Cuenta Ahorro-Inversión-Financi'!BS30/'Cuenta Ahorro-Inversión-Financi'!BK67</f>
        <v>0.0347952175677423</v>
      </c>
    </row>
    <row r="68" customFormat="false" ht="14.45" hidden="false" customHeight="true" outlineLevel="0" collapsed="false">
      <c r="E68" s="725" t="s">
        <v>911</v>
      </c>
      <c r="F68" s="706" t="n">
        <f aca="false">'Cuenta Ahorro-Inversión-Financi'!T35/1000/'PIB corriente base 2004'!X23</f>
        <v>0.045482634112618</v>
      </c>
      <c r="G68" s="706" t="n">
        <f aca="false">('Cuenta Ahorro-Inversión-Financi'!G35+'Cuenta Ahorro-Inversión-Financi'!S35)/1000/'PIB corriente base 2004'!X23</f>
        <v>0.025992153910621</v>
      </c>
      <c r="H68" s="706" t="n">
        <f aca="false">'Cuenta Ahorro-Inversión-Financi'!X35/1000/'PIB corriente base 2004'!X23</f>
        <v>0.0141101595741833</v>
      </c>
      <c r="I68" s="706" t="n">
        <f aca="false">'Cuenta Ahorro-Inversión-Financi'!J68</f>
        <v>0.0855849475974223</v>
      </c>
      <c r="J68" s="706" t="n">
        <f aca="false">'Cuenta Ahorro-Inversión-Financi'!F35/1000/'PIB corriente base 2004'!X23</f>
        <v>0.0855849475974223</v>
      </c>
      <c r="K68" s="706" t="n">
        <f aca="false">'Cuenta Ahorro-Inversión-Financi'!T35/1000/'PIB corriente base 2004'!X23</f>
        <v>0.045482634112618</v>
      </c>
      <c r="L68" s="706" t="n">
        <f aca="false">SUM('Cuenta Ahorro-Inversión-Financi'!AI35:AM35)/1000/'PIB corriente base 2004'!X23</f>
        <v>0.0182571550058679</v>
      </c>
      <c r="M68" s="706" t="n">
        <f aca="false">'Cuenta Ahorro-Inversión-Financi'!AO35/1000/'PIB corriente base 2004'!X23</f>
        <v>0.00862498498242696</v>
      </c>
      <c r="N68" s="706" t="n">
        <f aca="false">'Cuenta Ahorro-Inversión-Financi'!AG35/1000/'PIB corriente base 2004'!X23</f>
        <v>0.0869431230844891</v>
      </c>
      <c r="O68" s="706" t="n">
        <f aca="false">'Cuenta Ahorro-Inversión-Financi'!M68+'Cuenta Ahorro-Inversión-Financi'!I68</f>
        <v>0.0942099325798493</v>
      </c>
      <c r="Q68" s="714" t="n">
        <v>2019</v>
      </c>
      <c r="R68" s="722" t="n">
        <f aca="false">'Cuenta Ahorro-Inversión-Financi'!BF35/1000/'PIB corriente base 2004'!X23</f>
        <v>0.0747245065034631</v>
      </c>
      <c r="S68" s="722" t="n">
        <f aca="false">('Cuenta Ahorro-Inversión-Financi'!BF35-V78/1000)/1000/'PIB corriente base 2004'!X23</f>
        <v>0.0705199284475343</v>
      </c>
      <c r="T68" s="722" t="n">
        <f aca="false">'Cuenta Ahorro-Inversión-Financi'!BX35/1000/'PIB corriente base 2004'!X23</f>
        <v>0.0174955875724337</v>
      </c>
      <c r="U68" s="722" t="n">
        <f aca="false">'Cuenta Ahorro-Inversión-Financi'!T68+'Cuenta Ahorro-Inversión-Financi'!R68+(('Cuenta Ahorro-Inversión-Financi'!AY35+'Cuenta Ahorro-Inversión-Financi'!BC35)/1000/'PIB corriente base 2004'!X23)</f>
        <v>0.0934779010078343</v>
      </c>
      <c r="V68" s="722" t="n">
        <f aca="false">'Cuenta Ahorro-Inversión-Financi'!BN35/1000/'PIB corriente base 2004'!X23</f>
        <v>0.0177181260819578</v>
      </c>
      <c r="W68" s="708" t="n">
        <f aca="false">'Cuenta Ahorro-Inversión-Financi'!AX35/1000/'PIB corriente base 2004'!X23</f>
        <v>0.0934779010078343</v>
      </c>
      <c r="X68" s="708" t="n">
        <f aca="false">('Cuenta Ahorro-Inversión-Financi'!AX35)/1000/'PIB corriente base 2004'!X23-0.005</f>
        <v>0.0884779010078343</v>
      </c>
      <c r="Y68" s="708" t="n">
        <f aca="false">'Cuenta Ahorro-Inversión-Financi'!CM35/1000/'PIB corriente base 2004'!X23</f>
        <v>0.00160666051995564</v>
      </c>
      <c r="Z68" s="708" t="n">
        <f aca="false">('Cuenta Ahorro-Inversión-Financi'!CG35)/1000/'PIB corriente base 2004'!X23+'Cuenta Ahorro-Inversión-Financi'!Y68</f>
        <v>0.0951152103741352</v>
      </c>
      <c r="AA68" s="708" t="n">
        <f aca="false">('Cuenta Ahorro-Inversión-Financi'!CG35-'Cuenta Ahorro-Inversión-Financi'!AY35)/1000/'PIB corriente base 2004'!X23</f>
        <v>0.0922557061511804</v>
      </c>
      <c r="AB68" s="456"/>
      <c r="AC68" s="727" t="n">
        <v>2019</v>
      </c>
      <c r="AD68" s="728" t="n">
        <f aca="false">'Cuenta Ahorro-Inversión-Financi'!J68-'Cuenta Ahorro-Inversión-Financi'!X68</f>
        <v>-0.00289295341041193</v>
      </c>
      <c r="AE68" s="728" t="n">
        <f aca="false">'Cuenta Ahorro-Inversión-Financi'!F68-'Cuenta Ahorro-Inversión-Financi'!S68</f>
        <v>-0.0250372943349164</v>
      </c>
      <c r="AF68" s="728" t="n">
        <f aca="false">'Cuenta Ahorro-Inversión-Financi'!I68-'Cuenta Ahorro-Inversión-Financi'!X68-'Cuenta Ahorro-Inversión-Financi'!H68</f>
        <v>-0.0170031129845953</v>
      </c>
      <c r="AG68" s="728" t="n">
        <f aca="false">'Cuenta Ahorro-Inversión-Financi'!I68-'Cuenta Ahorro-Inversión-Financi'!X68</f>
        <v>-0.00289295341041193</v>
      </c>
      <c r="AH68" s="728" t="n">
        <f aca="false">'Cuenta Ahorro-Inversión-Financi'!O68-'Cuenta Ahorro-Inversión-Financi'!X68</f>
        <v>0.00573203157201503</v>
      </c>
      <c r="AI68" s="728" t="n">
        <f aca="false">'Cuenta Ahorro-Inversión-Financi'!F68-('Cuenta Ahorro-Inversión-Financi'!BF35+'Cuenta Ahorro-Inversión-Financi'!BR35-'Cuenta Ahorro-Inversión-Financi'!BV35)/'PIB corriente base 2004'!X23/1000</f>
        <v>-0.044248471371084</v>
      </c>
      <c r="AJ68" s="456" t="n">
        <f aca="false">'Cuenta Ahorro-Inversión-Financi'!AH68-'Cuenta Ahorro-Inversión-Financi'!H68</f>
        <v>-0.0083781280021683</v>
      </c>
      <c r="AN68" s="729" t="n">
        <v>2019</v>
      </c>
      <c r="AO68" s="728" t="n">
        <f aca="false">'Cuenta Ahorro-Inversión-Financi'!I68</f>
        <v>0.0855849475974223</v>
      </c>
      <c r="AP68" s="728" t="n">
        <f aca="false">'Cuenta Ahorro-Inversión-Financi'!F68</f>
        <v>0.045482634112618</v>
      </c>
      <c r="AQ68" s="728" t="n">
        <f aca="false">'Cuenta Ahorro-Inversión-Financi'!I35/'PIB corriente base 2004'!X23/1000</f>
        <v>0</v>
      </c>
      <c r="AR68" s="728" t="n">
        <f aca="false">'Cuenta Ahorro-Inversión-Financi'!L68</f>
        <v>0.0182571550058679</v>
      </c>
      <c r="AS68" s="713" t="n">
        <f aca="false">'Cuenta Ahorro-Inversión-Financi'!T68+'Cuenta Ahorro-Inversión-Financi'!R68+(('Cuenta Ahorro-Inversión-Financi'!BC35-'Cuenta Ahorro-Inversión-Financi'!BL35-'Cuenta Ahorro-Inversión-Financi'!BV35-'Cuenta Ahorro-Inversión-Financi'!BW35)/1000/'PIB corriente base 2004'!X23)-0.005</f>
        <v>0.0864712108401503</v>
      </c>
      <c r="AT68" s="728" t="n">
        <f aca="false">'Cuenta Ahorro-Inversión-Financi'!T68+'Cuenta Ahorro-Inversión-Financi'!R68+(('Cuenta Ahorro-Inversión-Financi'!BC35-'Cuenta Ahorro-Inversión-Financi'!BL35-'Cuenta Ahorro-Inversión-Financi'!BV35-'Cuenta Ahorro-Inversión-Financi'!BW35-'Cuenta Ahorro-Inversión-Financi'!BP35-'Cuenta Ahorro-Inversión-Financi'!BQ35)/1000/'PIB corriente base 2004'!X23)-0.005</f>
        <v>0.0822040894949732</v>
      </c>
      <c r="AU68" s="728" t="n">
        <f aca="false">'Cuenta Ahorro-Inversión-Financi'!X68</f>
        <v>0.0884779010078343</v>
      </c>
      <c r="AV68" s="728" t="n">
        <f aca="false">('Cuenta Ahorro-Inversión-Financi'!CH35+'Cuenta Ahorro-Inversión-Financi'!BZ35)/'PIB corriente base 2004'!X23/1000+'Cuenta Ahorro-Inversión-Financi'!Y68</f>
        <v>0.0112694793897419</v>
      </c>
      <c r="AW68" s="728" t="n">
        <f aca="false">'Cuenta Ahorro-Inversión-Financi'!AP68-'Cuenta Ahorro-Inversión-Financi'!AT68</f>
        <v>-0.0367214553823552</v>
      </c>
      <c r="AX68" s="728" t="n">
        <f aca="false">'Cuenta Ahorro-Inversión-Financi'!AO68-'Cuenta Ahorro-Inversión-Financi'!AU68</f>
        <v>-0.00289295341041193</v>
      </c>
      <c r="AY68" s="728" t="n">
        <f aca="false">'Cuenta Ahorro-Inversión-Financi'!AO68-'Cuenta Ahorro-Inversión-Financi'!AQ68+'Cuenta Ahorro-Inversión-Financi'!AR68-'Cuenta Ahorro-Inversión-Financi'!AU68-'Cuenta Ahorro-Inversión-Financi'!AV68</f>
        <v>0.00409472220571407</v>
      </c>
      <c r="AZ68" s="728" t="n">
        <f aca="false">'Cuenta Ahorro-Inversión-Financi'!AY68-'Cuenta Ahorro-Inversión-Financi'!H68</f>
        <v>-0.0100154373684693</v>
      </c>
      <c r="BA68" s="456" t="n">
        <f aca="false">AU68+AV68</f>
        <v>0.0997473803975761</v>
      </c>
    </row>
    <row r="69" customFormat="false" ht="14.45" hidden="false" customHeight="true" outlineLevel="0" collapsed="false">
      <c r="O69" s="456"/>
      <c r="S69" s="1" t="n">
        <v>1993</v>
      </c>
      <c r="T69" s="730" t="n">
        <v>3015865.81949566</v>
      </c>
      <c r="U69" s="456" t="n">
        <f aca="false">T69/'PIB corriente base 1993'!V8/1000</f>
        <v>0.0127518067972787</v>
      </c>
      <c r="V69" s="724"/>
      <c r="AT69" s="731" t="n">
        <f aca="false">'Cuenta Ahorro-Inversión-Financi'!R62+((-'Cuenta Ahorro-Inversión-Financi'!BL29)/1000/'PIB corriente base 2004'!X17)</f>
        <v>0.066041409983319</v>
      </c>
      <c r="AU69" s="731" t="n">
        <f aca="false">'Cuenta Ahorro-Inversión-Financi'!T62+(('Cuenta Ahorro-Inversión-Financi'!BC29-'Cuenta Ahorro-Inversión-Financi'!BV29-'Cuenta Ahorro-Inversión-Financi'!BW29-'Cuenta Ahorro-Inversión-Financi'!BP29-'Cuenta Ahorro-Inversión-Financi'!BQ29)/1000/'PIB corriente base 2004'!X17)</f>
        <v>0.0127296212861011</v>
      </c>
      <c r="AV69" s="456" t="n">
        <f aca="false">('Cuenta Ahorro-Inversión-Financi'!BS29)/1000/'PIB corriente base 2004'!X17</f>
        <v>0.00238561996391175</v>
      </c>
      <c r="AX69" s="456" t="n">
        <f aca="false">'Cuenta Ahorro-Inversión-Financi'!AZ63-'Cuenta Ahorro-Inversión-Financi'!AW63</f>
        <v>0.0204489957358129</v>
      </c>
    </row>
    <row r="70" customFormat="false" ht="14.45" hidden="false" customHeight="true" outlineLevel="0" collapsed="false">
      <c r="S70" s="1" t="n">
        <f aca="false">S69+1</f>
        <v>1994</v>
      </c>
      <c r="T70" s="723" t="n">
        <v>3226509.52498154</v>
      </c>
      <c r="U70" s="456" t="n">
        <f aca="false">T70/'PIB corriente base 1993'!V9/1000</f>
        <v>0.0125330563795884</v>
      </c>
      <c r="AT70" s="731" t="n">
        <f aca="false">'Cuenta Ahorro-Inversión-Financi'!R63+((-'Cuenta Ahorro-Inversión-Financi'!BL30)/1000/'PIB corriente base 2004'!X18)</f>
        <v>0.0640309619020569</v>
      </c>
      <c r="AU70" s="731" t="n">
        <f aca="false">'Cuenta Ahorro-Inversión-Financi'!T63+(('Cuenta Ahorro-Inversión-Financi'!BC30-'Cuenta Ahorro-Inversión-Financi'!BV30-'Cuenta Ahorro-Inversión-Financi'!BW30-'Cuenta Ahorro-Inversión-Financi'!BP30-'Cuenta Ahorro-Inversión-Financi'!BQ30)/1000/'PIB corriente base 2004'!X18)</f>
        <v>0.0119207044550139</v>
      </c>
      <c r="AV70" s="456" t="n">
        <f aca="false">('Cuenta Ahorro-Inversión-Financi'!BS30)/1000/'PIB corriente base 2004'!X18</f>
        <v>0.0023272132721661</v>
      </c>
      <c r="AX70" s="456" t="n">
        <f aca="false">'Cuenta Ahorro-Inversión-Financi'!AZ64-'Cuenta Ahorro-Inversión-Financi'!AW64</f>
        <v>0.0208017262560468</v>
      </c>
    </row>
    <row r="71" customFormat="false" ht="14.45" hidden="false" customHeight="true" outlineLevel="0" collapsed="false">
      <c r="R71" s="646" t="n">
        <f aca="false">41598953.80094/1000/'PIB corriente base 2004'!X21</f>
        <v>0.00390792092402232</v>
      </c>
      <c r="S71" s="1" t="n">
        <f aca="false">S70+1</f>
        <v>1995</v>
      </c>
      <c r="T71" s="730" t="n">
        <v>2990988.48141767</v>
      </c>
      <c r="U71" s="456" t="n">
        <f aca="false">T71/'PIB corriente base 1993'!V10/1000</f>
        <v>0.011591546064283</v>
      </c>
      <c r="AT71" s="731" t="n">
        <f aca="false">'Cuenta Ahorro-Inversión-Financi'!R64+((-'Cuenta Ahorro-Inversión-Financi'!BL31)/1000/'PIB corriente base 2004'!X19)</f>
        <v>0.072209456656748</v>
      </c>
      <c r="AU71" s="731" t="n">
        <f aca="false">'Cuenta Ahorro-Inversión-Financi'!T64+(('Cuenta Ahorro-Inversión-Financi'!BC31-'Cuenta Ahorro-Inversión-Financi'!BV31-'Cuenta Ahorro-Inversión-Financi'!BW31-'Cuenta Ahorro-Inversión-Financi'!BP31-'Cuenta Ahorro-Inversión-Financi'!BQ31)/1000/'PIB corriente base 2004'!X19)</f>
        <v>0.0125293184909884</v>
      </c>
      <c r="AV71" s="456" t="n">
        <f aca="false">('Cuenta Ahorro-Inversión-Financi'!BS31)/1000/'PIB corriente base 2004'!X19</f>
        <v>0.00260688705263258</v>
      </c>
      <c r="AX71" s="456" t="n">
        <f aca="false">'Cuenta Ahorro-Inversión-Financi'!AZ65-'Cuenta Ahorro-Inversión-Financi'!AW65</f>
        <v>0.0160932007776135</v>
      </c>
    </row>
    <row r="72" customFormat="false" ht="14.45" hidden="false" customHeight="true" outlineLevel="0" collapsed="false">
      <c r="S72" s="1" t="n">
        <f aca="false">S71+1</f>
        <v>1996</v>
      </c>
      <c r="T72" s="723" t="n">
        <v>3231346.71425055</v>
      </c>
      <c r="U72" s="456" t="n">
        <f aca="false">T72/'PIB corriente base 1993'!V11/1000</f>
        <v>0.0118734138888743</v>
      </c>
      <c r="W72" s="1" t="n">
        <f aca="false">12/15</f>
        <v>0.8</v>
      </c>
      <c r="AT72" s="731" t="n">
        <f aca="false">'Cuenta Ahorro-Inversión-Financi'!R65+((-'Cuenta Ahorro-Inversión-Financi'!BL32)/1000/'PIB corriente base 2004'!X20)</f>
        <v>0.0728205273298163</v>
      </c>
      <c r="AU72" s="731" t="n">
        <f aca="false">'Cuenta Ahorro-Inversión-Financi'!T65+(('Cuenta Ahorro-Inversión-Financi'!BC32-'Cuenta Ahorro-Inversión-Financi'!BV32-'Cuenta Ahorro-Inversión-Financi'!BW32-'Cuenta Ahorro-Inversión-Financi'!BP32-'Cuenta Ahorro-Inversión-Financi'!BQ32)/1000/'PIB corriente base 2004'!X20)</f>
        <v>0.0148648891077564</v>
      </c>
      <c r="AV72" s="456" t="n">
        <f aca="false">('Cuenta Ahorro-Inversión-Financi'!BS32)/1000/'PIB corriente base 2004'!X20</f>
        <v>0.00263630884740172</v>
      </c>
      <c r="AX72" s="456" t="n">
        <f aca="false">'Cuenta Ahorro-Inversión-Financi'!AZ66-'Cuenta Ahorro-Inversión-Financi'!AW66</f>
        <v>0.0158297914529485</v>
      </c>
    </row>
    <row r="73" customFormat="false" ht="14.45" hidden="false" customHeight="true" outlineLevel="0" collapsed="false">
      <c r="S73" s="1" t="n">
        <f aca="false">S72+1</f>
        <v>1997</v>
      </c>
      <c r="T73" s="730" t="n">
        <v>3598188.08761998</v>
      </c>
      <c r="U73" s="456" t="n">
        <f aca="false">T73/'PIB corriente base 1993'!V12/1000</f>
        <v>0.0122864231415156</v>
      </c>
      <c r="AT73" s="731" t="n">
        <f aca="false">'Cuenta Ahorro-Inversión-Financi'!R66+((-'Cuenta Ahorro-Inversión-Financi'!BL33)/1000/'PIB corriente base 2004'!X21)</f>
        <v>0.0796805362633602</v>
      </c>
      <c r="AU73" s="731" t="n">
        <f aca="false">'Cuenta Ahorro-Inversión-Financi'!T66+(('Cuenta Ahorro-Inversión-Financi'!BC33-'Cuenta Ahorro-Inversión-Financi'!BV33-'Cuenta Ahorro-Inversión-Financi'!BW33-'Cuenta Ahorro-Inversión-Financi'!BP33-'Cuenta Ahorro-Inversión-Financi'!BQ33)/1000/'PIB corriente base 2004'!X21)</f>
        <v>0.0123233595510443</v>
      </c>
      <c r="AV73" s="456" t="n">
        <f aca="false">('Cuenta Ahorro-Inversión-Financi'!BS33)/1000/'PIB corriente base 2004'!X21</f>
        <v>0.00297079733174157</v>
      </c>
      <c r="AX73" s="456"/>
    </row>
    <row r="74" customFormat="false" ht="14.45" hidden="false" customHeight="true" outlineLevel="0" collapsed="false">
      <c r="S74" s="1" t="n">
        <f aca="false">S73+1</f>
        <v>1998</v>
      </c>
      <c r="T74" s="723" t="n">
        <v>3797640.46271228</v>
      </c>
      <c r="U74" s="456" t="n">
        <f aca="false">T74/'PIB corriente base 1993'!V13/1000</f>
        <v>0.0127033327129764</v>
      </c>
      <c r="V74" s="141" t="s">
        <v>990</v>
      </c>
      <c r="W74" s="74"/>
      <c r="X74" s="74"/>
      <c r="Y74" s="74"/>
      <c r="Z74" s="74"/>
      <c r="AA74" s="143"/>
      <c r="AT74" s="731"/>
      <c r="AU74" s="731"/>
    </row>
    <row r="75" customFormat="false" ht="14.45" hidden="false" customHeight="true" outlineLevel="0" collapsed="false">
      <c r="S75" s="1" t="n">
        <f aca="false">S74+1</f>
        <v>1999</v>
      </c>
      <c r="T75" s="730" t="n">
        <v>3702544.47452621</v>
      </c>
      <c r="U75" s="456" t="n">
        <f aca="false">T75/'PIB corriente base 1993'!V14/1000</f>
        <v>0.0130590610333592</v>
      </c>
      <c r="V75" s="732" t="n">
        <v>2996491748.43</v>
      </c>
      <c r="W75" s="733" t="n">
        <f aca="false">X75-V75</f>
        <v>0</v>
      </c>
      <c r="X75" s="734" t="n">
        <v>2996491748.43</v>
      </c>
      <c r="Y75" s="162" t="s">
        <v>991</v>
      </c>
      <c r="Z75" s="162"/>
      <c r="AA75" s="161"/>
    </row>
    <row r="76" customFormat="false" ht="52.5" hidden="false" customHeight="true" outlineLevel="0" collapsed="false">
      <c r="S76" s="1" t="n">
        <f aca="false">S75+1</f>
        <v>2000</v>
      </c>
      <c r="T76" s="723" t="n">
        <v>3765213.6844696</v>
      </c>
      <c r="U76" s="456" t="n">
        <f aca="false">T76/'PIB corriente base 1993'!V15/1000</f>
        <v>0.0132482904466693</v>
      </c>
      <c r="V76" s="732" t="n">
        <f aca="false">X76-CN33*1000</f>
        <v>41459332690.19</v>
      </c>
      <c r="W76" s="733" t="n">
        <f aca="false">X76-V76</f>
        <v>2012218469.46</v>
      </c>
      <c r="X76" s="734" t="n">
        <v>43471551159.65</v>
      </c>
      <c r="Y76" s="162" t="s">
        <v>992</v>
      </c>
      <c r="Z76" s="162"/>
      <c r="AA76" s="161"/>
      <c r="BC76" s="1" t="s">
        <v>993</v>
      </c>
    </row>
    <row r="77" customFormat="false" ht="14.45" hidden="false" customHeight="true" outlineLevel="0" collapsed="false">
      <c r="S77" s="1" t="n">
        <f aca="false">S76+1</f>
        <v>2001</v>
      </c>
      <c r="T77" s="730" t="n">
        <v>3343942.45631307</v>
      </c>
      <c r="U77" s="456" t="n">
        <f aca="false">T77/'PIB corriente base 1993'!V16/1000</f>
        <v>0.0124450443431941</v>
      </c>
      <c r="V77" s="732" t="n">
        <f aca="false">X77-CN34*1000</f>
        <v>74162737535.27</v>
      </c>
      <c r="W77" s="733" t="n">
        <f aca="false">X77-V77</f>
        <v>5468244013.05</v>
      </c>
      <c r="X77" s="735" t="n">
        <v>79630981548.32</v>
      </c>
      <c r="Y77" s="162" t="s">
        <v>994</v>
      </c>
      <c r="Z77" s="162"/>
      <c r="AA77" s="161"/>
    </row>
    <row r="78" customFormat="false" ht="14.45" hidden="false" customHeight="true" outlineLevel="0" collapsed="false">
      <c r="S78" s="1" t="n">
        <f aca="false">S77+1</f>
        <v>2002</v>
      </c>
      <c r="T78" s="723" t="n">
        <v>3012321.73270982</v>
      </c>
      <c r="U78" s="456" t="n">
        <f aca="false">T78/'PIB corriente base 1993'!V17/1000</f>
        <v>0.00963695804700716</v>
      </c>
      <c r="V78" s="732" t="n">
        <f aca="false">X78-CN35*1000</f>
        <v>90843373470.66</v>
      </c>
      <c r="W78" s="733" t="n">
        <f aca="false">X78-V78</f>
        <v>6123626529.34</v>
      </c>
      <c r="X78" s="735" t="n">
        <v>96967000000</v>
      </c>
      <c r="Y78" s="162" t="s">
        <v>995</v>
      </c>
      <c r="Z78" s="162"/>
      <c r="AA78" s="161"/>
    </row>
    <row r="79" customFormat="false" ht="14.45" hidden="false" customHeight="true" outlineLevel="0" collapsed="false">
      <c r="S79" s="1" t="n">
        <f aca="false">S78+1</f>
        <v>2003</v>
      </c>
      <c r="T79" s="730" t="n">
        <v>4436735.16197493</v>
      </c>
      <c r="U79" s="456" t="n">
        <f aca="false">T79/'PIB corriente base 1993'!V18/1000</f>
        <v>0.0118026727120887</v>
      </c>
      <c r="V79" s="159" t="s">
        <v>996</v>
      </c>
      <c r="W79" s="162" t="s">
        <v>997</v>
      </c>
      <c r="X79" s="162" t="s">
        <v>998</v>
      </c>
      <c r="Y79" s="162"/>
      <c r="Z79" s="162"/>
      <c r="AA79" s="161"/>
      <c r="AV79" s="703"/>
      <c r="AW79" s="703"/>
      <c r="AX79" s="703"/>
      <c r="AY79" s="703"/>
      <c r="AZ79" s="703"/>
      <c r="BA79" s="703"/>
      <c r="BB79" s="703"/>
      <c r="BC79" s="703"/>
      <c r="BD79" s="703"/>
      <c r="BE79" s="703"/>
      <c r="BF79" s="703"/>
      <c r="BG79" s="703"/>
    </row>
    <row r="80" customFormat="false" ht="14.45" hidden="false" customHeight="true" outlineLevel="0" collapsed="false">
      <c r="S80" s="1" t="n">
        <f aca="false">S79+1</f>
        <v>2004</v>
      </c>
      <c r="T80" s="723" t="n">
        <v>6613425.98806711</v>
      </c>
      <c r="U80" s="456" t="n">
        <f aca="false">T80/1000/'PIB corriente base 2004'!X8</f>
        <v>0.0136326919048979</v>
      </c>
      <c r="V80" s="736"/>
      <c r="W80" s="737"/>
      <c r="X80" s="737"/>
      <c r="Y80" s="737"/>
      <c r="Z80" s="737"/>
      <c r="AA80" s="738"/>
      <c r="AV80" s="703"/>
      <c r="AW80" s="739" t="s">
        <v>999</v>
      </c>
      <c r="AX80" s="740" t="s">
        <v>1000</v>
      </c>
      <c r="AY80" s="740" t="s">
        <v>1001</v>
      </c>
      <c r="AZ80" s="740" t="s">
        <v>1002</v>
      </c>
      <c r="BA80" s="703"/>
      <c r="BB80" s="703"/>
      <c r="BC80" s="703"/>
      <c r="BD80" s="703"/>
      <c r="BE80" s="703"/>
      <c r="BF80" s="703"/>
      <c r="BG80" s="703"/>
    </row>
    <row r="81" customFormat="false" ht="14.45" hidden="false" customHeight="true" outlineLevel="0" collapsed="false">
      <c r="S81" s="1" t="n">
        <f aca="false">S80+1</f>
        <v>2005</v>
      </c>
      <c r="T81" s="730" t="n">
        <v>8146311.50442478</v>
      </c>
      <c r="U81" s="456" t="n">
        <f aca="false">T81/1000/'PIB corriente base 2004'!X9</f>
        <v>0.0139841677041514</v>
      </c>
      <c r="AV81" s="709" t="n">
        <v>1993</v>
      </c>
      <c r="AW81" s="710" t="n">
        <f aca="false">'Cuenta Ahorro-Inversión-Financi'!AX42</f>
        <v>-0.00763455641206984</v>
      </c>
      <c r="AX81" s="710" t="n">
        <f aca="false">'Cuenta Ahorro-Inversión-Financi'!AY42</f>
        <v>-0.000446069275463893</v>
      </c>
      <c r="AY81" s="710"/>
      <c r="AZ81" s="703"/>
      <c r="BA81" s="703"/>
      <c r="BB81" s="703"/>
      <c r="BC81" s="703"/>
      <c r="BD81" s="703"/>
      <c r="BE81" s="703"/>
      <c r="BF81" s="703"/>
      <c r="BG81" s="703"/>
    </row>
    <row r="82" customFormat="false" ht="14.45" hidden="false" customHeight="true" outlineLevel="0" collapsed="false">
      <c r="S82" s="1" t="n">
        <f aca="false">S81+1</f>
        <v>2006</v>
      </c>
      <c r="T82" s="723" t="n">
        <v>10103645.4250591</v>
      </c>
      <c r="U82" s="456" t="n">
        <f aca="false">T82/1000/'PIB corriente base 2004'!X10</f>
        <v>0.0141131235333868</v>
      </c>
      <c r="AV82" s="715" t="n">
        <v>1994</v>
      </c>
      <c r="AW82" s="713" t="n">
        <f aca="false">'Cuenta Ahorro-Inversión-Financi'!AX43</f>
        <v>-0.0166238261720029</v>
      </c>
      <c r="AX82" s="713" t="n">
        <f aca="false">'Cuenta Ahorro-Inversión-Financi'!AY43</f>
        <v>-0.0130853294610615</v>
      </c>
      <c r="AY82" s="713"/>
      <c r="AZ82" s="703"/>
      <c r="BA82" s="703"/>
      <c r="BB82" s="703"/>
      <c r="BC82" s="703"/>
      <c r="BD82" s="703"/>
      <c r="BE82" s="703"/>
      <c r="BF82" s="703"/>
      <c r="BG82" s="703"/>
    </row>
    <row r="83" customFormat="false" ht="14.45" hidden="false" customHeight="true" outlineLevel="0" collapsed="false">
      <c r="S83" s="1" t="n">
        <f aca="false">S82+1</f>
        <v>2007</v>
      </c>
      <c r="T83" s="730" t="n">
        <v>13371549.19129</v>
      </c>
      <c r="U83" s="456" t="n">
        <f aca="false">T83/1000/'PIB corriente base 2004'!X11</f>
        <v>0.0149072962567154</v>
      </c>
      <c r="AV83" s="715" t="n">
        <v>1995</v>
      </c>
      <c r="AW83" s="710" t="n">
        <f aca="false">'Cuenta Ahorro-Inversión-Financi'!AX44</f>
        <v>-0.0113325377545191</v>
      </c>
      <c r="AX83" s="710" t="n">
        <f aca="false">'Cuenta Ahorro-Inversión-Financi'!AY44</f>
        <v>-0.00637934959758819</v>
      </c>
      <c r="AY83" s="710"/>
      <c r="AZ83" s="703"/>
      <c r="BA83" s="703"/>
      <c r="BB83" s="703"/>
      <c r="BC83" s="703"/>
      <c r="BD83" s="703"/>
      <c r="BE83" s="703"/>
      <c r="BF83" s="703"/>
      <c r="BG83" s="703"/>
    </row>
    <row r="84" customFormat="false" ht="14.45" hidden="false" customHeight="true" outlineLevel="0" collapsed="false">
      <c r="S84" s="1" t="n">
        <f aca="false">S83+1</f>
        <v>2008</v>
      </c>
      <c r="T84" s="723" t="n">
        <v>16753835.7595</v>
      </c>
      <c r="U84" s="456" t="n">
        <f aca="false">T84/1000/'PIB corriente base 2004'!X12</f>
        <v>0.0145730376476074</v>
      </c>
      <c r="AV84" s="715" t="n">
        <v>1996</v>
      </c>
      <c r="AW84" s="713" t="n">
        <f aca="false">'Cuenta Ahorro-Inversión-Financi'!AX45</f>
        <v>-0.00969995963704045</v>
      </c>
      <c r="AX84" s="713" t="n">
        <f aca="false">'Cuenta Ahorro-Inversión-Financi'!AY45</f>
        <v>-0.00528730473079139</v>
      </c>
      <c r="AY84" s="713"/>
      <c r="AZ84" s="703"/>
      <c r="BA84" s="703"/>
      <c r="BB84" s="703"/>
      <c r="BC84" s="703"/>
      <c r="BD84" s="703"/>
      <c r="BE84" s="703"/>
      <c r="BF84" s="703"/>
      <c r="BG84" s="703"/>
    </row>
    <row r="85" customFormat="false" ht="14.45" hidden="false" customHeight="true" outlineLevel="0" collapsed="false">
      <c r="S85" s="1" t="n">
        <f aca="false">S84+1</f>
        <v>2009</v>
      </c>
      <c r="T85" s="730" t="n">
        <v>18241431.1264</v>
      </c>
      <c r="U85" s="456" t="n">
        <f aca="false">T85/1000/'PIB corriente base 2004'!X13</f>
        <v>0.0146173597980544</v>
      </c>
      <c r="AV85" s="715" t="n">
        <v>1997</v>
      </c>
      <c r="AW85" s="710" t="n">
        <f aca="false">'Cuenta Ahorro-Inversión-Financi'!AX46</f>
        <v>-0.00822490831479743</v>
      </c>
      <c r="AX85" s="710" t="n">
        <f aca="false">'Cuenta Ahorro-Inversión-Financi'!AY46</f>
        <v>-0.00315594528811225</v>
      </c>
      <c r="AY85" s="710"/>
      <c r="AZ85" s="703"/>
      <c r="BA85" s="703"/>
      <c r="BB85" s="703"/>
      <c r="BC85" s="703"/>
      <c r="BD85" s="703"/>
      <c r="BE85" s="703"/>
      <c r="BF85" s="703"/>
      <c r="BG85" s="703"/>
    </row>
    <row r="86" customFormat="false" ht="14.45" hidden="false" customHeight="true" outlineLevel="0" collapsed="false">
      <c r="S86" s="1" t="n">
        <f aca="false">S85+1</f>
        <v>2010</v>
      </c>
      <c r="T86" s="723" t="n">
        <v>24500782.05837</v>
      </c>
      <c r="U86" s="456" t="n">
        <f aca="false">T86/1000/'PIB corriente base 2004'!X14</f>
        <v>0.0147442218942046</v>
      </c>
      <c r="AV86" s="715" t="n">
        <v>1998</v>
      </c>
      <c r="AW86" s="713" t="n">
        <f aca="false">'Cuenta Ahorro-Inversión-Financi'!AX47</f>
        <v>-0.00718266005903036</v>
      </c>
      <c r="AX86" s="713" t="n">
        <f aca="false">'Cuenta Ahorro-Inversión-Financi'!AY47</f>
        <v>-0.00266006212398561</v>
      </c>
      <c r="AY86" s="713"/>
      <c r="AZ86" s="703"/>
      <c r="BA86" s="703"/>
      <c r="BB86" s="703"/>
      <c r="BC86" s="703"/>
      <c r="BD86" s="703"/>
      <c r="BE86" s="703"/>
      <c r="BF86" s="703"/>
      <c r="BG86" s="703"/>
    </row>
    <row r="87" customFormat="false" ht="14.45" hidden="false" customHeight="true" outlineLevel="0" collapsed="false">
      <c r="S87" s="1" t="n">
        <f aca="false">S86+1</f>
        <v>2011</v>
      </c>
      <c r="T87" s="730" t="n">
        <v>32436095.45798</v>
      </c>
      <c r="U87" s="456" t="n">
        <f aca="false">T87/1000/'PIB corriente base 2004'!X15</f>
        <v>0.0148856065446608</v>
      </c>
      <c r="AV87" s="715" t="n">
        <v>1999</v>
      </c>
      <c r="AW87" s="710" t="n">
        <f aca="false">'Cuenta Ahorro-Inversión-Financi'!AX48</f>
        <v>-0.012137170742735</v>
      </c>
      <c r="AX87" s="710" t="n">
        <f aca="false">'Cuenta Ahorro-Inversión-Financi'!AY48</f>
        <v>-0.0077596880146275</v>
      </c>
      <c r="AY87" s="710"/>
      <c r="AZ87" s="703"/>
      <c r="BA87" s="703"/>
      <c r="BB87" s="703"/>
      <c r="BC87" s="703"/>
      <c r="BD87" s="703"/>
      <c r="BE87" s="703"/>
      <c r="BF87" s="703"/>
      <c r="BG87" s="703"/>
    </row>
    <row r="88" customFormat="false" ht="14.45" hidden="false" customHeight="true" outlineLevel="0" collapsed="false">
      <c r="S88" s="1" t="n">
        <f aca="false">S87+1</f>
        <v>2012</v>
      </c>
      <c r="T88" s="723" t="n">
        <v>41041468.20529</v>
      </c>
      <c r="U88" s="456" t="n">
        <f aca="false">T88/1000/'PIB corriente base 2004'!X16</f>
        <v>0.0155583049965991</v>
      </c>
      <c r="AV88" s="715" t="n">
        <v>2000</v>
      </c>
      <c r="AW88" s="713" t="n">
        <f aca="false">'Cuenta Ahorro-Inversión-Financi'!AX49</f>
        <v>-0.011563041471358</v>
      </c>
      <c r="AX88" s="713" t="n">
        <f aca="false">'Cuenta Ahorro-Inversión-Financi'!AY49</f>
        <v>-0.00673854445377408</v>
      </c>
      <c r="AY88" s="713"/>
      <c r="AZ88" s="703"/>
      <c r="BA88" s="703"/>
      <c r="BB88" s="703"/>
      <c r="BC88" s="703"/>
      <c r="BD88" s="703"/>
      <c r="BE88" s="703"/>
      <c r="BF88" s="703"/>
      <c r="BG88" s="703"/>
    </row>
    <row r="89" customFormat="false" ht="14.45" hidden="false" customHeight="true" outlineLevel="0" collapsed="false">
      <c r="S89" s="1" t="n">
        <f aca="false">S88+1</f>
        <v>2013</v>
      </c>
      <c r="T89" s="730" t="n">
        <v>53287660.80492</v>
      </c>
      <c r="U89" s="456" t="n">
        <f aca="false">T89/1000/'PIB corriente base 2004'!X17</f>
        <v>0.0159148002617685</v>
      </c>
      <c r="V89" s="456" t="n">
        <f aca="false">AVERAGE(U84:U93)</f>
        <v>0.0153195118790881</v>
      </c>
      <c r="AV89" s="715" t="n">
        <v>2001</v>
      </c>
      <c r="AW89" s="710" t="n">
        <f aca="false">'Cuenta Ahorro-Inversión-Financi'!AX50</f>
        <v>-0.0141037996213311</v>
      </c>
      <c r="AX89" s="710" t="n">
        <f aca="false">'Cuenta Ahorro-Inversión-Financi'!AY50</f>
        <v>-0.0101649287372602</v>
      </c>
      <c r="AY89" s="710"/>
      <c r="AZ89" s="703"/>
      <c r="BA89" s="703"/>
      <c r="BB89" s="703"/>
      <c r="BC89" s="703"/>
      <c r="BD89" s="703"/>
      <c r="BE89" s="703"/>
      <c r="BF89" s="703"/>
      <c r="BG89" s="703"/>
    </row>
    <row r="90" customFormat="false" ht="14.45" hidden="false" customHeight="true" outlineLevel="0" collapsed="false">
      <c r="S90" s="1" t="n">
        <f aca="false">S89+1</f>
        <v>2014</v>
      </c>
      <c r="T90" s="723" t="n">
        <v>72676066.20744</v>
      </c>
      <c r="U90" s="456" t="n">
        <f aca="false">T90/1000/'PIB corriente base 2004'!X18</f>
        <v>0.015871302582137</v>
      </c>
      <c r="AV90" s="715" t="n">
        <v>2002</v>
      </c>
      <c r="AW90" s="713" t="n">
        <f aca="false">'Cuenta Ahorro-Inversión-Financi'!AX51</f>
        <v>-0.014278091906323</v>
      </c>
      <c r="AX90" s="713" t="n">
        <f aca="false">'Cuenta Ahorro-Inversión-Financi'!AY51</f>
        <v>-0.0114398617982835</v>
      </c>
      <c r="AY90" s="713"/>
      <c r="AZ90" s="703"/>
      <c r="BA90" s="648"/>
      <c r="BB90" s="703"/>
      <c r="BC90" s="703"/>
      <c r="BD90" s="703"/>
      <c r="BE90" s="703"/>
      <c r="BF90" s="703"/>
      <c r="BG90" s="703"/>
    </row>
    <row r="91" customFormat="false" ht="39.2" hidden="false" customHeight="true" outlineLevel="0" collapsed="false">
      <c r="S91" s="1" t="n">
        <f aca="false">S90+1</f>
        <v>2015</v>
      </c>
      <c r="T91" s="730" t="n">
        <v>95600316.12798</v>
      </c>
      <c r="U91" s="456" t="n">
        <f aca="false">T91/1000/'PIB corriente base 2004'!X19</f>
        <v>0.0160551081025211</v>
      </c>
      <c r="AV91" s="715" t="n">
        <v>2003</v>
      </c>
      <c r="AW91" s="710" t="n">
        <f aca="false">'Cuenta Ahorro-Inversión-Financi'!AX52</f>
        <v>-0.00993357124530309</v>
      </c>
      <c r="AX91" s="710" t="n">
        <f aca="false">'Cuenta Ahorro-Inversión-Financi'!AY52</f>
        <v>-0.00492707399415027</v>
      </c>
      <c r="AY91" s="710"/>
      <c r="AZ91" s="703"/>
      <c r="BA91" s="703"/>
      <c r="BB91" s="703"/>
      <c r="BC91" s="703"/>
      <c r="BD91" s="703"/>
      <c r="BE91" s="703"/>
      <c r="BF91" s="703"/>
      <c r="BG91" s="703"/>
    </row>
    <row r="92" customFormat="false" ht="14.45" hidden="false" customHeight="true" outlineLevel="0" collapsed="false">
      <c r="S92" s="1" t="n">
        <f aca="false">S91+1</f>
        <v>2016</v>
      </c>
      <c r="T92" s="723" t="n">
        <v>126199197.124</v>
      </c>
      <c r="U92" s="456" t="n">
        <f aca="false">T92/1000/'PIB corriente base 2004'!X20</f>
        <v>0.0153374756841884</v>
      </c>
      <c r="V92" s="456" t="n">
        <f aca="false">U92*12/15</f>
        <v>0.0122699805473507</v>
      </c>
      <c r="W92" s="456" t="n">
        <f aca="false">V92-V89</f>
        <v>-0.0030495313317374</v>
      </c>
      <c r="AV92" s="715" t="n">
        <v>2004</v>
      </c>
      <c r="AW92" s="713" t="n">
        <f aca="false">'Cuenta Ahorro-Inversión-Financi'!AX53</f>
        <v>-0.00326072523666776</v>
      </c>
      <c r="AX92" s="713" t="n">
        <f aca="false">'Cuenta Ahorro-Inversión-Financi'!AY53</f>
        <v>0.00382133245719463</v>
      </c>
      <c r="AY92" s="713"/>
      <c r="AZ92" s="703"/>
      <c r="BA92" s="703"/>
      <c r="BB92" s="703"/>
      <c r="BC92" s="703"/>
      <c r="BD92" s="703"/>
      <c r="BE92" s="703"/>
      <c r="BF92" s="703"/>
      <c r="BG92" s="703"/>
    </row>
    <row r="93" customFormat="false" ht="14.45" hidden="false" customHeight="true" outlineLevel="0" collapsed="false">
      <c r="S93" s="1" t="n">
        <f aca="false">S92+1</f>
        <v>2017</v>
      </c>
      <c r="T93" s="730" t="n">
        <v>166462000</v>
      </c>
      <c r="U93" s="456" t="n">
        <f aca="false">T93/1000/'PIB corriente base 2004'!X21</f>
        <v>0.0156379012791399</v>
      </c>
      <c r="V93" s="456" t="n">
        <f aca="false">U93*9/15</f>
        <v>0.00938274076748396</v>
      </c>
      <c r="W93" s="456" t="n">
        <f aca="false">V93-V89</f>
        <v>-0.00593677111160417</v>
      </c>
      <c r="AV93" s="715" t="n">
        <v>2005</v>
      </c>
      <c r="AW93" s="710" t="n">
        <f aca="false">'Cuenta Ahorro-Inversión-Financi'!AX54</f>
        <v>-0.000413025410312302</v>
      </c>
      <c r="AX93" s="710" t="n">
        <f aca="false">'Cuenta Ahorro-Inversión-Financi'!AY54</f>
        <v>0.00757769102751198</v>
      </c>
      <c r="AY93" s="710"/>
      <c r="AZ93" s="703"/>
      <c r="BA93" s="703"/>
      <c r="BB93" s="703"/>
      <c r="BC93" s="703"/>
      <c r="BD93" s="703"/>
      <c r="BE93" s="703"/>
      <c r="BF93" s="703"/>
      <c r="BG93" s="703"/>
    </row>
    <row r="94" customFormat="false" ht="14.45" hidden="false" customHeight="true" outlineLevel="0" collapsed="false">
      <c r="E94" s="696" t="s">
        <v>775</v>
      </c>
      <c r="F94" s="741" t="s">
        <v>943</v>
      </c>
      <c r="G94" s="741" t="s">
        <v>945</v>
      </c>
      <c r="H94" s="741" t="s">
        <v>946</v>
      </c>
      <c r="I94" s="596" t="s">
        <v>953</v>
      </c>
      <c r="J94" s="596" t="s">
        <v>955</v>
      </c>
      <c r="K94" s="596" t="s">
        <v>956</v>
      </c>
      <c r="L94" s="699" t="s">
        <v>970</v>
      </c>
      <c r="M94" s="699" t="s">
        <v>971</v>
      </c>
      <c r="V94" s="456" t="n">
        <f aca="false">V89*6/15</f>
        <v>0.00612780475163525</v>
      </c>
      <c r="W94" s="456" t="n">
        <f aca="false">V94-V89</f>
        <v>-0.00919170712745288</v>
      </c>
      <c r="Z94" s="696" t="s">
        <v>1003</v>
      </c>
      <c r="AA94" s="699" t="s">
        <v>1004</v>
      </c>
      <c r="AB94" s="699" t="s">
        <v>1005</v>
      </c>
      <c r="AV94" s="715" t="n">
        <v>2006</v>
      </c>
      <c r="AW94" s="713" t="n">
        <f aca="false">'Cuenta Ahorro-Inversión-Financi'!AX55</f>
        <v>0.00132851902591188</v>
      </c>
      <c r="AX94" s="713" t="n">
        <f aca="false">'Cuenta Ahorro-Inversión-Financi'!AY55</f>
        <v>0.00917791831736937</v>
      </c>
      <c r="AY94" s="713"/>
      <c r="AZ94" s="703"/>
      <c r="BA94" s="703"/>
      <c r="BB94" s="703"/>
      <c r="BC94" s="703"/>
      <c r="BD94" s="703"/>
      <c r="BE94" s="703"/>
      <c r="BF94" s="703"/>
      <c r="BG94" s="703"/>
    </row>
    <row r="95" customFormat="false" ht="14.45" hidden="false" customHeight="true" outlineLevel="0" collapsed="false">
      <c r="E95" s="696"/>
      <c r="F95" s="741"/>
      <c r="G95" s="741"/>
      <c r="H95" s="741"/>
      <c r="I95" s="596"/>
      <c r="J95" s="596"/>
      <c r="K95" s="596"/>
      <c r="L95" s="699"/>
      <c r="M95" s="699"/>
      <c r="V95" s="456" t="n">
        <f aca="false">V89*3/15</f>
        <v>0.00306390237581763</v>
      </c>
      <c r="W95" s="456" t="n">
        <f aca="false">V95-V89</f>
        <v>-0.0122556095032705</v>
      </c>
      <c r="Z95" s="696"/>
      <c r="AA95" s="699"/>
      <c r="AB95" s="699"/>
      <c r="AV95" s="715" t="n">
        <v>2007</v>
      </c>
      <c r="AW95" s="710" t="n">
        <f aca="false">'Cuenta Ahorro-Inversión-Financi'!AX56</f>
        <v>0.00288396546107231</v>
      </c>
      <c r="AX95" s="710" t="n">
        <f aca="false">'Cuenta Ahorro-Inversión-Financi'!AY56</f>
        <v>0.0108470293692913</v>
      </c>
      <c r="AY95" s="710"/>
      <c r="AZ95" s="703"/>
      <c r="BA95" s="703"/>
      <c r="BB95" s="703"/>
      <c r="BC95" s="703"/>
      <c r="BD95" s="703"/>
      <c r="BE95" s="703"/>
      <c r="BF95" s="703"/>
      <c r="BG95" s="703"/>
    </row>
    <row r="96" customFormat="false" ht="14.45" hidden="false" customHeight="true" outlineLevel="0" collapsed="false">
      <c r="E96" s="742" t="n">
        <v>1993</v>
      </c>
      <c r="F96" s="743" t="n">
        <v>0.045352832912549</v>
      </c>
      <c r="G96" s="743" t="n">
        <v>0.00135575886721573</v>
      </c>
      <c r="H96" s="743" t="n">
        <v>0.0581347504711977</v>
      </c>
      <c r="I96" s="744" t="n">
        <v>0.0526370931910582</v>
      </c>
      <c r="J96" s="744" t="n">
        <v>0.011642303700453</v>
      </c>
      <c r="K96" s="744" t="n">
        <v>0.0657693068832675</v>
      </c>
      <c r="L96" s="745" t="n">
        <f aca="false">'Cuenta Ahorro-Inversión-Financi'!H96-'Cuenta Ahorro-Inversión-Financi'!G96-'Cuenta Ahorro-Inversión-Financi'!K96</f>
        <v>-0.00899031527928553</v>
      </c>
      <c r="M96" s="745" t="n">
        <f aca="false">'Cuenta Ahorro-Inversión-Financi'!L96+'Cuenta Ahorro-Inversión-Financi'!G96</f>
        <v>-0.0076345564120698</v>
      </c>
      <c r="V96" s="1" t="n">
        <v>0</v>
      </c>
      <c r="W96" s="456" t="n">
        <f aca="false">V96-V89</f>
        <v>-0.0153195118790881</v>
      </c>
      <c r="Z96" s="742" t="n">
        <v>1993</v>
      </c>
      <c r="AA96" s="745"/>
      <c r="AB96" s="745" t="n">
        <f aca="false">'Cuenta Ahorro-Inversión-Financi'!M96</f>
        <v>-0.0076345564120698</v>
      </c>
      <c r="AV96" s="715" t="n">
        <v>2008</v>
      </c>
      <c r="AW96" s="713" t="n">
        <f aca="false">'Cuenta Ahorro-Inversión-Financi'!AX57</f>
        <v>-0.000148969044911088</v>
      </c>
      <c r="AX96" s="713" t="n">
        <f aca="false">'Cuenta Ahorro-Inversión-Financi'!AY57</f>
        <v>0.0057024545724605</v>
      </c>
      <c r="AY96" s="713" t="n">
        <f aca="false">'Cuenta Ahorro-Inversión-Financi'!AZ57</f>
        <v>0.00473047402209589</v>
      </c>
      <c r="AZ96" s="703"/>
      <c r="BA96" s="703"/>
      <c r="BB96" s="703"/>
      <c r="BC96" s="703"/>
      <c r="BD96" s="703"/>
      <c r="BE96" s="703"/>
      <c r="BF96" s="703"/>
      <c r="BG96" s="703"/>
    </row>
    <row r="97" customFormat="false" ht="14.45" hidden="false" customHeight="true" outlineLevel="0" collapsed="false">
      <c r="E97" s="742" t="n">
        <v>1994</v>
      </c>
      <c r="F97" s="746" t="n">
        <v>0.0412406410701487</v>
      </c>
      <c r="G97" s="746" t="n">
        <v>9.53195096879308E-005</v>
      </c>
      <c r="H97" s="746" t="n">
        <v>0.0534228791599228</v>
      </c>
      <c r="I97" s="746" t="n">
        <v>0.0564644262203535</v>
      </c>
      <c r="J97" s="746" t="n">
        <v>0.0124360211037753</v>
      </c>
      <c r="K97" s="746" t="n">
        <v>0.0700467053319257</v>
      </c>
      <c r="L97" s="746" t="n">
        <f aca="false">'Cuenta Ahorro-Inversión-Financi'!H97-'Cuenta Ahorro-Inversión-Financi'!G97-'Cuenta Ahorro-Inversión-Financi'!K97</f>
        <v>-0.0167191456816908</v>
      </c>
      <c r="M97" s="746" t="n">
        <f aca="false">'Cuenta Ahorro-Inversión-Financi'!L97+'Cuenta Ahorro-Inversión-Financi'!G97</f>
        <v>-0.0166238261720029</v>
      </c>
      <c r="Z97" s="742" t="n">
        <v>1994</v>
      </c>
      <c r="AA97" s="746"/>
      <c r="AB97" s="746" t="n">
        <f aca="false">'Cuenta Ahorro-Inversión-Financi'!M97</f>
        <v>-0.0166238261720029</v>
      </c>
      <c r="AV97" s="715" t="n">
        <v>2009</v>
      </c>
      <c r="AW97" s="710" t="n">
        <f aca="false">'Cuenta Ahorro-Inversión-Financi'!AX58</f>
        <v>0.00697013530984234</v>
      </c>
      <c r="AX97" s="710" t="n">
        <f aca="false">'Cuenta Ahorro-Inversión-Financi'!AY58</f>
        <v>0.0102798035709593</v>
      </c>
      <c r="AY97" s="710" t="n">
        <f aca="false">'Cuenta Ahorro-Inversión-Financi'!AZ58</f>
        <v>0.00347884656778641</v>
      </c>
      <c r="AZ97" s="703"/>
      <c r="BA97" s="703"/>
      <c r="BB97" s="703"/>
      <c r="BC97" s="703"/>
      <c r="BD97" s="703"/>
      <c r="BE97" s="703"/>
      <c r="BF97" s="703"/>
      <c r="BG97" s="703"/>
    </row>
    <row r="98" customFormat="false" ht="14.45" hidden="false" customHeight="true" outlineLevel="0" collapsed="false">
      <c r="E98" s="742" t="n">
        <v>1995</v>
      </c>
      <c r="F98" s="743" t="n">
        <v>0.0367162842262927</v>
      </c>
      <c r="G98" s="743" t="n">
        <v>3.16975206724679E-005</v>
      </c>
      <c r="H98" s="743" t="n">
        <v>0.0488601658004833</v>
      </c>
      <c r="I98" s="744" t="n">
        <v>0.0536446703997522</v>
      </c>
      <c r="J98" s="744" t="n">
        <v>0.00535587988298989</v>
      </c>
      <c r="K98" s="744" t="n">
        <v>0.0601927035550024</v>
      </c>
      <c r="L98" s="745" t="n">
        <f aca="false">'Cuenta Ahorro-Inversión-Financi'!H98-'Cuenta Ahorro-Inversión-Financi'!G98-'Cuenta Ahorro-Inversión-Financi'!K98</f>
        <v>-0.0113642352751916</v>
      </c>
      <c r="M98" s="745" t="n">
        <f aca="false">'Cuenta Ahorro-Inversión-Financi'!L98+'Cuenta Ahorro-Inversión-Financi'!G98</f>
        <v>-0.0113325377545191</v>
      </c>
      <c r="Z98" s="742" t="n">
        <v>1995</v>
      </c>
      <c r="AA98" s="745"/>
      <c r="AB98" s="745" t="n">
        <f aca="false">'Cuenta Ahorro-Inversión-Financi'!M98</f>
        <v>-0.0113325377545191</v>
      </c>
      <c r="AV98" s="715" t="n">
        <v>2010</v>
      </c>
      <c r="AW98" s="713" t="n">
        <f aca="false">'Cuenta Ahorro-Inversión-Financi'!AX59</f>
        <v>0.00596264086444467</v>
      </c>
      <c r="AX98" s="713" t="n">
        <f aca="false">'Cuenta Ahorro-Inversión-Financi'!AY59</f>
        <v>0.00935675490863292</v>
      </c>
      <c r="AY98" s="713" t="n">
        <f aca="false">'Cuenta Ahorro-Inversión-Financi'!AZ59</f>
        <v>0.00411235591593429</v>
      </c>
      <c r="AZ98" s="703"/>
      <c r="BA98" s="703"/>
      <c r="BB98" s="703"/>
      <c r="BC98" s="703"/>
      <c r="BD98" s="703"/>
      <c r="BE98" s="703"/>
      <c r="BF98" s="703"/>
      <c r="BG98" s="703"/>
    </row>
    <row r="99" customFormat="false" ht="14.45" hidden="false" customHeight="true" outlineLevel="0" collapsed="false">
      <c r="E99" s="742" t="n">
        <v>1996</v>
      </c>
      <c r="F99" s="747" t="n">
        <v>0.0363846758844649</v>
      </c>
      <c r="G99" s="747" t="n">
        <v>0.000116523274740473</v>
      </c>
      <c r="H99" s="747" t="n">
        <v>0.0511753311669543</v>
      </c>
      <c r="I99" s="746" t="n">
        <v>0.0531622526632245</v>
      </c>
      <c r="J99" s="746" t="n">
        <v>0.00600272468782676</v>
      </c>
      <c r="K99" s="746" t="n">
        <v>0.0608752908039948</v>
      </c>
      <c r="L99" s="746" t="n">
        <f aca="false">'Cuenta Ahorro-Inversión-Financi'!H99-'Cuenta Ahorro-Inversión-Financi'!G99-'Cuenta Ahorro-Inversión-Financi'!K99</f>
        <v>-0.00981648291178097</v>
      </c>
      <c r="M99" s="746" t="n">
        <f aca="false">'Cuenta Ahorro-Inversión-Financi'!L99+'Cuenta Ahorro-Inversión-Financi'!G99</f>
        <v>-0.0096999596370405</v>
      </c>
      <c r="Z99" s="742" t="n">
        <v>1996</v>
      </c>
      <c r="AA99" s="746"/>
      <c r="AB99" s="746" t="n">
        <f aca="false">'Cuenta Ahorro-Inversión-Financi'!M99</f>
        <v>-0.0096999596370405</v>
      </c>
      <c r="AV99" s="715" t="n">
        <v>2011</v>
      </c>
      <c r="AW99" s="710" t="n">
        <f aca="false">'Cuenta Ahorro-Inversión-Financi'!AX60</f>
        <v>0.00657395296942401</v>
      </c>
      <c r="AX99" s="710" t="n">
        <f aca="false">'Cuenta Ahorro-Inversión-Financi'!AY60</f>
        <v>0.00832896113680864</v>
      </c>
      <c r="AY99" s="710" t="n">
        <f aca="false">'Cuenta Ahorro-Inversión-Financi'!AZ60</f>
        <v>0.00326307905881009</v>
      </c>
      <c r="AZ99" s="703"/>
      <c r="BA99" s="703"/>
      <c r="BB99" s="703"/>
      <c r="BC99" s="703"/>
      <c r="BD99" s="703"/>
      <c r="BE99" s="703"/>
      <c r="BF99" s="703"/>
      <c r="BG99" s="703"/>
    </row>
    <row r="100" customFormat="false" ht="14.45" hidden="false" customHeight="true" outlineLevel="0" collapsed="false">
      <c r="E100" s="742" t="n">
        <v>1997</v>
      </c>
      <c r="F100" s="743" t="n">
        <v>0.0349581599781242</v>
      </c>
      <c r="G100" s="743" t="n">
        <v>0.000108303900462984</v>
      </c>
      <c r="H100" s="743" t="n">
        <v>0.048375687457096</v>
      </c>
      <c r="I100" s="748" t="n">
        <v>0.0500659666860674</v>
      </c>
      <c r="J100" s="748" t="n">
        <v>0.00539903006587295</v>
      </c>
      <c r="K100" s="748" t="n">
        <v>0.0566005957718935</v>
      </c>
      <c r="L100" s="745" t="n">
        <f aca="false">'Cuenta Ahorro-Inversión-Financi'!H100-'Cuenta Ahorro-Inversión-Financi'!G100-'Cuenta Ahorro-Inversión-Financi'!K100</f>
        <v>-0.00833321221526048</v>
      </c>
      <c r="M100" s="745" t="n">
        <f aca="false">'Cuenta Ahorro-Inversión-Financi'!L100+'Cuenta Ahorro-Inversión-Financi'!G100</f>
        <v>-0.0082249083147975</v>
      </c>
      <c r="Z100" s="742" t="n">
        <v>1997</v>
      </c>
      <c r="AA100" s="745"/>
      <c r="AB100" s="745" t="n">
        <f aca="false">'Cuenta Ahorro-Inversión-Financi'!M100</f>
        <v>-0.0082249083147975</v>
      </c>
      <c r="AV100" s="715" t="n">
        <v>2012</v>
      </c>
      <c r="AW100" s="713" t="n">
        <f aca="false">'Cuenta Ahorro-Inversión-Financi'!AX61</f>
        <v>0.00622385094743566</v>
      </c>
      <c r="AX100" s="713" t="n">
        <f aca="false">'Cuenta Ahorro-Inversión-Financi'!AY61</f>
        <v>0.00762851417076517</v>
      </c>
      <c r="AY100" s="713" t="n">
        <f aca="false">'Cuenta Ahorro-Inversión-Financi'!AZ61</f>
        <v>0.00105161751029002</v>
      </c>
      <c r="AZ100" s="703"/>
      <c r="BA100" s="703"/>
      <c r="BB100" s="703"/>
      <c r="BC100" s="703"/>
      <c r="BD100" s="703"/>
      <c r="BE100" s="703"/>
      <c r="BF100" s="703"/>
      <c r="BG100" s="703"/>
    </row>
    <row r="101" customFormat="false" ht="14.45" hidden="false" customHeight="true" outlineLevel="0" collapsed="false">
      <c r="E101" s="742" t="n">
        <v>1998</v>
      </c>
      <c r="F101" s="746" t="n">
        <v>0.0264965219233464</v>
      </c>
      <c r="G101" s="746" t="n">
        <v>4.84963051482054E-005</v>
      </c>
      <c r="H101" s="746" t="n">
        <v>0.0478028585762537</v>
      </c>
      <c r="I101" s="746" t="n">
        <v>0.0491903555478579</v>
      </c>
      <c r="J101" s="746" t="n">
        <v>0.00477034993055969</v>
      </c>
      <c r="K101" s="746" t="n">
        <v>0.0549855186352841</v>
      </c>
      <c r="L101" s="746" t="n">
        <f aca="false">'Cuenta Ahorro-Inversión-Financi'!H101-'Cuenta Ahorro-Inversión-Financi'!G101-'Cuenta Ahorro-Inversión-Financi'!K101</f>
        <v>-0.00723115636417861</v>
      </c>
      <c r="M101" s="746" t="n">
        <f aca="false">'Cuenta Ahorro-Inversión-Financi'!L101+'Cuenta Ahorro-Inversión-Financi'!G101</f>
        <v>-0.0071826600590304</v>
      </c>
      <c r="Z101" s="742" t="n">
        <v>1998</v>
      </c>
      <c r="AA101" s="746"/>
      <c r="AB101" s="746" t="n">
        <f aca="false">'Cuenta Ahorro-Inversión-Financi'!M101</f>
        <v>-0.0071826600590304</v>
      </c>
      <c r="AV101" s="715" t="n">
        <v>2013</v>
      </c>
      <c r="AW101" s="710" t="n">
        <f aca="false">'Cuenta Ahorro-Inversión-Financi'!AX62</f>
        <v>0.00503434643186503</v>
      </c>
      <c r="AX101" s="710" t="n">
        <f aca="false">'Cuenta Ahorro-Inversión-Financi'!AY62</f>
        <v>0.0058795781936787</v>
      </c>
      <c r="AY101" s="710" t="n">
        <f aca="false">'Cuenta Ahorro-Inversión-Financi'!AZ62</f>
        <v>-0.000951668558161176</v>
      </c>
      <c r="AZ101" s="703"/>
      <c r="BA101" s="703"/>
      <c r="BB101" s="703"/>
      <c r="BC101" s="703"/>
      <c r="BD101" s="703"/>
      <c r="BE101" s="703"/>
      <c r="BF101" s="703"/>
      <c r="BG101" s="703"/>
    </row>
    <row r="102" customFormat="false" ht="14.45" hidden="false" customHeight="true" outlineLevel="0" collapsed="false">
      <c r="E102" s="742" t="n">
        <v>1999</v>
      </c>
      <c r="F102" s="743" t="n">
        <v>0.0249055646687138</v>
      </c>
      <c r="G102" s="743" t="n">
        <v>8.90089000381151E-006</v>
      </c>
      <c r="H102" s="743" t="n">
        <v>0.0463447957902552</v>
      </c>
      <c r="I102" s="748" t="n">
        <v>0.0517496903211291</v>
      </c>
      <c r="J102" s="748" t="n">
        <v>0.00587322823822414</v>
      </c>
      <c r="K102" s="748" t="n">
        <v>0.0584819665329902</v>
      </c>
      <c r="L102" s="745" t="n">
        <f aca="false">'Cuenta Ahorro-Inversión-Financi'!H102-'Cuenta Ahorro-Inversión-Financi'!G102-'Cuenta Ahorro-Inversión-Financi'!K102</f>
        <v>-0.0121460716327388</v>
      </c>
      <c r="M102" s="745" t="n">
        <f aca="false">'Cuenta Ahorro-Inversión-Financi'!L102+'Cuenta Ahorro-Inversión-Financi'!G102</f>
        <v>-0.012137170742735</v>
      </c>
      <c r="Z102" s="742" t="n">
        <v>1999</v>
      </c>
      <c r="AA102" s="745"/>
      <c r="AB102" s="745" t="n">
        <f aca="false">'Cuenta Ahorro-Inversión-Financi'!M102</f>
        <v>-0.012137170742735</v>
      </c>
      <c r="AV102" s="715" t="n">
        <v>2014</v>
      </c>
      <c r="AW102" s="713" t="n">
        <f aca="false">'Cuenta Ahorro-Inversión-Financi'!AX63</f>
        <v>0.00553198190989186</v>
      </c>
      <c r="AX102" s="713" t="n">
        <f aca="false">'Cuenta Ahorro-Inversión-Financi'!AY63</f>
        <v>0.00708955151514588</v>
      </c>
      <c r="AY102" s="713" t="n">
        <f aca="false">'Cuenta Ahorro-Inversión-Financi'!AZ63</f>
        <v>-0.00129286375596846</v>
      </c>
      <c r="AZ102" s="703"/>
      <c r="BA102" s="703"/>
      <c r="BB102" s="703"/>
      <c r="BC102" s="703"/>
      <c r="BD102" s="703"/>
      <c r="BE102" s="703"/>
      <c r="BF102" s="703"/>
      <c r="BG102" s="703"/>
    </row>
    <row r="103" customFormat="false" ht="14.45" hidden="false" customHeight="true" outlineLevel="0" collapsed="false">
      <c r="E103" s="742" t="n">
        <v>2000</v>
      </c>
      <c r="F103" s="746" t="n">
        <v>0.0236198765665383</v>
      </c>
      <c r="G103" s="746" t="n">
        <v>5.08058139376392E-006</v>
      </c>
      <c r="H103" s="746" t="n">
        <v>0.04718182791823</v>
      </c>
      <c r="I103" s="746" t="n">
        <v>0.0518501300658357</v>
      </c>
      <c r="J103" s="746" t="n">
        <v>0.00613084017631838</v>
      </c>
      <c r="K103" s="746" t="n">
        <v>0.0587448693895881</v>
      </c>
      <c r="L103" s="746" t="n">
        <f aca="false">'Cuenta Ahorro-Inversión-Financi'!H103-'Cuenta Ahorro-Inversión-Financi'!G103-'Cuenta Ahorro-Inversión-Financi'!K103</f>
        <v>-0.0115681220527519</v>
      </c>
      <c r="M103" s="746" t="n">
        <f aca="false">'Cuenta Ahorro-Inversión-Financi'!L103+'Cuenta Ahorro-Inversión-Financi'!G103</f>
        <v>-0.0115630414713581</v>
      </c>
      <c r="Z103" s="742" t="n">
        <v>2000</v>
      </c>
      <c r="AA103" s="746"/>
      <c r="AB103" s="746" t="n">
        <f aca="false">'Cuenta Ahorro-Inversión-Financi'!M103</f>
        <v>-0.0115630414713581</v>
      </c>
      <c r="AV103" s="715" t="n">
        <v>2015</v>
      </c>
      <c r="AW103" s="710" t="n">
        <f aca="false">'Cuenta Ahorro-Inversión-Financi'!AX64</f>
        <v>-0.000125937015975977</v>
      </c>
      <c r="AX103" s="710" t="n">
        <f aca="false">'Cuenta Ahorro-Inversión-Financi'!AY64</f>
        <v>0.00142387626311401</v>
      </c>
      <c r="AY103" s="710" t="n">
        <f aca="false">'Cuenta Ahorro-Inversión-Financi'!AZ64</f>
        <v>-0.00750733306177321</v>
      </c>
      <c r="AZ103" s="703"/>
      <c r="BA103" s="703"/>
      <c r="BB103" s="703"/>
      <c r="BC103" s="703"/>
      <c r="BD103" s="703"/>
      <c r="BE103" s="703"/>
      <c r="BF103" s="703"/>
      <c r="BG103" s="703"/>
    </row>
    <row r="104" customFormat="false" ht="14.45" hidden="false" customHeight="true" outlineLevel="0" collapsed="false">
      <c r="E104" s="742" t="n">
        <v>2001</v>
      </c>
      <c r="F104" s="743" t="n">
        <v>0.0238758696338049</v>
      </c>
      <c r="G104" s="743" t="n">
        <v>1.27950379999639E-006</v>
      </c>
      <c r="H104" s="743" t="n">
        <v>0.0453229227707823</v>
      </c>
      <c r="I104" s="748" t="n">
        <v>0.0525215308255347</v>
      </c>
      <c r="J104" s="748" t="n">
        <v>0.00621669920590712</v>
      </c>
      <c r="K104" s="748" t="n">
        <v>0.0594267223921134</v>
      </c>
      <c r="L104" s="745" t="n">
        <f aca="false">'Cuenta Ahorro-Inversión-Financi'!H104-'Cuenta Ahorro-Inversión-Financi'!G104-'Cuenta Ahorro-Inversión-Financi'!K104</f>
        <v>-0.0141050791251311</v>
      </c>
      <c r="M104" s="745" t="n">
        <f aca="false">'Cuenta Ahorro-Inversión-Financi'!L104+'Cuenta Ahorro-Inversión-Financi'!G104</f>
        <v>-0.0141037996213311</v>
      </c>
      <c r="Z104" s="742" t="n">
        <v>2001</v>
      </c>
      <c r="AA104" s="745"/>
      <c r="AB104" s="745" t="n">
        <f aca="false">'Cuenta Ahorro-Inversión-Financi'!M104</f>
        <v>-0.0141037996213311</v>
      </c>
      <c r="AV104" s="715" t="n">
        <v>2016</v>
      </c>
      <c r="AW104" s="713" t="n">
        <f aca="false">'Cuenta Ahorro-Inversión-Financi'!AX65-'Cuenta Ahorro-Inversión-Financi'!AQ65</f>
        <v>-0.00906966130470656</v>
      </c>
      <c r="AX104" s="713" t="n">
        <f aca="false">'Cuenta Ahorro-Inversión-Financi'!AY65</f>
        <v>-0.00773292798318479</v>
      </c>
      <c r="AY104" s="713" t="n">
        <f aca="false">'Cuenta Ahorro-Inversión-Financi'!AZ65</f>
        <v>-0.016540512952781</v>
      </c>
      <c r="AZ104" s="713" t="n">
        <f aca="false">AY104-(AJ32+CS32)/'PIB corriente base 2004'!X20/1000</f>
        <v>-0.0203467996958489</v>
      </c>
      <c r="BA104" s="703"/>
      <c r="BB104" s="703"/>
      <c r="BC104" s="703"/>
      <c r="BD104" s="703"/>
      <c r="BE104" s="703"/>
      <c r="BF104" s="703"/>
      <c r="BG104" s="703"/>
      <c r="BM104" s="749"/>
    </row>
    <row r="105" customFormat="false" ht="14.45" hidden="false" customHeight="true" outlineLevel="0" collapsed="false">
      <c r="E105" s="742" t="n">
        <v>2002</v>
      </c>
      <c r="F105" s="746" t="n">
        <v>0.0204511996433966</v>
      </c>
      <c r="G105" s="746" t="n">
        <v>1.71830895387883E-005</v>
      </c>
      <c r="H105" s="746" t="n">
        <v>0.0375241039760657</v>
      </c>
      <c r="I105" s="746" t="n">
        <v>0.0443421627477132</v>
      </c>
      <c r="J105" s="746" t="n">
        <v>0.00678591755475529</v>
      </c>
      <c r="K105" s="746" t="n">
        <v>0.0518021958823888</v>
      </c>
      <c r="L105" s="746" t="n">
        <f aca="false">'Cuenta Ahorro-Inversión-Financi'!H105-'Cuenta Ahorro-Inversión-Financi'!G105-'Cuenta Ahorro-Inversión-Financi'!K105</f>
        <v>-0.0142952749958619</v>
      </c>
      <c r="M105" s="746" t="n">
        <f aca="false">'Cuenta Ahorro-Inversión-Financi'!L105+'Cuenta Ahorro-Inversión-Financi'!G105</f>
        <v>-0.0142780919063231</v>
      </c>
      <c r="Z105" s="742" t="n">
        <v>2002</v>
      </c>
      <c r="AA105" s="746"/>
      <c r="AB105" s="746" t="n">
        <f aca="false">'Cuenta Ahorro-Inversión-Financi'!M105</f>
        <v>-0.0142780919063231</v>
      </c>
      <c r="AV105" s="715" t="n">
        <v>2017</v>
      </c>
      <c r="AW105" s="710" t="n">
        <f aca="false">'Cuenta Ahorro-Inversión-Financi'!AX66-'Cuenta Ahorro-Inversión-Financi'!AQ66</f>
        <v>-0.00868291447067941</v>
      </c>
      <c r="AX105" s="710" t="n">
        <f aca="false">'Cuenta Ahorro-Inversión-Financi'!AY66</f>
        <v>-0.00614048285829008</v>
      </c>
      <c r="AY105" s="710" t="n">
        <f aca="false">'Cuenta Ahorro-Inversión-Financi'!AZ66</f>
        <v>-0.0165001703989284</v>
      </c>
      <c r="AZ105" s="713" t="n">
        <f aca="false">AY105-(AJ33+CS33)/'PIB corriente base 2004'!X21/1000</f>
        <v>-0.0241047020081896</v>
      </c>
      <c r="BA105" s="703"/>
      <c r="BB105" s="703"/>
      <c r="BC105" s="703"/>
      <c r="BD105" s="703"/>
      <c r="BE105" s="703"/>
      <c r="BF105" s="703"/>
      <c r="BG105" s="703"/>
    </row>
    <row r="106" customFormat="false" ht="14.45" hidden="false" customHeight="true" outlineLevel="0" collapsed="false">
      <c r="E106" s="742" t="n">
        <v>2003</v>
      </c>
      <c r="F106" s="743" t="n">
        <v>0.0204726739831029</v>
      </c>
      <c r="G106" s="743" t="n">
        <v>5.45970901702129E-006</v>
      </c>
      <c r="H106" s="743" t="n">
        <v>0.0403337211014856</v>
      </c>
      <c r="I106" s="748" t="n">
        <v>0.0414155099169041</v>
      </c>
      <c r="J106" s="748" t="n">
        <v>0.00815617118660916</v>
      </c>
      <c r="K106" s="748" t="n">
        <v>0.0502672923467887</v>
      </c>
      <c r="L106" s="745" t="n">
        <f aca="false">'Cuenta Ahorro-Inversión-Financi'!H106-'Cuenta Ahorro-Inversión-Financi'!G106-'Cuenta Ahorro-Inversión-Financi'!K106</f>
        <v>-0.00993903095432012</v>
      </c>
      <c r="M106" s="745" t="n">
        <f aca="false">'Cuenta Ahorro-Inversión-Financi'!L106+'Cuenta Ahorro-Inversión-Financi'!G106</f>
        <v>-0.0099335712453031</v>
      </c>
      <c r="Z106" s="742" t="n">
        <v>2003</v>
      </c>
      <c r="AA106" s="745"/>
      <c r="AB106" s="745" t="n">
        <f aca="false">'Cuenta Ahorro-Inversión-Financi'!M106</f>
        <v>-0.0099335712453031</v>
      </c>
      <c r="AV106" s="727" t="n">
        <v>2018</v>
      </c>
      <c r="AW106" s="750" t="n">
        <f aca="false">'Cuenta Ahorro-Inversión-Financi'!AX67-'Cuenta Ahorro-Inversión-Financi'!AQ67</f>
        <v>-0.00114497132561972</v>
      </c>
      <c r="AX106" s="750" t="n">
        <f aca="false">'Cuenta Ahorro-Inversión-Financi'!AY67</f>
        <v>0.00644074962286809</v>
      </c>
      <c r="AY106" s="750" t="n">
        <f aca="false">'Cuenta Ahorro-Inversión-Financi'!AZ67</f>
        <v>-0.00613813731184667</v>
      </c>
      <c r="AZ106" s="713" t="n">
        <f aca="false">AY106-(AJ34+CS34)/'PIB corriente base 2004'!X22/1000</f>
        <v>-0.0182717978002125</v>
      </c>
      <c r="BA106" s="751"/>
      <c r="BB106" s="751"/>
      <c r="BC106" s="703"/>
      <c r="BD106" s="703"/>
      <c r="BE106" s="703"/>
      <c r="BF106" s="703"/>
      <c r="BG106" s="703"/>
      <c r="BJ106" s="749"/>
      <c r="BK106" s="749"/>
      <c r="BL106" s="749"/>
    </row>
    <row r="107" customFormat="false" ht="14.45" hidden="false" customHeight="true" outlineLevel="0" collapsed="false">
      <c r="E107" s="742" t="n">
        <v>2004</v>
      </c>
      <c r="F107" s="746" t="n">
        <v>0.0198583910397535</v>
      </c>
      <c r="G107" s="746" t="n">
        <v>2.30881062634633E-005</v>
      </c>
      <c r="H107" s="746" t="n">
        <v>0.0415558561932119</v>
      </c>
      <c r="I107" s="746" t="n">
        <v>0.0367054508298032</v>
      </c>
      <c r="J107" s="746" t="n">
        <v>0.00749095682578358</v>
      </c>
      <c r="K107" s="746" t="n">
        <v>0.0448165827387321</v>
      </c>
      <c r="L107" s="746" t="n">
        <f aca="false">'Cuenta Ahorro-Inversión-Financi'!H107-'Cuenta Ahorro-Inversión-Financi'!G107-'Cuenta Ahorro-Inversión-Financi'!K107</f>
        <v>-0.00328381465178366</v>
      </c>
      <c r="M107" s="746" t="n">
        <f aca="false">'Cuenta Ahorro-Inversión-Financi'!L107+'Cuenta Ahorro-Inversión-Financi'!G107</f>
        <v>-0.00326072654552019</v>
      </c>
      <c r="Z107" s="742" t="n">
        <v>2004</v>
      </c>
      <c r="AA107" s="746"/>
      <c r="AB107" s="746" t="n">
        <f aca="false">'Cuenta Ahorro-Inversión-Financi'!M107</f>
        <v>-0.00326072654552019</v>
      </c>
      <c r="AT107" s="455" t="s">
        <v>1006</v>
      </c>
      <c r="AV107" s="727" t="n">
        <v>2019</v>
      </c>
      <c r="AW107" s="750" t="n">
        <f aca="false">'Cuenta Ahorro-Inversión-Financi'!AX68-'Cuenta Ahorro-Inversión-Financi'!AQ68</f>
        <v>-0.00289295341041193</v>
      </c>
      <c r="AX107" s="750" t="n">
        <f aca="false">'Cuenta Ahorro-Inversión-Financi'!AY68</f>
        <v>0.00409472220571407</v>
      </c>
      <c r="AY107" s="750" t="n">
        <f aca="false">'Cuenta Ahorro-Inversión-Financi'!AZ68</f>
        <v>-0.0100154373684693</v>
      </c>
      <c r="AZ107" s="713" t="n">
        <f aca="false">AY107-(AJ35+CS35)/'PIB corriente base 2004'!X23/1000</f>
        <v>-0.0249959945950874</v>
      </c>
      <c r="BJ107" s="1" t="n">
        <v>1000</v>
      </c>
    </row>
    <row r="108" customFormat="false" ht="14.45" hidden="false" customHeight="true" outlineLevel="0" collapsed="false">
      <c r="E108" s="742" t="n">
        <v>2005</v>
      </c>
      <c r="F108" s="743" t="n">
        <v>0.0213435359056264</v>
      </c>
      <c r="G108" s="743" t="n">
        <v>6.62231588973957E-005</v>
      </c>
      <c r="H108" s="743" t="n">
        <v>0.0432736271369158</v>
      </c>
      <c r="I108" s="748" t="n">
        <v>0.0344192555782106</v>
      </c>
      <c r="J108" s="748" t="n">
        <v>0.00849349774813984</v>
      </c>
      <c r="K108" s="748" t="n">
        <v>0.0436850825313419</v>
      </c>
      <c r="L108" s="745" t="n">
        <f aca="false">'Cuenta Ahorro-Inversión-Financi'!H108-'Cuenta Ahorro-Inversión-Financi'!G108-'Cuenta Ahorro-Inversión-Financi'!K108</f>
        <v>-0.000477678553323493</v>
      </c>
      <c r="M108" s="745" t="n">
        <f aca="false">'Cuenta Ahorro-Inversión-Financi'!L108+'Cuenta Ahorro-Inversión-Financi'!G108</f>
        <v>-0.000411455394426098</v>
      </c>
      <c r="Z108" s="742" t="n">
        <v>2005</v>
      </c>
      <c r="AA108" s="745"/>
      <c r="AB108" s="745" t="n">
        <f aca="false">'Cuenta Ahorro-Inversión-Financi'!M108</f>
        <v>-0.000411455394426098</v>
      </c>
    </row>
    <row r="109" customFormat="false" ht="14.45" hidden="false" customHeight="true" outlineLevel="0" collapsed="false">
      <c r="E109" s="742" t="n">
        <v>2006</v>
      </c>
      <c r="F109" s="746" t="n">
        <v>0.0251468100764333</v>
      </c>
      <c r="G109" s="746" t="n">
        <v>0.00039966816628144</v>
      </c>
      <c r="H109" s="746" t="n">
        <v>0.0466732130747311</v>
      </c>
      <c r="I109" s="746" t="n">
        <v>0.036680301679781</v>
      </c>
      <c r="J109" s="746" t="n">
        <v>0.00783650757614824</v>
      </c>
      <c r="K109" s="746" t="n">
        <v>0.0453505208221868</v>
      </c>
      <c r="L109" s="746" t="n">
        <f aca="false">'Cuenta Ahorro-Inversión-Financi'!H109-'Cuenta Ahorro-Inversión-Financi'!G109-'Cuenta Ahorro-Inversión-Financi'!K109</f>
        <v>0.000923024086262859</v>
      </c>
      <c r="M109" s="746" t="n">
        <f aca="false">'Cuenta Ahorro-Inversión-Financi'!L109+'Cuenta Ahorro-Inversión-Financi'!G109</f>
        <v>0.0013226922525443</v>
      </c>
      <c r="Z109" s="742" t="n">
        <v>2006</v>
      </c>
      <c r="AA109" s="746"/>
      <c r="AB109" s="746" t="n">
        <f aca="false">'Cuenta Ahorro-Inversión-Financi'!M109</f>
        <v>0.0013226922525443</v>
      </c>
    </row>
    <row r="110" customFormat="false" ht="14.45" hidden="false" customHeight="true" outlineLevel="0" collapsed="false">
      <c r="E110" s="742" t="n">
        <v>2007</v>
      </c>
      <c r="F110" s="743" t="n">
        <v>0.0383311349846289</v>
      </c>
      <c r="G110" s="743" t="n">
        <v>0.000734600661998748</v>
      </c>
      <c r="H110" s="743" t="n">
        <v>0.0599265458306365</v>
      </c>
      <c r="I110" s="748" t="n">
        <v>0.0487599458219909</v>
      </c>
      <c r="J110" s="748" t="n">
        <v>0.00736542235920776</v>
      </c>
      <c r="K110" s="748" t="n">
        <v>0.0570555874298369</v>
      </c>
      <c r="L110" s="745" t="n">
        <f aca="false">'Cuenta Ahorro-Inversión-Financi'!H110-'Cuenta Ahorro-Inversión-Financi'!G110-'Cuenta Ahorro-Inversión-Financi'!K110</f>
        <v>0.00213635773880085</v>
      </c>
      <c r="M110" s="745" t="n">
        <f aca="false">'Cuenta Ahorro-Inversión-Financi'!L110+'Cuenta Ahorro-Inversión-Financi'!G110</f>
        <v>0.0028709584007996</v>
      </c>
      <c r="Z110" s="742" t="n">
        <v>2007</v>
      </c>
      <c r="AA110" s="745"/>
      <c r="AB110" s="745" t="n">
        <f aca="false">'Cuenta Ahorro-Inversión-Financi'!M110</f>
        <v>0.0028709584007996</v>
      </c>
    </row>
    <row r="111" customFormat="false" ht="14.45" hidden="false" customHeight="true" outlineLevel="0" collapsed="false">
      <c r="E111" s="742" t="n">
        <v>2008</v>
      </c>
      <c r="F111" s="746" t="n">
        <v>0.0366905292941694</v>
      </c>
      <c r="G111" s="746" t="n">
        <v>0.000967753189531536</v>
      </c>
      <c r="H111" s="746" t="n">
        <v>0.0580102477430396</v>
      </c>
      <c r="I111" s="746" t="n">
        <v>0.0481660713223888</v>
      </c>
      <c r="J111" s="746" t="n">
        <v>0.00889615748519055</v>
      </c>
      <c r="K111" s="746" t="n">
        <v>0.0581585688882519</v>
      </c>
      <c r="L111" s="746" t="n">
        <f aca="false">'Cuenta Ahorro-Inversión-Financi'!H111-'Cuenta Ahorro-Inversión-Financi'!G111-'Cuenta Ahorro-Inversión-Financi'!K111</f>
        <v>-0.00111607433474384</v>
      </c>
      <c r="M111" s="746" t="n">
        <f aca="false">'Cuenta Ahorro-Inversión-Financi'!L111+'Cuenta Ahorro-Inversión-Financi'!G111</f>
        <v>-0.000148321145212302</v>
      </c>
      <c r="Z111" s="742" t="n">
        <v>2008</v>
      </c>
      <c r="AA111" s="746" t="n">
        <f aca="false">'Cuenta Ahorro-Inversión-Financi'!L111</f>
        <v>-0.00111607433474384</v>
      </c>
      <c r="AB111" s="746" t="n">
        <f aca="false">'Cuenta Ahorro-Inversión-Financi'!M111</f>
        <v>-0.000148321145212302</v>
      </c>
    </row>
    <row r="112" customFormat="false" ht="14.45" hidden="false" customHeight="true" outlineLevel="0" collapsed="false">
      <c r="E112" s="742" t="n">
        <v>2009</v>
      </c>
      <c r="F112" s="743" t="n">
        <v>0.0505403546231782</v>
      </c>
      <c r="G112" s="743" t="n">
        <v>0.00677017628464514</v>
      </c>
      <c r="H112" s="743" t="n">
        <v>0.0776110220593681</v>
      </c>
      <c r="I112" s="748" t="n">
        <v>0.0565591275475569</v>
      </c>
      <c r="J112" s="748" t="n">
        <v>0.0123401428713317</v>
      </c>
      <c r="K112" s="748" t="n">
        <v>0.0706724331587991</v>
      </c>
      <c r="L112" s="745" t="n">
        <f aca="false">'Cuenta Ahorro-Inversión-Financi'!H112-'Cuenta Ahorro-Inversión-Financi'!G112-'Cuenta Ahorro-Inversión-Financi'!K112</f>
        <v>0.000168412615923846</v>
      </c>
      <c r="M112" s="745" t="n">
        <f aca="false">'Cuenta Ahorro-Inversión-Financi'!L112+'Cuenta Ahorro-Inversión-Financi'!G112</f>
        <v>0.00693858890056899</v>
      </c>
      <c r="Z112" s="742" t="n">
        <v>2009</v>
      </c>
      <c r="AA112" s="745" t="n">
        <f aca="false">'Cuenta Ahorro-Inversión-Financi'!L112</f>
        <v>0.000168412615923846</v>
      </c>
      <c r="AB112" s="745" t="n">
        <f aca="false">'Cuenta Ahorro-Inversión-Financi'!M112</f>
        <v>0.00693858890056899</v>
      </c>
    </row>
    <row r="113" customFormat="false" ht="14.45" hidden="false" customHeight="true" outlineLevel="0" collapsed="false">
      <c r="E113" s="742" t="n">
        <v>2010</v>
      </c>
      <c r="F113" s="746" t="n">
        <v>0.0502160307510873</v>
      </c>
      <c r="G113" s="746" t="n">
        <v>0.0052162195382828</v>
      </c>
      <c r="H113" s="746" t="n">
        <v>0.0759626207943985</v>
      </c>
      <c r="I113" s="746" t="n">
        <v>0.0528866171686624</v>
      </c>
      <c r="J113" s="746" t="n">
        <v>0.0152230526852369</v>
      </c>
      <c r="K113" s="746" t="n">
        <v>0.070032018675799</v>
      </c>
      <c r="L113" s="746" t="n">
        <f aca="false">'Cuenta Ahorro-Inversión-Financi'!H113-'Cuenta Ahorro-Inversión-Financi'!G113-'Cuenta Ahorro-Inversión-Financi'!K113</f>
        <v>0.000714382580316697</v>
      </c>
      <c r="M113" s="746" t="n">
        <f aca="false">'Cuenta Ahorro-Inversión-Financi'!L113+'Cuenta Ahorro-Inversión-Financi'!G113</f>
        <v>0.0059306021185995</v>
      </c>
      <c r="Z113" s="742" t="n">
        <v>2010</v>
      </c>
      <c r="AA113" s="746" t="n">
        <f aca="false">'Cuenta Ahorro-Inversión-Financi'!L113</f>
        <v>0.000714382580316697</v>
      </c>
      <c r="AB113" s="746" t="n">
        <f aca="false">'Cuenta Ahorro-Inversión-Financi'!M113</f>
        <v>0.0059306021185995</v>
      </c>
    </row>
    <row r="114" customFormat="false" ht="14.45" hidden="false" customHeight="true" outlineLevel="0" collapsed="false">
      <c r="E114" s="742" t="n">
        <v>2011</v>
      </c>
      <c r="F114" s="743" t="n">
        <v>0.0513298952994492</v>
      </c>
      <c r="G114" s="743" t="n">
        <v>0.00503702664609787</v>
      </c>
      <c r="H114" s="743" t="n">
        <v>0.0773025145231387</v>
      </c>
      <c r="I114" s="748" t="n">
        <v>0.0556734161248401</v>
      </c>
      <c r="J114" s="748" t="n">
        <v>0.0129129430141222</v>
      </c>
      <c r="K114" s="748" t="n">
        <v>0.0707660070073014</v>
      </c>
      <c r="L114" s="745" t="n">
        <f aca="false">'Cuenta Ahorro-Inversión-Financi'!H114-'Cuenta Ahorro-Inversión-Financi'!G114-'Cuenta Ahorro-Inversión-Financi'!K114</f>
        <v>0.00149948086973943</v>
      </c>
      <c r="M114" s="745" t="n">
        <f aca="false">'Cuenta Ahorro-Inversión-Financi'!L114+'Cuenta Ahorro-Inversión-Financi'!G114</f>
        <v>0.0065365075158373</v>
      </c>
      <c r="Z114" s="742" t="n">
        <v>2011</v>
      </c>
      <c r="AA114" s="745" t="n">
        <f aca="false">'Cuenta Ahorro-Inversión-Financi'!L114</f>
        <v>0.00149948086973943</v>
      </c>
      <c r="AB114" s="745" t="n">
        <f aca="false">'Cuenta Ahorro-Inversión-Financi'!M114</f>
        <v>0.0065365075158373</v>
      </c>
    </row>
    <row r="115" customFormat="false" ht="14.45" hidden="false" customHeight="true" outlineLevel="0" collapsed="false">
      <c r="E115" s="742" t="n">
        <v>2012</v>
      </c>
      <c r="F115" s="746" t="n">
        <v>0.0554780570561336</v>
      </c>
      <c r="G115" s="746" t="n">
        <v>0.00654149714780885</v>
      </c>
      <c r="H115" s="746" t="n">
        <v>0.0843388714459301</v>
      </c>
      <c r="I115" s="746" t="n">
        <v>0.0636134413385622</v>
      </c>
      <c r="J115" s="746" t="n">
        <v>0.0121810053750355</v>
      </c>
      <c r="K115" s="746" t="n">
        <v>0.0781485197766223</v>
      </c>
      <c r="L115" s="746" t="n">
        <f aca="false">'Cuenta Ahorro-Inversión-Financi'!H115-'Cuenta Ahorro-Inversión-Financi'!G115-'Cuenta Ahorro-Inversión-Financi'!K115</f>
        <v>-0.000351145478501055</v>
      </c>
      <c r="M115" s="746" t="n">
        <f aca="false">'Cuenta Ahorro-Inversión-Financi'!L115+'Cuenta Ahorro-Inversión-Financi'!G115</f>
        <v>0.0061903516693078</v>
      </c>
      <c r="Z115" s="742" t="n">
        <v>2012</v>
      </c>
      <c r="AA115" s="746" t="n">
        <f aca="false">'Cuenta Ahorro-Inversión-Financi'!L115</f>
        <v>-0.000351145478501055</v>
      </c>
      <c r="AB115" s="746" t="n">
        <f aca="false">'Cuenta Ahorro-Inversión-Financi'!M115</f>
        <v>0.0061903516693078</v>
      </c>
    </row>
    <row r="116" customFormat="false" ht="14.45" hidden="false" customHeight="true" outlineLevel="0" collapsed="false">
      <c r="E116" s="742" t="s">
        <v>899</v>
      </c>
      <c r="F116" s="743" t="n">
        <v>0.0574500419620414</v>
      </c>
      <c r="G116" s="743" t="n">
        <v>0.00680496730055792</v>
      </c>
      <c r="H116" s="743" t="n">
        <v>0.0865009528157236</v>
      </c>
      <c r="I116" s="748" t="n">
        <v>0.0663361174021365</v>
      </c>
      <c r="J116" s="748" t="n">
        <v>0.0130498959152414</v>
      </c>
      <c r="K116" s="748" t="n">
        <v>0.081485973252982</v>
      </c>
      <c r="L116" s="745" t="n">
        <f aca="false">'Cuenta Ahorro-Inversión-Financi'!H116-'Cuenta Ahorro-Inversión-Financi'!G116-'Cuenta Ahorro-Inversión-Financi'!K116</f>
        <v>-0.00178998773781631</v>
      </c>
      <c r="M116" s="745" t="n">
        <f aca="false">'Cuenta Ahorro-Inversión-Financi'!L116+'Cuenta Ahorro-Inversión-Financi'!G116</f>
        <v>0.00501497956274161</v>
      </c>
      <c r="Z116" s="742" t="s">
        <v>899</v>
      </c>
      <c r="AA116" s="745" t="n">
        <f aca="false">'Cuenta Ahorro-Inversión-Financi'!L116</f>
        <v>-0.00178998773781631</v>
      </c>
      <c r="AB116" s="745" t="n">
        <f aca="false">'Cuenta Ahorro-Inversión-Financi'!M116</f>
        <v>0.00501497956274161</v>
      </c>
    </row>
    <row r="117" customFormat="false" ht="14.45" hidden="false" customHeight="true" outlineLevel="0" collapsed="false">
      <c r="E117" s="742" t="s">
        <v>901</v>
      </c>
      <c r="F117" s="746" t="n">
        <v>0.0538609514609617</v>
      </c>
      <c r="G117" s="746" t="n">
        <v>0.00832847206345979</v>
      </c>
      <c r="H117" s="746" t="n">
        <v>0.0846234939549682</v>
      </c>
      <c r="I117" s="746" t="n">
        <v>0.0641404872464543</v>
      </c>
      <c r="J117" s="746" t="n">
        <v>0.0136468880197234</v>
      </c>
      <c r="K117" s="746" t="n">
        <v>0.0798553151107926</v>
      </c>
      <c r="L117" s="746" t="n">
        <f aca="false">'Cuenta Ahorro-Inversión-Financi'!H117-'Cuenta Ahorro-Inversión-Financi'!G117-'Cuenta Ahorro-Inversión-Financi'!K117</f>
        <v>-0.00356029321928418</v>
      </c>
      <c r="M117" s="746" t="n">
        <f aca="false">'Cuenta Ahorro-Inversión-Financi'!L117+'Cuenta Ahorro-Inversión-Financi'!G117</f>
        <v>0.00476817884417561</v>
      </c>
      <c r="Z117" s="742" t="s">
        <v>901</v>
      </c>
      <c r="AA117" s="746" t="n">
        <f aca="false">'Cuenta Ahorro-Inversión-Financi'!L117</f>
        <v>-0.00356029321928418</v>
      </c>
      <c r="AB117" s="746" t="n">
        <f aca="false">'Cuenta Ahorro-Inversión-Financi'!M117</f>
        <v>0.00476817884417561</v>
      </c>
    </row>
    <row r="118" customFormat="false" ht="14.45" hidden="false" customHeight="true" outlineLevel="0" collapsed="false">
      <c r="E118" s="752" t="s">
        <v>902</v>
      </c>
      <c r="F118" s="753" t="n">
        <f aca="false">'Cuenta Ahorro-Inversión-Financi'!F64</f>
        <v>0.0564297158299164</v>
      </c>
      <c r="G118" s="753" t="n">
        <f aca="false">'Cuenta Ahorro-Inversión-Financi'!H64</f>
        <v>0.00893120932488722</v>
      </c>
      <c r="H118" s="753" t="n">
        <f aca="false">'Cuenta Ahorro-Inversión-Financi'!N64</f>
        <v>0.0890035625299765</v>
      </c>
      <c r="I118" s="754" t="n">
        <f aca="false">'Cuenta Ahorro-Inversión-Financi'!R64</f>
        <v>0.0727904762035428</v>
      </c>
      <c r="J118" s="754" t="n">
        <f aca="false">'Cuenta Ahorro-Inversión-Financi'!T64</f>
        <v>0.0142397374282983</v>
      </c>
      <c r="K118" s="754" t="n">
        <f aca="false">'Cuenta Ahorro-Inversión-Financi'!W64</f>
        <v>0.0891294674359281</v>
      </c>
      <c r="L118" s="745" t="n">
        <f aca="false">'Cuenta Ahorro-Inversión-Financi'!H118-'Cuenta Ahorro-Inversión-Financi'!G118-'Cuenta Ahorro-Inversión-Financi'!K118</f>
        <v>-0.00905711423083884</v>
      </c>
      <c r="M118" s="745" t="n">
        <f aca="false">'Cuenta Ahorro-Inversión-Financi'!L118+'Cuenta Ahorro-Inversión-Financi'!G118</f>
        <v>-0.000125904905951621</v>
      </c>
      <c r="Z118" s="752" t="s">
        <v>902</v>
      </c>
      <c r="AA118" s="745" t="n">
        <f aca="false">'Cuenta Ahorro-Inversión-Financi'!L118</f>
        <v>-0.00905711423083884</v>
      </c>
      <c r="AB118" s="745" t="n">
        <f aca="false">'Cuenta Ahorro-Inversión-Financi'!M118</f>
        <v>-0.000125904905951621</v>
      </c>
    </row>
    <row r="119" customFormat="false" ht="14.45" hidden="false" customHeight="true" outlineLevel="0" collapsed="false"/>
    <row r="120" customFormat="false" ht="14.45" hidden="false" customHeight="true" outlineLevel="0" collapsed="false"/>
    <row r="121" customFormat="false" ht="14.45" hidden="false" customHeight="true" outlineLevel="0" collapsed="false"/>
    <row r="122" customFormat="false" ht="14.45" hidden="false" customHeight="true" outlineLevel="0" collapsed="false"/>
    <row r="123" customFormat="false" ht="14.45" hidden="false" customHeight="true" outlineLevel="0" collapsed="false"/>
    <row r="124" customFormat="false" ht="14.45" hidden="false" customHeight="true" outlineLevel="0" collapsed="false"/>
    <row r="125" customFormat="false" ht="14.45" hidden="false" customHeight="true" outlineLevel="0" collapsed="false"/>
    <row r="126" customFormat="false" ht="14.45" hidden="false" customHeight="true" outlineLevel="0" collapsed="false"/>
    <row r="127" customFormat="false" ht="14.45" hidden="false" customHeight="true" outlineLevel="0" collapsed="false"/>
    <row r="128" customFormat="false" ht="14.45" hidden="false" customHeight="true" outlineLevel="0" collapsed="false"/>
    <row r="129" customFormat="false" ht="14.45" hidden="false" customHeight="true" outlineLevel="0" collapsed="false"/>
    <row r="130" customFormat="false" ht="14.45" hidden="false" customHeight="true" outlineLevel="0" collapsed="false"/>
    <row r="131" customFormat="false" ht="14.45" hidden="false" customHeight="true" outlineLevel="0" collapsed="false"/>
    <row r="132" customFormat="false" ht="14.45" hidden="false" customHeight="true" outlineLevel="0" collapsed="false"/>
    <row r="133" customFormat="false" ht="14.45" hidden="false" customHeight="true" outlineLevel="0" collapsed="false"/>
    <row r="134" customFormat="false" ht="14.45" hidden="false" customHeight="true" outlineLevel="0" collapsed="false"/>
    <row r="135" customFormat="false" ht="14.45" hidden="false" customHeight="true" outlineLevel="0" collapsed="false"/>
    <row r="136" customFormat="false" ht="14.45" hidden="false" customHeight="true" outlineLevel="0" collapsed="false"/>
    <row r="137" customFormat="false" ht="14.45" hidden="false" customHeight="true" outlineLevel="0" collapsed="false"/>
    <row r="138" customFormat="false" ht="14.45" hidden="false" customHeight="true" outlineLevel="0" collapsed="false"/>
    <row r="139" customFormat="false" ht="14.45" hidden="false" customHeight="true" outlineLevel="0" collapsed="false"/>
    <row r="140" customFormat="false" ht="14.45" hidden="false" customHeight="true" outlineLevel="0" collapsed="false"/>
    <row r="141" customFormat="false" ht="14.45" hidden="false" customHeight="true" outlineLevel="0" collapsed="false"/>
    <row r="142" customFormat="false" ht="14.45" hidden="false" customHeight="true" outlineLevel="0" collapsed="false"/>
    <row r="143" customFormat="false" ht="14.45" hidden="false" customHeight="true" outlineLevel="0" collapsed="false"/>
    <row r="144" customFormat="false" ht="14.45" hidden="false" customHeight="true" outlineLevel="0" collapsed="false"/>
    <row r="145" customFormat="false" ht="14.45" hidden="false" customHeight="true" outlineLevel="0" collapsed="false"/>
    <row r="146" customFormat="false" ht="14.45" hidden="false" customHeight="true" outlineLevel="0" collapsed="false"/>
    <row r="147" customFormat="false" ht="14.45" hidden="false" customHeight="true" outlineLevel="0" collapsed="false"/>
    <row r="148" customFormat="false" ht="14.45" hidden="false" customHeight="true" outlineLevel="0" collapsed="false"/>
    <row r="149" customFormat="false" ht="14.45" hidden="false" customHeight="true" outlineLevel="0" collapsed="false"/>
    <row r="150" customFormat="false" ht="14.45" hidden="false" customHeight="true" outlineLevel="0" collapsed="false"/>
    <row r="151" customFormat="false" ht="14.45" hidden="false" customHeight="true" outlineLevel="0" collapsed="false"/>
    <row r="152" customFormat="false" ht="14.45" hidden="false" customHeight="true" outlineLevel="0" collapsed="false"/>
    <row r="153" customFormat="false" ht="14.45" hidden="false" customHeight="true" outlineLevel="0" collapsed="false"/>
    <row r="154" customFormat="false" ht="14.45" hidden="false" customHeight="true" outlineLevel="0" collapsed="false"/>
    <row r="155" customFormat="false" ht="14.45" hidden="false" customHeight="true" outlineLevel="0" collapsed="false"/>
    <row r="156" customFormat="false" ht="14.45" hidden="false" customHeight="true" outlineLevel="0" collapsed="false"/>
    <row r="157" customFormat="false" ht="14.45" hidden="false" customHeight="true" outlineLevel="0" collapsed="false"/>
    <row r="158" customFormat="false" ht="14.45" hidden="false" customHeight="true" outlineLevel="0" collapsed="false"/>
    <row r="159" customFormat="false" ht="14.45" hidden="false" customHeight="true" outlineLevel="0" collapsed="false"/>
    <row r="160" customFormat="false" ht="14.45" hidden="false" customHeight="true" outlineLevel="0" collapsed="false"/>
    <row r="161" customFormat="false" ht="14.45" hidden="false" customHeight="true" outlineLevel="0" collapsed="false"/>
    <row r="162" customFormat="false" ht="14.45" hidden="false" customHeight="true" outlineLevel="0" collapsed="false"/>
    <row r="163" customFormat="false" ht="14.45" hidden="false" customHeight="true" outlineLevel="0" collapsed="false"/>
    <row r="164" customFormat="false" ht="14.45" hidden="false" customHeight="true" outlineLevel="0" collapsed="false"/>
    <row r="165" customFormat="false" ht="14.45" hidden="false" customHeight="true" outlineLevel="0" collapsed="false"/>
    <row r="166" customFormat="false" ht="14.45" hidden="false" customHeight="true" outlineLevel="0" collapsed="false"/>
    <row r="167" customFormat="false" ht="14.45" hidden="false" customHeight="true" outlineLevel="0" collapsed="false"/>
    <row r="168" customFormat="false" ht="14.45" hidden="false" customHeight="true" outlineLevel="0" collapsed="false"/>
    <row r="169" customFormat="false" ht="14.45" hidden="false" customHeight="true" outlineLevel="0" collapsed="false"/>
    <row r="170" customFormat="false" ht="14.45" hidden="false" customHeight="true" outlineLevel="0" collapsed="false"/>
    <row r="171" customFormat="false" ht="14.45" hidden="false" customHeight="true" outlineLevel="0" collapsed="false"/>
    <row r="172" customFormat="false" ht="14.45" hidden="false" customHeight="true" outlineLevel="0" collapsed="false"/>
    <row r="173" customFormat="false" ht="14.45" hidden="false" customHeight="true" outlineLevel="0" collapsed="false"/>
    <row r="174" customFormat="false" ht="14.45" hidden="false" customHeight="true" outlineLevel="0" collapsed="false"/>
    <row r="175" customFormat="false" ht="14.45" hidden="false" customHeight="true" outlineLevel="0" collapsed="false"/>
    <row r="176" customFormat="false" ht="14.45" hidden="false" customHeight="true" outlineLevel="0" collapsed="false"/>
    <row r="177" customFormat="false" ht="14.45" hidden="false" customHeight="true" outlineLevel="0" collapsed="false"/>
    <row r="178" customFormat="false" ht="14.45" hidden="false" customHeight="true" outlineLevel="0" collapsed="false"/>
    <row r="179" customFormat="false" ht="14.45" hidden="false" customHeight="true" outlineLevel="0" collapsed="false"/>
    <row r="180" customFormat="false" ht="14.45" hidden="false" customHeight="true" outlineLevel="0" collapsed="false"/>
    <row r="181" customFormat="false" ht="14.45" hidden="false" customHeight="true" outlineLevel="0" collapsed="false"/>
    <row r="182" customFormat="false" ht="14.45" hidden="false" customHeight="true" outlineLevel="0" collapsed="false"/>
    <row r="183" customFormat="false" ht="14.45" hidden="false" customHeight="true" outlineLevel="0" collapsed="false"/>
    <row r="184" customFormat="false" ht="14.45" hidden="false" customHeight="true" outlineLevel="0" collapsed="false"/>
    <row r="185" customFormat="false" ht="14.45" hidden="false" customHeight="true" outlineLevel="0" collapsed="false"/>
    <row r="186" customFormat="false" ht="14.45" hidden="false" customHeight="true" outlineLevel="0" collapsed="false"/>
    <row r="187" customFormat="false" ht="14.45" hidden="false" customHeight="true" outlineLevel="0" collapsed="false"/>
    <row r="188" customFormat="false" ht="14.45" hidden="false" customHeight="true" outlineLevel="0" collapsed="false"/>
    <row r="189" customFormat="false" ht="14.45" hidden="false" customHeight="true" outlineLevel="0" collapsed="false"/>
    <row r="190" customFormat="false" ht="14.45" hidden="false" customHeight="true" outlineLevel="0" collapsed="false"/>
    <row r="191" customFormat="false" ht="14.45" hidden="false" customHeight="true" outlineLevel="0" collapsed="false"/>
    <row r="192" customFormat="false" ht="14.45" hidden="false" customHeight="true" outlineLevel="0" collapsed="false"/>
    <row r="193" customFormat="false" ht="14.45" hidden="false" customHeight="true" outlineLevel="0" collapsed="false"/>
    <row r="194" customFormat="false" ht="14.45" hidden="false" customHeight="true" outlineLevel="0" collapsed="false"/>
    <row r="195" customFormat="false" ht="14.45" hidden="false" customHeight="true" outlineLevel="0" collapsed="false"/>
    <row r="196" customFormat="false" ht="14.45" hidden="false" customHeight="true" outlineLevel="0" collapsed="false"/>
    <row r="197" customFormat="false" ht="14.45" hidden="false" customHeight="true" outlineLevel="0" collapsed="false"/>
    <row r="198" customFormat="false" ht="14.45" hidden="false" customHeight="true" outlineLevel="0" collapsed="false"/>
    <row r="199" customFormat="false" ht="14.45" hidden="false" customHeight="true" outlineLevel="0" collapsed="false"/>
    <row r="200" customFormat="false" ht="14.45" hidden="false" customHeight="true" outlineLevel="0" collapsed="false"/>
    <row r="201" customFormat="false" ht="14.45" hidden="false" customHeight="true" outlineLevel="0" collapsed="false"/>
    <row r="202" customFormat="false" ht="14.45" hidden="false" customHeight="true" outlineLevel="0" collapsed="false"/>
    <row r="203" customFormat="false" ht="14.45" hidden="false" customHeight="true" outlineLevel="0" collapsed="false"/>
    <row r="204" customFormat="false" ht="14.45" hidden="false" customHeight="true" outlineLevel="0" collapsed="false"/>
    <row r="205" customFormat="false" ht="14.45" hidden="false" customHeight="true" outlineLevel="0" collapsed="false"/>
    <row r="206" customFormat="false" ht="14.45" hidden="false" customHeight="true" outlineLevel="0" collapsed="false"/>
    <row r="207" customFormat="false" ht="14.45" hidden="false" customHeight="true" outlineLevel="0" collapsed="false"/>
    <row r="208" customFormat="false" ht="14.45" hidden="false" customHeight="true" outlineLevel="0" collapsed="false"/>
    <row r="209" customFormat="false" ht="14.45" hidden="false" customHeight="true" outlineLevel="0" collapsed="false"/>
    <row r="210" customFormat="false" ht="14.45" hidden="false" customHeight="true" outlineLevel="0" collapsed="false"/>
    <row r="211" customFormat="false" ht="14.45" hidden="false" customHeight="true" outlineLevel="0" collapsed="false"/>
    <row r="212" customFormat="false" ht="14.45" hidden="false" customHeight="true" outlineLevel="0" collapsed="false"/>
    <row r="213" customFormat="false" ht="14.45" hidden="false" customHeight="true" outlineLevel="0" collapsed="false"/>
    <row r="214" customFormat="false" ht="14.45" hidden="false" customHeight="true" outlineLevel="0" collapsed="false"/>
    <row r="215" customFormat="false" ht="14.45" hidden="false" customHeight="true" outlineLevel="0" collapsed="false"/>
    <row r="216" customFormat="false" ht="14.45" hidden="false" customHeight="true" outlineLevel="0" collapsed="false"/>
    <row r="217" customFormat="false" ht="14.45" hidden="false" customHeight="true" outlineLevel="0" collapsed="false"/>
    <row r="218" customFormat="false" ht="14.45" hidden="false" customHeight="true" outlineLevel="0" collapsed="false"/>
  </sheetData>
  <mergeCells count="153">
    <mergeCell ref="F2:Q2"/>
    <mergeCell ref="CU2:CY4"/>
    <mergeCell ref="DC2:DE4"/>
    <mergeCell ref="E7:E8"/>
    <mergeCell ref="F7:F8"/>
    <mergeCell ref="G7:G8"/>
    <mergeCell ref="H7:H8"/>
    <mergeCell ref="I7:I8"/>
    <mergeCell ref="J7:J8"/>
    <mergeCell ref="K7:K8"/>
    <mergeCell ref="L7:L8"/>
    <mergeCell ref="M7:M8"/>
    <mergeCell ref="N7:N8"/>
    <mergeCell ref="O7:O8"/>
    <mergeCell ref="P7:P8"/>
    <mergeCell ref="Q7:Q8"/>
    <mergeCell ref="R7:R8"/>
    <mergeCell ref="S7:S8"/>
    <mergeCell ref="T7:T8"/>
    <mergeCell ref="U7:U8"/>
    <mergeCell ref="V7:V8"/>
    <mergeCell ref="W7:W8"/>
    <mergeCell ref="X7:X8"/>
    <mergeCell ref="Y7:Y8"/>
    <mergeCell ref="Z7:Z8"/>
    <mergeCell ref="AA7:AA8"/>
    <mergeCell ref="AB7:AB8"/>
    <mergeCell ref="AC7:AC8"/>
    <mergeCell ref="AD7:AD8"/>
    <mergeCell ref="AE7:AE8"/>
    <mergeCell ref="AF7:AF8"/>
    <mergeCell ref="AG7:AG8"/>
    <mergeCell ref="AH7:AH8"/>
    <mergeCell ref="AI7:AI8"/>
    <mergeCell ref="AJ7:AJ8"/>
    <mergeCell ref="AK7:AK8"/>
    <mergeCell ref="AL7:AL8"/>
    <mergeCell ref="AM7:AM8"/>
    <mergeCell ref="AN7:AN8"/>
    <mergeCell ref="AO7:AO8"/>
    <mergeCell ref="AP7:AP8"/>
    <mergeCell ref="AQ7:AQ8"/>
    <mergeCell ref="AR7:AR8"/>
    <mergeCell ref="AS7:AS8"/>
    <mergeCell ref="AW7:AW8"/>
    <mergeCell ref="AX7:AX8"/>
    <mergeCell ref="AY7:AY8"/>
    <mergeCell ref="AZ7:AZ8"/>
    <mergeCell ref="BA7:BA8"/>
    <mergeCell ref="BB7:BB8"/>
    <mergeCell ref="BC7:BC8"/>
    <mergeCell ref="BD7:BD8"/>
    <mergeCell ref="BE7:BE8"/>
    <mergeCell ref="BF7:BF8"/>
    <mergeCell ref="BG7:BG8"/>
    <mergeCell ref="BH7:BH8"/>
    <mergeCell ref="BI7:BI8"/>
    <mergeCell ref="BJ7:BJ8"/>
    <mergeCell ref="BK7:BK8"/>
    <mergeCell ref="BL7:BL8"/>
    <mergeCell ref="BM7:BM8"/>
    <mergeCell ref="BN7:BN8"/>
    <mergeCell ref="BO7:BO8"/>
    <mergeCell ref="BP7:BP8"/>
    <mergeCell ref="BQ7:BQ8"/>
    <mergeCell ref="BR7:BR8"/>
    <mergeCell ref="BS7:BS8"/>
    <mergeCell ref="BT7:BT8"/>
    <mergeCell ref="BU7:BU8"/>
    <mergeCell ref="BV7:BV8"/>
    <mergeCell ref="BW7:BW8"/>
    <mergeCell ref="BX7:BX8"/>
    <mergeCell ref="BY7:BY8"/>
    <mergeCell ref="BZ7:BZ8"/>
    <mergeCell ref="CA7:CA8"/>
    <mergeCell ref="CB7:CB8"/>
    <mergeCell ref="CC7:CC8"/>
    <mergeCell ref="CD7:CD8"/>
    <mergeCell ref="CE7:CE8"/>
    <mergeCell ref="CF7:CF8"/>
    <mergeCell ref="CG7:CG8"/>
    <mergeCell ref="CH7:CH8"/>
    <mergeCell ref="CI7:CI8"/>
    <mergeCell ref="CJ7:CJ8"/>
    <mergeCell ref="CK7:CK8"/>
    <mergeCell ref="CL7:CL8"/>
    <mergeCell ref="CM7:CM8"/>
    <mergeCell ref="CN7:CN8"/>
    <mergeCell ref="CO7:CO8"/>
    <mergeCell ref="CP7:CP8"/>
    <mergeCell ref="CQ7:CQ8"/>
    <mergeCell ref="CR7:CR8"/>
    <mergeCell ref="CS7:CS8"/>
    <mergeCell ref="CT7:CT8"/>
    <mergeCell ref="CU7:CU8"/>
    <mergeCell ref="DP7:DQ7"/>
    <mergeCell ref="DR7:DS7"/>
    <mergeCell ref="AN38:AN41"/>
    <mergeCell ref="AO38:AO41"/>
    <mergeCell ref="AP38:AP41"/>
    <mergeCell ref="AQ38:AQ41"/>
    <mergeCell ref="AR38:AR41"/>
    <mergeCell ref="AS38:AS41"/>
    <mergeCell ref="AT38:AT41"/>
    <mergeCell ref="AU38:AU41"/>
    <mergeCell ref="AV38:AV41"/>
    <mergeCell ref="AW38:AW41"/>
    <mergeCell ref="AX38:AX41"/>
    <mergeCell ref="AY38:AY41"/>
    <mergeCell ref="AZ38:AZ41"/>
    <mergeCell ref="E40:E41"/>
    <mergeCell ref="F40:F41"/>
    <mergeCell ref="G40:G41"/>
    <mergeCell ref="H40:H41"/>
    <mergeCell ref="I40:I41"/>
    <mergeCell ref="J40:J41"/>
    <mergeCell ref="K40:K41"/>
    <mergeCell ref="L40:L41"/>
    <mergeCell ref="M40:M41"/>
    <mergeCell ref="N40:N41"/>
    <mergeCell ref="O40:O41"/>
    <mergeCell ref="Q40:Q41"/>
    <mergeCell ref="R40:R41"/>
    <mergeCell ref="S40:S41"/>
    <mergeCell ref="T40:T41"/>
    <mergeCell ref="U40:U41"/>
    <mergeCell ref="V40:V41"/>
    <mergeCell ref="W40:W41"/>
    <mergeCell ref="X40:X41"/>
    <mergeCell ref="Y40:Y41"/>
    <mergeCell ref="Z40:Z41"/>
    <mergeCell ref="AA40:AA41"/>
    <mergeCell ref="AC40:AC41"/>
    <mergeCell ref="AD40:AD41"/>
    <mergeCell ref="AE40:AE41"/>
    <mergeCell ref="AF40:AF41"/>
    <mergeCell ref="AG40:AG41"/>
    <mergeCell ref="AH40:AH41"/>
    <mergeCell ref="AI40:AI41"/>
    <mergeCell ref="AJ40:AJ41"/>
    <mergeCell ref="CA47:CM53"/>
    <mergeCell ref="E94:E95"/>
    <mergeCell ref="F94:F95"/>
    <mergeCell ref="G94:G95"/>
    <mergeCell ref="H94:H95"/>
    <mergeCell ref="I94:I95"/>
    <mergeCell ref="J94:J95"/>
    <mergeCell ref="K94:K95"/>
    <mergeCell ref="L94:L95"/>
    <mergeCell ref="M94:M95"/>
    <mergeCell ref="Z94:Z95"/>
    <mergeCell ref="AA94:AA95"/>
    <mergeCell ref="AB94:AB95"/>
  </mergeCells>
  <hyperlinks>
    <hyperlink ref="DC2" r:id="rId2" display="URL: http://www.economia.gob.ar/secretarias/politica-economica/programacion-macroeconomica/"/>
    <hyperlink ref="F4" r:id="rId3" display="Los datos vienen (casi) todos de las cuentas de inversión entre 1993 y 2015, cuyo link es http://www.mecon.gov.ar/hacienda/cgn/cuenta/"/>
    <hyperlink ref="AR9" r:id="rId4" display="Para las contribuciones figurativas: esquema ahorra inversión financiamiento base caja sector público http://www.mecon.gov.ar/onp/html/resultado/caja/c1993/1993.htm"/>
    <hyperlink ref="CA54" r:id="rId5" display="Fuente : ofinica nacional del presupuesto, http://www.mecon.gov.ar/onp/html/series/Serie1961-2004.pdf"/>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6"/>
  <legacyDrawing r:id="rId7"/>
</worksheet>
</file>

<file path=xl/worksheets/sheet6.xml><?xml version="1.0" encoding="utf-8"?>
<worksheet xmlns="http://schemas.openxmlformats.org/spreadsheetml/2006/main" xmlns:r="http://schemas.openxmlformats.org/officeDocument/2006/relationships">
  <sheetPr filterMode="false">
    <pageSetUpPr fitToPage="false"/>
  </sheetPr>
  <dimension ref="A1:AV144"/>
  <sheetViews>
    <sheetView showFormulas="false" showGridLines="true" showRowColHeaders="true" showZeros="true" rightToLeft="false" tabSelected="false" showOutlineSymbols="true" defaultGridColor="true" view="normal" topLeftCell="J1" colorId="64" zoomScale="75" zoomScaleNormal="75" zoomScalePageLayoutView="100" workbookViewId="0">
      <selection pane="topLeft" activeCell="A8" activeCellId="0" sqref="A8"/>
    </sheetView>
  </sheetViews>
  <sheetFormatPr defaultColWidth="11.43359375" defaultRowHeight="15" zeroHeight="false" outlineLevelRow="0" outlineLevelCol="0"/>
  <cols>
    <col collapsed="false" customWidth="true" hidden="false" outlineLevel="0" max="5" min="4" style="0" width="13.43"/>
    <col collapsed="false" customWidth="true" hidden="false" outlineLevel="0" max="32" min="32" style="0" width="13.86"/>
  </cols>
  <sheetData>
    <row r="1" customFormat="false" ht="15" hidden="false" customHeight="false" outlineLevel="0" collapsed="false">
      <c r="Y1" s="755" t="n">
        <f aca="false">SUM(Y23:AF23)</f>
        <v>31395996.70573</v>
      </c>
      <c r="Z1" s="755" t="n">
        <f aca="false">'Cuenta Ahorro-Inversión-Financi'!CG27+'Cuenta Ahorro-Inversión-Financi'!CM27+'Cuenta Ahorro-Inversión-Financi'!CN27-'Cuenta Ahorro-Inversión-Financi'!BF27-'Cuenta Ahorro-Inversión-Financi'!BR27-'Cuenta Ahorro-Inversión-Financi'!BS27-'Cuenta Ahorro-Inversión-Financi'!AY27+'Cuenta Ahorro-Inversión-Financi'!CH27</f>
        <v>28619321.45422</v>
      </c>
      <c r="AB1" s="0" t="n">
        <f aca="false">SUM(Y28:AE28)-AD28-AC28-Y28</f>
        <v>125833744.52071</v>
      </c>
      <c r="AC1" s="0" t="n">
        <f aca="false">SUM(Y27:AE27)-AC27-Y27</f>
        <v>86578739.75885</v>
      </c>
    </row>
    <row r="2" customFormat="false" ht="15" hidden="false" customHeight="false" outlineLevel="0" collapsed="false">
      <c r="AB2" s="0" t="n">
        <f aca="false">SUM(Y29:AE29)-AD29-AC29-Y29</f>
        <v>151406841.19206</v>
      </c>
    </row>
    <row r="3" customFormat="false" ht="15" hidden="false" customHeight="false" outlineLevel="0" collapsed="false">
      <c r="B3" s="1" t="s">
        <v>1007</v>
      </c>
      <c r="C3" s="1"/>
      <c r="D3" s="1"/>
      <c r="E3" s="1"/>
      <c r="F3" s="1"/>
      <c r="G3" s="1"/>
      <c r="H3" s="1"/>
      <c r="I3" s="1"/>
      <c r="J3" s="1"/>
      <c r="K3" s="1"/>
      <c r="L3" s="1"/>
      <c r="M3" s="1"/>
      <c r="N3" s="1"/>
      <c r="O3" s="1"/>
      <c r="P3" s="1"/>
      <c r="Q3" s="756" t="s">
        <v>1008</v>
      </c>
      <c r="R3" s="756"/>
      <c r="S3" s="756"/>
      <c r="T3" s="756"/>
      <c r="U3" s="756"/>
      <c r="V3" s="756"/>
      <c r="W3" s="756"/>
      <c r="X3" s="756"/>
      <c r="Y3" s="757" t="s">
        <v>1009</v>
      </c>
      <c r="Z3" s="757"/>
      <c r="AA3" s="757"/>
      <c r="AB3" s="757"/>
      <c r="AC3" s="757"/>
      <c r="AD3" s="757"/>
      <c r="AE3" s="757"/>
      <c r="AF3" s="757"/>
      <c r="AG3" s="758" t="s">
        <v>1010</v>
      </c>
      <c r="AH3" s="758"/>
      <c r="AI3" s="758"/>
      <c r="AJ3" s="758"/>
      <c r="AK3" s="758"/>
      <c r="AL3" s="1"/>
      <c r="AM3" s="1"/>
      <c r="AN3" s="1"/>
      <c r="AO3" s="1"/>
      <c r="AP3" s="1"/>
      <c r="AQ3" s="1"/>
      <c r="AR3" s="1"/>
      <c r="AS3" s="1"/>
      <c r="AT3" s="1"/>
      <c r="AU3" s="1"/>
      <c r="AV3" s="1"/>
    </row>
    <row r="4" customFormat="false" ht="15" hidden="false" customHeight="false" outlineLevel="0" collapsed="false">
      <c r="B4" s="1"/>
      <c r="C4" s="1"/>
      <c r="D4" s="1"/>
      <c r="E4" s="1"/>
      <c r="F4" s="1"/>
      <c r="G4" s="1"/>
      <c r="H4" s="1"/>
      <c r="I4" s="1"/>
      <c r="J4" s="1"/>
      <c r="K4" s="1"/>
      <c r="L4" s="1"/>
      <c r="M4" s="1"/>
      <c r="N4" s="1"/>
      <c r="O4" s="1"/>
      <c r="P4" s="1"/>
      <c r="Q4" s="759" t="s">
        <v>1011</v>
      </c>
      <c r="R4" s="759" t="s">
        <v>1012</v>
      </c>
      <c r="S4" s="547" t="s">
        <v>1013</v>
      </c>
      <c r="T4" s="759" t="s">
        <v>1014</v>
      </c>
      <c r="U4" s="547" t="s">
        <v>1015</v>
      </c>
      <c r="V4" s="759" t="s">
        <v>1016</v>
      </c>
      <c r="W4" s="547" t="s">
        <v>1017</v>
      </c>
      <c r="X4" s="759" t="s">
        <v>1018</v>
      </c>
      <c r="Y4" s="760" t="s">
        <v>1019</v>
      </c>
      <c r="Z4" s="761" t="s">
        <v>1020</v>
      </c>
      <c r="AA4" s="547" t="s">
        <v>1021</v>
      </c>
      <c r="AB4" s="760" t="s">
        <v>1022</v>
      </c>
      <c r="AC4" s="547" t="s">
        <v>1023</v>
      </c>
      <c r="AD4" s="760" t="s">
        <v>823</v>
      </c>
      <c r="AE4" s="547" t="s">
        <v>1024</v>
      </c>
      <c r="AF4" s="760" t="s">
        <v>1025</v>
      </c>
      <c r="AG4" s="547" t="s">
        <v>1026</v>
      </c>
      <c r="AH4" s="601" t="s">
        <v>1027</v>
      </c>
      <c r="AI4" s="601"/>
      <c r="AJ4" s="601"/>
      <c r="AK4" s="601"/>
      <c r="AL4" s="1"/>
      <c r="AM4" s="1"/>
      <c r="AN4" s="1" t="s">
        <v>1028</v>
      </c>
      <c r="AO4" s="1" t="s">
        <v>1029</v>
      </c>
      <c r="AP4" s="1" t="s">
        <v>1014</v>
      </c>
      <c r="AQ4" s="1" t="s">
        <v>1030</v>
      </c>
      <c r="AR4" s="1" t="s">
        <v>1016</v>
      </c>
      <c r="AS4" s="1" t="s">
        <v>1031</v>
      </c>
      <c r="AT4" s="1" t="s">
        <v>1017</v>
      </c>
      <c r="AU4" s="1" t="s">
        <v>1026</v>
      </c>
      <c r="AV4" s="1" t="s">
        <v>1010</v>
      </c>
    </row>
    <row r="5" customFormat="false" ht="15" hidden="false" customHeight="false" outlineLevel="0" collapsed="false">
      <c r="B5" s="547" t="s">
        <v>1013</v>
      </c>
      <c r="C5" s="759" t="s">
        <v>1014</v>
      </c>
      <c r="D5" s="759"/>
      <c r="E5" s="547" t="s">
        <v>1015</v>
      </c>
      <c r="F5" s="759" t="s">
        <v>1016</v>
      </c>
      <c r="G5" s="547" t="s">
        <v>1017</v>
      </c>
      <c r="H5" s="760" t="s">
        <v>1019</v>
      </c>
      <c r="I5" s="547" t="s">
        <v>1021</v>
      </c>
      <c r="J5" s="760" t="s">
        <v>1032</v>
      </c>
      <c r="K5" s="547" t="s">
        <v>1023</v>
      </c>
      <c r="M5" s="1"/>
      <c r="N5" s="1"/>
      <c r="O5" s="1"/>
      <c r="P5" s="547" t="n">
        <v>1993</v>
      </c>
      <c r="Q5" s="98" t="n">
        <f aca="false">'Cuenta Ahorro-Inversión-Financi'!H9</f>
        <v>853307.6</v>
      </c>
      <c r="R5" s="98"/>
      <c r="S5" s="547"/>
      <c r="T5" s="547"/>
      <c r="U5" s="762"/>
      <c r="V5" s="547"/>
      <c r="W5" s="98" t="n">
        <f aca="false">'Cuenta Ahorro-Inversión-Financi'!AI9</f>
        <v>3015865.81949566</v>
      </c>
      <c r="X5" s="98"/>
      <c r="Y5" s="763" t="n">
        <f aca="false">'Cuenta Ahorro-Inversión-Financi'!AY9</f>
        <v>352371.13373</v>
      </c>
      <c r="Z5" s="763"/>
      <c r="AA5" s="763" t="n">
        <f aca="false">'Cuenta Ahorro-Inversión-Financi'!CJ9</f>
        <v>1036245.35282</v>
      </c>
      <c r="AB5" s="763" t="n">
        <f aca="false">'Cuenta Ahorro-Inversión-Financi'!CL9+'Cuenta Ahorro-Inversión-Financi'!CK9</f>
        <v>214541.63623</v>
      </c>
      <c r="AC5" s="763" t="n">
        <f aca="false">'Cuenta Ahorro-Inversión-Financi'!CM9</f>
        <v>0</v>
      </c>
      <c r="AD5" s="763"/>
      <c r="AE5" s="763"/>
      <c r="AF5" s="763"/>
      <c r="AG5" s="547"/>
      <c r="AH5" s="547"/>
      <c r="AI5" s="547"/>
      <c r="AJ5" s="547"/>
      <c r="AK5" s="547"/>
      <c r="AL5" s="1"/>
      <c r="AM5" s="1" t="n">
        <v>1993</v>
      </c>
      <c r="AN5" s="28" t="n">
        <v>4272320</v>
      </c>
      <c r="AO5" s="28" t="n">
        <v>15474000</v>
      </c>
      <c r="AP5" s="28" t="n">
        <v>2059000</v>
      </c>
      <c r="AQ5" s="28" t="n">
        <v>0</v>
      </c>
      <c r="AR5" s="28" t="n">
        <f aca="false">'Exogenous tax and expenses'!V5</f>
        <v>0</v>
      </c>
      <c r="AS5" s="28" t="n">
        <v>0</v>
      </c>
      <c r="AT5" s="28" t="n">
        <f aca="false">'Exogenous tax and expenses'!W5</f>
        <v>3015865.81949566</v>
      </c>
      <c r="AU5" s="1" t="n">
        <f aca="false">'Exogenous tax and expenses'!AG5</f>
        <v>0</v>
      </c>
      <c r="AV5" s="1" t="n">
        <f aca="false">'Exogenous tax and expenses'!AH5</f>
        <v>0</v>
      </c>
    </row>
    <row r="6" customFormat="false" ht="15" hidden="false" customHeight="false" outlineLevel="0" collapsed="false">
      <c r="B6" s="456" t="n">
        <f aca="false">S60</f>
        <v>0.00718984456547109</v>
      </c>
      <c r="C6" s="456" t="n">
        <f aca="false">S88</f>
        <v>0.002</v>
      </c>
      <c r="D6" s="456"/>
      <c r="E6" s="456" t="n">
        <f aca="false">U60</f>
        <v>0.000158610557119791</v>
      </c>
      <c r="F6" s="456" t="n">
        <f aca="false">V60</f>
        <v>0.0164622626358892</v>
      </c>
      <c r="G6" s="456" t="n">
        <f aca="false">W60</f>
        <v>0.0155521600563946</v>
      </c>
      <c r="H6" s="456" t="n">
        <f aca="false">Y60</f>
        <v>0.00191293753744961</v>
      </c>
      <c r="I6" s="456" t="n">
        <f aca="false">AA60</f>
        <v>0.00262755013399756</v>
      </c>
      <c r="J6" s="456" t="n">
        <f aca="false">AB60</f>
        <v>0.00695203916219706</v>
      </c>
      <c r="K6" s="456" t="n">
        <f aca="false">AC60</f>
        <v>0.00152536277685544</v>
      </c>
      <c r="L6" s="1"/>
      <c r="M6" s="1"/>
      <c r="N6" s="1"/>
      <c r="O6" s="1"/>
      <c r="P6" s="1" t="n">
        <f aca="false">'Exogenous tax and expenses'!P5+1</f>
        <v>1994</v>
      </c>
      <c r="Q6" s="764" t="n">
        <f aca="false">'Cuenta Ahorro-Inversión-Financi'!H10</f>
        <v>1164662.22</v>
      </c>
      <c r="R6" s="764"/>
      <c r="S6" s="765"/>
      <c r="T6" s="765"/>
      <c r="U6" s="765"/>
      <c r="V6" s="765"/>
      <c r="W6" s="764" t="n">
        <f aca="false">'Cuenta Ahorro-Inversión-Financi'!AI10</f>
        <v>3226509.52498154</v>
      </c>
      <c r="X6" s="764"/>
      <c r="Y6" s="98" t="n">
        <f aca="false">'Cuenta Ahorro-Inversión-Financi'!AY10</f>
        <v>293763.12069</v>
      </c>
      <c r="Z6" s="98"/>
      <c r="AA6" s="98" t="n">
        <f aca="false">'Cuenta Ahorro-Inversión-Financi'!CJ10</f>
        <v>1287640.9398</v>
      </c>
      <c r="AB6" s="98" t="n">
        <f aca="false">'Cuenta Ahorro-Inversión-Financi'!CL10+'Cuenta Ahorro-Inversión-Financi'!CK10</f>
        <v>456594.30016</v>
      </c>
      <c r="AC6" s="98" t="n">
        <f aca="false">'Cuenta Ahorro-Inversión-Financi'!CM10</f>
        <v>0</v>
      </c>
      <c r="AD6" s="98"/>
      <c r="AE6" s="98"/>
      <c r="AF6" s="98"/>
      <c r="AG6" s="766"/>
      <c r="AH6" s="766"/>
      <c r="AI6" s="766"/>
      <c r="AJ6" s="766"/>
      <c r="AK6" s="766"/>
      <c r="AL6" s="1"/>
      <c r="AM6" s="1" t="n">
        <f aca="false">'Exogenous tax and expenses'!AM5+1</f>
        <v>1994</v>
      </c>
      <c r="AN6" s="28" t="n">
        <v>5821590</v>
      </c>
      <c r="AO6" s="28" t="n">
        <v>16488000</v>
      </c>
      <c r="AP6" s="28" t="n">
        <v>2069000</v>
      </c>
      <c r="AQ6" s="28" t="n">
        <v>0</v>
      </c>
      <c r="AR6" s="28" t="n">
        <f aca="false">'Exogenous tax and expenses'!V6</f>
        <v>0</v>
      </c>
      <c r="AS6" s="28" t="n">
        <v>0</v>
      </c>
      <c r="AT6" s="28" t="n">
        <f aca="false">'Exogenous tax and expenses'!W6</f>
        <v>3226509.52498154</v>
      </c>
      <c r="AU6" s="1" t="n">
        <f aca="false">'Exogenous tax and expenses'!AG6</f>
        <v>0</v>
      </c>
      <c r="AV6" s="1" t="n">
        <f aca="false">'Exogenous tax and expenses'!AH6</f>
        <v>0</v>
      </c>
    </row>
    <row r="7" customFormat="false" ht="15" hidden="false" customHeight="false" outlineLevel="0" collapsed="false">
      <c r="A7" s="0" t="s">
        <v>1033</v>
      </c>
      <c r="B7" s="456" t="n">
        <f aca="false">SUM(B6:G6)</f>
        <v>0.0413628778148748</v>
      </c>
      <c r="C7" s="1"/>
      <c r="D7" s="1"/>
      <c r="E7" s="1"/>
      <c r="F7" s="1"/>
      <c r="G7" s="1"/>
      <c r="H7" s="1"/>
      <c r="I7" s="1"/>
      <c r="J7" s="1"/>
      <c r="K7" s="1"/>
      <c r="L7" s="1"/>
      <c r="M7" s="1"/>
      <c r="N7" s="1"/>
      <c r="O7" s="1"/>
      <c r="P7" s="1" t="n">
        <f aca="false">'Exogenous tax and expenses'!P6+1</f>
        <v>1995</v>
      </c>
      <c r="Q7" s="98" t="n">
        <f aca="false">'Cuenta Ahorro-Inversión-Financi'!H11</f>
        <v>1243225.6</v>
      </c>
      <c r="R7" s="98"/>
      <c r="S7" s="547"/>
      <c r="T7" s="547"/>
      <c r="U7" s="547"/>
      <c r="V7" s="547"/>
      <c r="W7" s="98" t="n">
        <f aca="false">'Cuenta Ahorro-Inversión-Financi'!AI11</f>
        <v>2990988.48141767</v>
      </c>
      <c r="X7" s="98"/>
      <c r="Y7" s="763" t="n">
        <f aca="false">'Cuenta Ahorro-Inversión-Financi'!AY11</f>
        <v>296927.9492</v>
      </c>
      <c r="Z7" s="763"/>
      <c r="AA7" s="763" t="n">
        <f aca="false">'Cuenta Ahorro-Inversión-Financi'!CJ11</f>
        <v>1187925.9343</v>
      </c>
      <c r="AB7" s="763" t="n">
        <f aca="false">'Cuenta Ahorro-Inversión-Financi'!CL11+'Cuenta Ahorro-Inversión-Financi'!CK11</f>
        <v>524982.07006</v>
      </c>
      <c r="AC7" s="763" t="n">
        <f aca="false">'Cuenta Ahorro-Inversión-Financi'!CM11</f>
        <v>0</v>
      </c>
      <c r="AD7" s="763"/>
      <c r="AE7" s="763"/>
      <c r="AF7" s="763"/>
      <c r="AG7" s="547"/>
      <c r="AH7" s="547"/>
      <c r="AI7" s="547"/>
      <c r="AJ7" s="547"/>
      <c r="AK7" s="547"/>
      <c r="AL7" s="1"/>
      <c r="AM7" s="1" t="n">
        <f aca="false">'Exogenous tax and expenses'!AM6+1</f>
        <v>1995</v>
      </c>
      <c r="AN7" s="28" t="n">
        <v>6238520</v>
      </c>
      <c r="AO7" s="28" t="n">
        <v>16506000</v>
      </c>
      <c r="AP7" s="28" t="n">
        <v>1792000</v>
      </c>
      <c r="AQ7" s="28" t="n">
        <v>0</v>
      </c>
      <c r="AR7" s="28" t="n">
        <f aca="false">'Exogenous tax and expenses'!V7</f>
        <v>0</v>
      </c>
      <c r="AS7" s="28" t="n">
        <v>0</v>
      </c>
      <c r="AT7" s="28" t="n">
        <f aca="false">'Exogenous tax and expenses'!W7</f>
        <v>2990988.48141767</v>
      </c>
      <c r="AU7" s="1" t="n">
        <f aca="false">'Exogenous tax and expenses'!AG7</f>
        <v>0</v>
      </c>
      <c r="AV7" s="1" t="n">
        <f aca="false">'Exogenous tax and expenses'!AH7</f>
        <v>0</v>
      </c>
    </row>
    <row r="8" customFormat="false" ht="15.75" hidden="false" customHeight="false" outlineLevel="0" collapsed="false">
      <c r="A8" s="0" t="s">
        <v>1034</v>
      </c>
      <c r="B8" s="456" t="n">
        <f aca="false">SUM(H6:K6)</f>
        <v>0.0130178896104997</v>
      </c>
      <c r="C8" s="1"/>
      <c r="D8" s="1"/>
      <c r="E8" s="1"/>
      <c r="F8" s="1"/>
      <c r="G8" s="1"/>
      <c r="H8" s="1"/>
      <c r="I8" s="1"/>
      <c r="J8" s="1"/>
      <c r="K8" s="1"/>
      <c r="L8" s="1"/>
      <c r="M8" s="1"/>
      <c r="N8" s="1"/>
      <c r="O8" s="1"/>
      <c r="P8" s="1" t="n">
        <f aca="false">'Exogenous tax and expenses'!P7+1</f>
        <v>1996</v>
      </c>
      <c r="Q8" s="764" t="n">
        <f aca="false">'Cuenta Ahorro-Inversión-Financi'!H12</f>
        <v>1456325.4</v>
      </c>
      <c r="R8" s="764"/>
      <c r="S8" s="764" t="n">
        <f aca="false">'Cuenta Ahorro-Inversión-Financi'!K12</f>
        <v>1903838.651715</v>
      </c>
      <c r="T8" s="764" t="n">
        <v>2338287</v>
      </c>
      <c r="U8" s="764" t="n">
        <f aca="false">'Cuenta Ahorro-Inversión-Financi'!Q12</f>
        <v>172304</v>
      </c>
      <c r="V8" s="765"/>
      <c r="W8" s="764" t="n">
        <f aca="false">'Cuenta Ahorro-Inversión-Financi'!AI12</f>
        <v>3231346.71425055</v>
      </c>
      <c r="X8" s="764" t="n">
        <f aca="false">'Cuenta Ahorro-Inversión-Financi'!L12</f>
        <v>516954.41</v>
      </c>
      <c r="Y8" s="98" t="n">
        <f aca="false">'Cuenta Ahorro-Inversión-Financi'!AY12</f>
        <v>330883.704</v>
      </c>
      <c r="Z8" s="98"/>
      <c r="AA8" s="98" t="n">
        <f aca="false">'Cuenta Ahorro-Inversión-Financi'!CJ12</f>
        <v>1011324.76855</v>
      </c>
      <c r="AB8" s="98" t="n">
        <f aca="false">'Cuenta Ahorro-Inversión-Financi'!CL12+'Cuenta Ahorro-Inversión-Financi'!CK12</f>
        <v>1019118.98165</v>
      </c>
      <c r="AC8" s="98" t="n">
        <f aca="false">'Cuenta Ahorro-Inversión-Financi'!CM12</f>
        <v>0</v>
      </c>
      <c r="AD8" s="98"/>
      <c r="AE8" s="98"/>
      <c r="AF8" s="98"/>
      <c r="AG8" s="766"/>
      <c r="AH8" s="766"/>
      <c r="AI8" s="766"/>
      <c r="AJ8" s="766"/>
      <c r="AK8" s="766"/>
      <c r="AL8" s="1"/>
      <c r="AM8" s="1" t="n">
        <f aca="false">'Exogenous tax and expenses'!AM7+1</f>
        <v>1996</v>
      </c>
      <c r="AN8" s="45" t="n">
        <v>6801627</v>
      </c>
      <c r="AO8" s="717" t="n">
        <v>18092365</v>
      </c>
      <c r="AP8" s="28" t="n">
        <f aca="false">'Exogenous tax and expenses'!T8</f>
        <v>2338287</v>
      </c>
      <c r="AQ8" s="28" t="n">
        <f aca="false">'Exogenous tax and expenses'!U8</f>
        <v>172304</v>
      </c>
      <c r="AR8" s="28" t="n">
        <f aca="false">'Exogenous tax and expenses'!V8</f>
        <v>0</v>
      </c>
      <c r="AS8" s="28" t="n">
        <v>0</v>
      </c>
      <c r="AT8" s="28" t="n">
        <f aca="false">'Exogenous tax and expenses'!W8</f>
        <v>3231346.71425055</v>
      </c>
      <c r="AU8" s="1" t="n">
        <f aca="false">'Exogenous tax and expenses'!AG8</f>
        <v>0</v>
      </c>
      <c r="AV8" s="1" t="n">
        <f aca="false">'Exogenous tax and expenses'!AH8</f>
        <v>0</v>
      </c>
    </row>
    <row r="9" customFormat="false" ht="15" hidden="false" customHeight="false" outlineLevel="0" collapsed="false">
      <c r="B9" s="1"/>
      <c r="C9" s="1"/>
      <c r="D9" s="1"/>
      <c r="E9" s="456"/>
      <c r="F9" s="1"/>
      <c r="G9" s="1"/>
      <c r="H9" s="1"/>
      <c r="I9" s="1"/>
      <c r="J9" s="1"/>
      <c r="K9" s="1"/>
      <c r="L9" s="1"/>
      <c r="M9" s="1"/>
      <c r="N9" s="1"/>
      <c r="O9" s="1"/>
      <c r="P9" s="1" t="n">
        <f aca="false">'Exogenous tax and expenses'!P8+1</f>
        <v>1997</v>
      </c>
      <c r="Q9" s="98" t="n">
        <f aca="false">'Cuenta Ahorro-Inversión-Financi'!H13</f>
        <v>1669177.74063</v>
      </c>
      <c r="R9" s="98"/>
      <c r="S9" s="98" t="n">
        <f aca="false">'Cuenta Ahorro-Inversión-Financi'!K13</f>
        <v>2043538.989492</v>
      </c>
      <c r="T9" s="548" t="n">
        <v>3917421</v>
      </c>
      <c r="U9" s="98" t="n">
        <f aca="false">'Cuenta Ahorro-Inversión-Financi'!Q13</f>
        <v>193825</v>
      </c>
      <c r="V9" s="547"/>
      <c r="W9" s="98" t="n">
        <f aca="false">'Cuenta Ahorro-Inversión-Financi'!AI13</f>
        <v>3598188.08761998</v>
      </c>
      <c r="X9" s="98" t="n">
        <f aca="false">'Cuenta Ahorro-Inversión-Financi'!L13</f>
        <v>1986806.99</v>
      </c>
      <c r="Y9" s="763" t="n">
        <f aca="false">'Cuenta Ahorro-Inversión-Financi'!AY13</f>
        <v>246102.79437</v>
      </c>
      <c r="Z9" s="763"/>
      <c r="AA9" s="763" t="n">
        <f aca="false">'Cuenta Ahorro-Inversión-Financi'!CJ13</f>
        <v>1102667.44057</v>
      </c>
      <c r="AB9" s="763" t="n">
        <f aca="false">'Cuenta Ahorro-Inversión-Financi'!CL13+'Cuenta Ahorro-Inversión-Financi'!CK13</f>
        <v>1011029.82583</v>
      </c>
      <c r="AC9" s="763" t="n">
        <f aca="false">'Cuenta Ahorro-Inversión-Financi'!CM13</f>
        <v>0</v>
      </c>
      <c r="AD9" s="763"/>
      <c r="AE9" s="763"/>
      <c r="AF9" s="763"/>
      <c r="AG9" s="547"/>
      <c r="AH9" s="547"/>
      <c r="AI9" s="547"/>
      <c r="AJ9" s="547"/>
      <c r="AK9" s="547"/>
      <c r="AL9" s="1"/>
      <c r="AM9" s="1" t="n">
        <f aca="false">'Exogenous tax and expenses'!AM8+1</f>
        <v>1997</v>
      </c>
      <c r="AN9" s="28" t="n">
        <f aca="false">IVA!AU44</f>
        <v>8333780</v>
      </c>
      <c r="AO9" s="28" t="n">
        <f aca="false">IVA!AU10</f>
        <v>19820364</v>
      </c>
      <c r="AP9" s="28" t="n">
        <f aca="false">'Exogenous tax and expenses'!T9</f>
        <v>3917421</v>
      </c>
      <c r="AQ9" s="28" t="n">
        <f aca="false">'Exogenous tax and expenses'!U9</f>
        <v>193825</v>
      </c>
      <c r="AR9" s="28" t="n">
        <f aca="false">'Exogenous tax and expenses'!V9</f>
        <v>0</v>
      </c>
      <c r="AS9" s="28" t="n">
        <v>0</v>
      </c>
      <c r="AT9" s="28" t="n">
        <f aca="false">'Exogenous tax and expenses'!W9</f>
        <v>3598188.08761998</v>
      </c>
      <c r="AU9" s="1" t="n">
        <f aca="false">'Exogenous tax and expenses'!AG9</f>
        <v>0</v>
      </c>
      <c r="AV9" s="1" t="n">
        <f aca="false">'Exogenous tax and expenses'!AH9</f>
        <v>0</v>
      </c>
    </row>
    <row r="10" customFormat="false" ht="15" hidden="false" customHeight="false" outlineLevel="0" collapsed="false">
      <c r="A10" s="0" t="n">
        <v>2014</v>
      </c>
      <c r="B10" s="1"/>
      <c r="C10" s="1"/>
      <c r="D10" s="1"/>
      <c r="E10" s="1"/>
      <c r="F10" s="1"/>
      <c r="G10" s="1"/>
      <c r="H10" s="1"/>
      <c r="I10" s="1"/>
      <c r="J10" s="1"/>
      <c r="K10" s="1"/>
      <c r="L10" s="1"/>
      <c r="M10" s="1"/>
      <c r="N10" s="1"/>
      <c r="O10" s="1"/>
      <c r="P10" s="1" t="n">
        <f aca="false">'Exogenous tax and expenses'!P9+1</f>
        <v>1998</v>
      </c>
      <c r="Q10" s="764" t="n">
        <f aca="false">'Cuenta Ahorro-Inversión-Financi'!H14</f>
        <v>1902253.64072</v>
      </c>
      <c r="R10" s="764" t="n">
        <f aca="false">'Cuenta Ahorro-Inversión-Financi'!R14</f>
        <v>43509.9</v>
      </c>
      <c r="S10" s="764" t="n">
        <f aca="false">'Cuenta Ahorro-Inversión-Financi'!K14</f>
        <v>2097707.449838</v>
      </c>
      <c r="T10" s="764" t="n">
        <v>3692434</v>
      </c>
      <c r="U10" s="764" t="n">
        <f aca="false">'Cuenta Ahorro-Inversión-Financi'!Q14</f>
        <v>197766</v>
      </c>
      <c r="V10" s="765"/>
      <c r="W10" s="764" t="n">
        <f aca="false">'Cuenta Ahorro-Inversión-Financi'!AI14</f>
        <v>3797640.46271228</v>
      </c>
      <c r="X10" s="764" t="n">
        <f aca="false">'Cuenta Ahorro-Inversión-Financi'!L14</f>
        <v>1855405.55</v>
      </c>
      <c r="Y10" s="98" t="n">
        <f aca="false">'Cuenta Ahorro-Inversión-Financi'!AY14</f>
        <v>231684.89787</v>
      </c>
      <c r="Z10" s="98"/>
      <c r="AA10" s="98" t="n">
        <f aca="false">'Cuenta Ahorro-Inversión-Financi'!CJ14</f>
        <v>1323795.24164</v>
      </c>
      <c r="AB10" s="98" t="n">
        <f aca="false">'Cuenta Ahorro-Inversión-Financi'!CL14+'Cuenta Ahorro-Inversión-Financi'!CK14</f>
        <v>1121821.99199</v>
      </c>
      <c r="AC10" s="98" t="n">
        <f aca="false">'Cuenta Ahorro-Inversión-Financi'!CM14</f>
        <v>0</v>
      </c>
      <c r="AD10" s="98"/>
      <c r="AE10" s="98"/>
      <c r="AF10" s="98"/>
      <c r="AG10" s="766"/>
      <c r="AH10" s="766"/>
      <c r="AI10" s="766"/>
      <c r="AJ10" s="766"/>
      <c r="AK10" s="766"/>
      <c r="AL10" s="1"/>
      <c r="AM10" s="1" t="n">
        <f aca="false">'Exogenous tax and expenses'!AM9+1</f>
        <v>1998</v>
      </c>
      <c r="AN10" s="28" t="n">
        <f aca="false">IVA!AU45</f>
        <v>9479886</v>
      </c>
      <c r="AO10" s="28" t="n">
        <f aca="false">IVA!AU11</f>
        <v>20345746</v>
      </c>
      <c r="AP10" s="28" t="n">
        <f aca="false">'Exogenous tax and expenses'!T10</f>
        <v>3692434</v>
      </c>
      <c r="AQ10" s="28" t="n">
        <f aca="false">'Exogenous tax and expenses'!U10</f>
        <v>197766</v>
      </c>
      <c r="AR10" s="28" t="n">
        <f aca="false">'Exogenous tax and expenses'!V10</f>
        <v>0</v>
      </c>
      <c r="AS10" s="767" t="n">
        <v>99629</v>
      </c>
      <c r="AT10" s="28" t="n">
        <f aca="false">'Exogenous tax and expenses'!W10</f>
        <v>3797640.46271228</v>
      </c>
      <c r="AU10" s="1" t="n">
        <f aca="false">'Exogenous tax and expenses'!AG10</f>
        <v>0</v>
      </c>
      <c r="AV10" s="1" t="n">
        <f aca="false">'Exogenous tax and expenses'!AH10</f>
        <v>0</v>
      </c>
    </row>
    <row r="11" customFormat="false" ht="15" hidden="false" customHeight="false" outlineLevel="0" collapsed="false">
      <c r="A11" s="0" t="n">
        <v>2015</v>
      </c>
      <c r="B11" s="1"/>
      <c r="C11" s="1"/>
      <c r="D11" s="1"/>
      <c r="E11" s="1"/>
      <c r="F11" s="1"/>
      <c r="G11" s="1"/>
      <c r="H11" s="1"/>
      <c r="I11" s="1"/>
      <c r="J11" s="1"/>
      <c r="K11" s="1"/>
      <c r="L11" s="1"/>
      <c r="M11" s="1"/>
      <c r="N11" s="1"/>
      <c r="O11" s="1"/>
      <c r="P11" s="1" t="n">
        <f aca="false">'Exogenous tax and expenses'!P10+1</f>
        <v>1999</v>
      </c>
      <c r="Q11" s="98" t="n">
        <f aca="false">'Cuenta Ahorro-Inversión-Financi'!H15</f>
        <v>1850960.88511</v>
      </c>
      <c r="R11" s="98" t="n">
        <f aca="false">'Cuenta Ahorro-Inversión-Financi'!R15</f>
        <v>193381.3</v>
      </c>
      <c r="S11" s="98" t="n">
        <f aca="false">'Cuenta Ahorro-Inversión-Financi'!K15</f>
        <v>1876157.764481</v>
      </c>
      <c r="T11" s="548" t="n">
        <v>3587875</v>
      </c>
      <c r="U11" s="98" t="n">
        <f aca="false">'Cuenta Ahorro-Inversión-Financi'!Q15</f>
        <v>196994</v>
      </c>
      <c r="V11" s="547"/>
      <c r="W11" s="98" t="n">
        <f aca="false">'Cuenta Ahorro-Inversión-Financi'!AI15</f>
        <v>3702544.47452621</v>
      </c>
      <c r="X11" s="98" t="n">
        <f aca="false">'Cuenta Ahorro-Inversión-Financi'!L15</f>
        <v>1868434.31</v>
      </c>
      <c r="Y11" s="763" t="n">
        <f aca="false">'Cuenta Ahorro-Inversión-Financi'!AY15</f>
        <v>239526.32367</v>
      </c>
      <c r="Z11" s="763"/>
      <c r="AA11" s="763" t="n">
        <f aca="false">'Cuenta Ahorro-Inversión-Financi'!CJ15</f>
        <v>1408351.81663</v>
      </c>
      <c r="AB11" s="763" t="n">
        <f aca="false">'Cuenta Ahorro-Inversión-Financi'!CL15+'Cuenta Ahorro-Inversión-Financi'!CK15</f>
        <v>1053075.5174</v>
      </c>
      <c r="AC11" s="763" t="n">
        <f aca="false">'Cuenta Ahorro-Inversión-Financi'!CM15</f>
        <v>0</v>
      </c>
      <c r="AD11" s="763"/>
      <c r="AE11" s="763"/>
      <c r="AF11" s="763"/>
      <c r="AG11" s="547"/>
      <c r="AH11" s="547"/>
      <c r="AI11" s="547"/>
      <c r="AJ11" s="547"/>
      <c r="AK11" s="547"/>
      <c r="AL11" s="1"/>
      <c r="AM11" s="1" t="n">
        <f aca="false">'Exogenous tax and expenses'!AM10+1</f>
        <v>1999</v>
      </c>
      <c r="AN11" s="28" t="n">
        <f aca="false">IVA!AU46</f>
        <v>9239967</v>
      </c>
      <c r="AO11" s="28" t="n">
        <f aca="false">IVA!AU12</f>
        <v>18196927</v>
      </c>
      <c r="AP11" s="28" t="n">
        <f aca="false">'Exogenous tax and expenses'!T11</f>
        <v>3587875</v>
      </c>
      <c r="AQ11" s="28" t="n">
        <f aca="false">'Exogenous tax and expenses'!U11</f>
        <v>196994</v>
      </c>
      <c r="AR11" s="28" t="n">
        <f aca="false">'Exogenous tax and expenses'!V11</f>
        <v>0</v>
      </c>
      <c r="AS11" s="767" t="n">
        <v>385409</v>
      </c>
      <c r="AT11" s="28" t="n">
        <f aca="false">'Exogenous tax and expenses'!W11</f>
        <v>3702544.47452621</v>
      </c>
      <c r="AU11" s="1" t="n">
        <f aca="false">'Exogenous tax and expenses'!AG11</f>
        <v>0</v>
      </c>
      <c r="AV11" s="1" t="n">
        <f aca="false">'Exogenous tax and expenses'!AH11</f>
        <v>0</v>
      </c>
    </row>
    <row r="12" customFormat="false" ht="15" hidden="false" customHeight="false" outlineLevel="0" collapsed="false">
      <c r="A12" s="0" t="n">
        <v>2016</v>
      </c>
      <c r="B12" s="1"/>
      <c r="C12" s="1"/>
      <c r="D12" s="1"/>
      <c r="E12" s="1"/>
      <c r="F12" s="1"/>
      <c r="G12" s="1"/>
      <c r="H12" s="1"/>
      <c r="I12" s="1"/>
      <c r="J12" s="1"/>
      <c r="K12" s="1"/>
      <c r="L12" s="1"/>
      <c r="M12" s="1"/>
      <c r="N12" s="1"/>
      <c r="O12" s="1"/>
      <c r="P12" s="1" t="n">
        <f aca="false">'Exogenous tax and expenses'!P11+1</f>
        <v>2000</v>
      </c>
      <c r="Q12" s="764" t="n">
        <f aca="false">'Cuenta Ahorro-Inversión-Financi'!H16</f>
        <v>2095954.20594</v>
      </c>
      <c r="R12" s="764" t="n">
        <f aca="false">'Cuenta Ahorro-Inversión-Financi'!R16</f>
        <v>225126.798267</v>
      </c>
      <c r="S12" s="764" t="n">
        <f aca="false">'Cuenta Ahorro-Inversión-Financi'!K16</f>
        <v>1959837.85384788</v>
      </c>
      <c r="T12" s="764" t="n">
        <v>3478201</v>
      </c>
      <c r="U12" s="764" t="n">
        <f aca="false">'Cuenta Ahorro-Inversión-Financi'!Q16</f>
        <v>487254.75526</v>
      </c>
      <c r="V12" s="765"/>
      <c r="W12" s="764" t="n">
        <f aca="false">'Cuenta Ahorro-Inversión-Financi'!AI16</f>
        <v>3765213.6844696</v>
      </c>
      <c r="X12" s="764" t="n">
        <f aca="false">'Cuenta Ahorro-Inversión-Financi'!L16</f>
        <v>1776845.4022295</v>
      </c>
      <c r="Y12" s="98" t="n">
        <f aca="false">'Cuenta Ahorro-Inversión-Financi'!AY16</f>
        <v>215402.99416</v>
      </c>
      <c r="Z12" s="98"/>
      <c r="AA12" s="98" t="n">
        <f aca="false">'Cuenta Ahorro-Inversión-Financi'!CJ16</f>
        <v>1300825.33734</v>
      </c>
      <c r="AB12" s="98" t="n">
        <f aca="false">'Cuenta Ahorro-Inversión-Financi'!CL16+'Cuenta Ahorro-Inversión-Financi'!CK16</f>
        <v>1093248.25442</v>
      </c>
      <c r="AC12" s="98" t="n">
        <f aca="false">'Cuenta Ahorro-Inversión-Financi'!CM16</f>
        <v>0</v>
      </c>
      <c r="AD12" s="98"/>
      <c r="AE12" s="98"/>
      <c r="AF12" s="98"/>
      <c r="AG12" s="766"/>
      <c r="AH12" s="766"/>
      <c r="AI12" s="766"/>
      <c r="AJ12" s="766"/>
      <c r="AK12" s="766"/>
      <c r="AL12" s="1"/>
      <c r="AM12" s="1" t="n">
        <f aca="false">'Exogenous tax and expenses'!AM11+1</f>
        <v>2000</v>
      </c>
      <c r="AN12" s="28" t="n">
        <f aca="false">IVA!AU47</f>
        <v>10455144.7045</v>
      </c>
      <c r="AO12" s="28" t="n">
        <f aca="false">IVA!AU13</f>
        <v>19008543.43567</v>
      </c>
      <c r="AP12" s="28" t="n">
        <f aca="false">'Exogenous tax and expenses'!T12</f>
        <v>3478201</v>
      </c>
      <c r="AQ12" s="28" t="n">
        <f aca="false">'Exogenous tax and expenses'!U12</f>
        <v>487254.75526</v>
      </c>
      <c r="AR12" s="28" t="n">
        <f aca="false">'Exogenous tax and expenses'!V12</f>
        <v>0</v>
      </c>
      <c r="AS12" s="767" t="n">
        <v>353552</v>
      </c>
      <c r="AT12" s="28" t="n">
        <f aca="false">'Exogenous tax and expenses'!W12</f>
        <v>3765213.6844696</v>
      </c>
      <c r="AU12" s="1" t="n">
        <f aca="false">'Exogenous tax and expenses'!AG12</f>
        <v>0</v>
      </c>
      <c r="AV12" s="1" t="n">
        <f aca="false">'Exogenous tax and expenses'!AH12</f>
        <v>0</v>
      </c>
    </row>
    <row r="13" customFormat="false" ht="15" hidden="false" customHeight="false" outlineLevel="0" collapsed="false">
      <c r="A13" s="0" t="n">
        <v>2017</v>
      </c>
      <c r="B13" s="1"/>
      <c r="C13" s="1"/>
      <c r="D13" s="1"/>
      <c r="E13" s="1"/>
      <c r="F13" s="1"/>
      <c r="G13" s="1"/>
      <c r="H13" s="1"/>
      <c r="I13" s="1"/>
      <c r="J13" s="1"/>
      <c r="K13" s="1"/>
      <c r="L13" s="1"/>
      <c r="M13" s="1"/>
      <c r="N13" s="1"/>
      <c r="O13" s="1"/>
      <c r="P13" s="1" t="n">
        <f aca="false">'Exogenous tax and expenses'!P12+1</f>
        <v>2001</v>
      </c>
      <c r="Q13" s="98" t="n">
        <f aca="false">'Cuenta Ahorro-Inversión-Financi'!H17</f>
        <v>1994592.07047</v>
      </c>
      <c r="R13" s="98" t="n">
        <f aca="false">'Cuenta Ahorro-Inversión-Financi'!R17</f>
        <v>213002.63159</v>
      </c>
      <c r="S13" s="98" t="n">
        <f aca="false">'Cuenta Ahorro-Inversión-Financi'!K17</f>
        <v>1582734.84789566</v>
      </c>
      <c r="T13" s="548" t="n">
        <v>3419627</v>
      </c>
      <c r="U13" s="98" t="n">
        <f aca="false">'Cuenta Ahorro-Inversión-Financi'!Q17</f>
        <v>225853.29969</v>
      </c>
      <c r="V13" s="548" t="n">
        <v>2933082</v>
      </c>
      <c r="W13" s="98" t="n">
        <f aca="false">'Cuenta Ahorro-Inversión-Financi'!AI17</f>
        <v>3343942.45631307</v>
      </c>
      <c r="X13" s="98" t="n">
        <f aca="false">'Cuenta Ahorro-Inversión-Financi'!L17</f>
        <v>1739519.1815753</v>
      </c>
      <c r="Y13" s="763" t="n">
        <f aca="false">'Cuenta Ahorro-Inversión-Financi'!AY17</f>
        <v>184976.21637</v>
      </c>
      <c r="Z13" s="763"/>
      <c r="AA13" s="763" t="n">
        <f aca="false">'Cuenta Ahorro-Inversión-Financi'!CJ17</f>
        <v>1232567.64749</v>
      </c>
      <c r="AB13" s="763" t="n">
        <f aca="false">'Cuenta Ahorro-Inversión-Financi'!CL17+'Cuenta Ahorro-Inversión-Financi'!CK17</f>
        <v>1053013.16575</v>
      </c>
      <c r="AC13" s="763" t="n">
        <f aca="false">'Cuenta Ahorro-Inversión-Financi'!CM17</f>
        <v>0</v>
      </c>
      <c r="AD13" s="763"/>
      <c r="AE13" s="763"/>
      <c r="AF13" s="763"/>
      <c r="AG13" s="547"/>
      <c r="AH13" s="547"/>
      <c r="AI13" s="547"/>
      <c r="AJ13" s="547"/>
      <c r="AK13" s="547"/>
      <c r="AL13" s="1"/>
      <c r="AM13" s="1" t="n">
        <f aca="false">'Exogenous tax and expenses'!AM12+1</f>
        <v>2001</v>
      </c>
      <c r="AN13" s="28" t="n">
        <f aca="false">IVA!AU48</f>
        <v>10091279.71631</v>
      </c>
      <c r="AO13" s="28" t="n">
        <f aca="false">IVA!AU14</f>
        <v>15351006.73982</v>
      </c>
      <c r="AP13" s="28" t="n">
        <f aca="false">'Exogenous tax and expenses'!T13</f>
        <v>3419627</v>
      </c>
      <c r="AQ13" s="28" t="n">
        <f aca="false">'Exogenous tax and expenses'!U13</f>
        <v>225853.29969</v>
      </c>
      <c r="AR13" s="28" t="n">
        <f aca="false">'Exogenous tax and expenses'!V13</f>
        <v>2933082</v>
      </c>
      <c r="AS13" s="767" t="n">
        <v>302354</v>
      </c>
      <c r="AT13" s="28" t="n">
        <f aca="false">'Exogenous tax and expenses'!W13</f>
        <v>3343942.45631307</v>
      </c>
      <c r="AU13" s="1" t="n">
        <f aca="false">'Exogenous tax and expenses'!AG13</f>
        <v>0</v>
      </c>
      <c r="AV13" s="1" t="n">
        <f aca="false">'Exogenous tax and expenses'!AH13</f>
        <v>0</v>
      </c>
    </row>
    <row r="14" customFormat="false" ht="15" hidden="false" customHeight="false" outlineLevel="0" collapsed="false">
      <c r="A14" s="0" t="n">
        <v>2018</v>
      </c>
      <c r="B14" s="1"/>
      <c r="C14" s="1"/>
      <c r="D14" s="1"/>
      <c r="E14" s="1"/>
      <c r="F14" s="1"/>
      <c r="G14" s="1"/>
      <c r="H14" s="1"/>
      <c r="I14" s="1"/>
      <c r="J14" s="1"/>
      <c r="K14" s="1"/>
      <c r="L14" s="1"/>
      <c r="M14" s="1"/>
      <c r="N14" s="1"/>
      <c r="O14" s="1"/>
      <c r="P14" s="1" t="n">
        <f aca="false">'Exogenous tax and expenses'!P13+1</f>
        <v>2002</v>
      </c>
      <c r="Q14" s="764" t="n">
        <f aca="false">'Cuenta Ahorro-Inversión-Financi'!H18</f>
        <v>1721480.99196</v>
      </c>
      <c r="R14" s="764" t="n">
        <f aca="false">'Cuenta Ahorro-Inversión-Financi'!R18</f>
        <v>161900.70904</v>
      </c>
      <c r="S14" s="764" t="n">
        <f aca="false">'Cuenta Ahorro-Inversión-Financi'!K18</f>
        <v>1571513.88819431</v>
      </c>
      <c r="T14" s="764" t="n">
        <v>4483171</v>
      </c>
      <c r="U14" s="764" t="n">
        <f aca="false">'Cuenta Ahorro-Inversión-Financi'!Q18</f>
        <v>217634.09198</v>
      </c>
      <c r="V14" s="764" t="n">
        <v>4857335</v>
      </c>
      <c r="W14" s="764" t="n">
        <f aca="false">'Cuenta Ahorro-Inversión-Financi'!AI18</f>
        <v>3012321.73270982</v>
      </c>
      <c r="X14" s="764" t="n">
        <f aca="false">'Cuenta Ahorro-Inversión-Financi'!L18</f>
        <v>1808967.1664198</v>
      </c>
      <c r="Y14" s="98" t="n">
        <f aca="false">'Cuenta Ahorro-Inversión-Financi'!AY18</f>
        <v>210715.14495</v>
      </c>
      <c r="Z14" s="98"/>
      <c r="AA14" s="98" t="n">
        <f aca="false">'Cuenta Ahorro-Inversión-Financi'!CJ18</f>
        <v>1228490.33447</v>
      </c>
      <c r="AB14" s="98" t="n">
        <f aca="false">'Cuenta Ahorro-Inversión-Financi'!CL18+'Cuenta Ahorro-Inversión-Financi'!CK18</f>
        <v>896657.02276</v>
      </c>
      <c r="AC14" s="98" t="n">
        <f aca="false">'Cuenta Ahorro-Inversión-Financi'!CM18</f>
        <v>0</v>
      </c>
      <c r="AD14" s="98"/>
      <c r="AE14" s="98"/>
      <c r="AF14" s="98"/>
      <c r="AG14" s="766"/>
      <c r="AH14" s="766"/>
      <c r="AI14" s="766"/>
      <c r="AJ14" s="766"/>
      <c r="AK14" s="766"/>
      <c r="AL14" s="1"/>
      <c r="AM14" s="1" t="n">
        <f aca="false">'Exogenous tax and expenses'!AM13+1</f>
        <v>2002</v>
      </c>
      <c r="AN14" s="28" t="n">
        <f aca="false">IVA!AU49</f>
        <v>8919338.84114</v>
      </c>
      <c r="AO14" s="28" t="n">
        <f aca="false">IVA!AU15</f>
        <v>15242174.21602</v>
      </c>
      <c r="AP14" s="28" t="n">
        <f aca="false">'Exogenous tax and expenses'!T14</f>
        <v>4483171</v>
      </c>
      <c r="AQ14" s="28" t="n">
        <f aca="false">'Exogenous tax and expenses'!U14</f>
        <v>217634.09198</v>
      </c>
      <c r="AR14" s="28" t="n">
        <f aca="false">'Exogenous tax and expenses'!V14</f>
        <v>4857335</v>
      </c>
      <c r="AS14" s="767" t="n">
        <v>223257</v>
      </c>
      <c r="AT14" s="28" t="n">
        <f aca="false">'Exogenous tax and expenses'!W14</f>
        <v>3012321.73270982</v>
      </c>
      <c r="AU14" s="1" t="n">
        <f aca="false">'Exogenous tax and expenses'!AG14</f>
        <v>0</v>
      </c>
      <c r="AV14" s="1" t="n">
        <f aca="false">'Exogenous tax and expenses'!AH14</f>
        <v>0</v>
      </c>
    </row>
    <row r="15" customFormat="false" ht="15" hidden="false" customHeight="false" outlineLevel="0" collapsed="false">
      <c r="B15" s="1"/>
      <c r="C15" s="1"/>
      <c r="D15" s="1"/>
      <c r="E15" s="1"/>
      <c r="F15" s="1"/>
      <c r="G15" s="1"/>
      <c r="H15" s="1"/>
      <c r="I15" s="1"/>
      <c r="J15" s="1"/>
      <c r="K15" s="1"/>
      <c r="L15" s="1"/>
      <c r="M15" s="1"/>
      <c r="N15" s="1"/>
      <c r="O15" s="1"/>
      <c r="P15" s="1" t="n">
        <f aca="false">'Exogenous tax and expenses'!P14+1</f>
        <v>2003</v>
      </c>
      <c r="Q15" s="98" t="n">
        <f aca="false">'Cuenta Ahorro-Inversión-Financi'!H19</f>
        <v>2926862.80533</v>
      </c>
      <c r="R15" s="98" t="n">
        <f aca="false">'Cuenta Ahorro-Inversión-Financi'!R19</f>
        <v>206266.978848</v>
      </c>
      <c r="S15" s="98" t="n">
        <f aca="false">'Cuenta Ahorro-Inversión-Financi'!K19</f>
        <v>2159757.59570741</v>
      </c>
      <c r="T15" s="548" t="n">
        <v>4973177</v>
      </c>
      <c r="U15" s="98" t="n">
        <f aca="false">'Cuenta Ahorro-Inversión-Financi'!Q19</f>
        <v>256304.73254</v>
      </c>
      <c r="V15" s="548" t="n">
        <v>5900237</v>
      </c>
      <c r="W15" s="98" t="n">
        <f aca="false">'Cuenta Ahorro-Inversión-Financi'!AI19</f>
        <v>4436735.16197493</v>
      </c>
      <c r="X15" s="98" t="n">
        <f aca="false">'Cuenta Ahorro-Inversión-Financi'!L19</f>
        <v>1866693.826383</v>
      </c>
      <c r="Y15" s="763" t="n">
        <f aca="false">'Cuenta Ahorro-Inversión-Financi'!AY19</f>
        <v>256579.96757</v>
      </c>
      <c r="Z15" s="763"/>
      <c r="AA15" s="763" t="n">
        <f aca="false">'Cuenta Ahorro-Inversión-Financi'!CJ19</f>
        <v>1474636.94382</v>
      </c>
      <c r="AB15" s="763" t="n">
        <f aca="false">'Cuenta Ahorro-Inversión-Financi'!CL19+'Cuenta Ahorro-Inversión-Financi'!CK19</f>
        <v>1080109.03364</v>
      </c>
      <c r="AC15" s="763" t="n">
        <f aca="false">'Cuenta Ahorro-Inversión-Financi'!CM19</f>
        <v>0</v>
      </c>
      <c r="AD15" s="763"/>
      <c r="AE15" s="763"/>
      <c r="AF15" s="763"/>
      <c r="AG15" s="547"/>
      <c r="AH15" s="547"/>
      <c r="AI15" s="547"/>
      <c r="AJ15" s="547"/>
      <c r="AK15" s="547"/>
      <c r="AL15" s="1"/>
      <c r="AM15" s="1" t="n">
        <f aca="false">'Exogenous tax and expenses'!AM14+1</f>
        <v>2003</v>
      </c>
      <c r="AN15" s="28" t="n">
        <f aca="false">IVA!AU50</f>
        <v>14750736.62065</v>
      </c>
      <c r="AO15" s="28" t="n">
        <f aca="false">IVA!AU16</f>
        <v>20947572.7739</v>
      </c>
      <c r="AP15" s="28" t="n">
        <f aca="false">'Exogenous tax and expenses'!T15</f>
        <v>4973177</v>
      </c>
      <c r="AQ15" s="28" t="n">
        <f aca="false">'Exogenous tax and expenses'!U15</f>
        <v>256304.73254</v>
      </c>
      <c r="AR15" s="28" t="n">
        <f aca="false">'Exogenous tax and expenses'!V15</f>
        <v>5900237</v>
      </c>
      <c r="AS15" s="767" t="n">
        <v>282741</v>
      </c>
      <c r="AT15" s="28" t="n">
        <f aca="false">'Exogenous tax and expenses'!W15</f>
        <v>4436735.16197493</v>
      </c>
      <c r="AU15" s="1" t="n">
        <f aca="false">'Exogenous tax and expenses'!AG15</f>
        <v>0</v>
      </c>
      <c r="AV15" s="1" t="n">
        <f aca="false">'Exogenous tax and expenses'!AH15</f>
        <v>0</v>
      </c>
    </row>
    <row r="16" customFormat="false" ht="15" hidden="false" customHeight="false" outlineLevel="0" collapsed="false">
      <c r="B16" s="1"/>
      <c r="C16" s="1"/>
      <c r="D16" s="1"/>
      <c r="E16" s="1"/>
      <c r="F16" s="1"/>
      <c r="G16" s="1"/>
      <c r="H16" s="1"/>
      <c r="I16" s="1"/>
      <c r="J16" s="1"/>
      <c r="K16" s="1"/>
      <c r="L16" s="1"/>
      <c r="M16" s="1"/>
      <c r="N16" s="1"/>
      <c r="O16" s="1"/>
      <c r="P16" s="1" t="n">
        <f aca="false">'Exogenous tax and expenses'!P15+1</f>
        <v>2004</v>
      </c>
      <c r="Q16" s="764" t="n">
        <f aca="false">'Cuenta Ahorro-Inversión-Financi'!H20</f>
        <v>4445674.9968</v>
      </c>
      <c r="R16" s="764" t="n">
        <f aca="false">'Cuenta Ahorro-Inversión-Financi'!R20</f>
        <v>319188.208521</v>
      </c>
      <c r="S16" s="764" t="n">
        <f aca="false">'Cuenta Ahorro-Inversión-Financi'!K20</f>
        <v>3193816.385506</v>
      </c>
      <c r="T16" s="764" t="n">
        <v>5378515</v>
      </c>
      <c r="U16" s="764" t="n">
        <f aca="false">'Cuenta Ahorro-Inversión-Financi'!Q20</f>
        <v>343399.86403</v>
      </c>
      <c r="V16" s="764" t="n">
        <v>7681862</v>
      </c>
      <c r="W16" s="764" t="n">
        <f aca="false">'Cuenta Ahorro-Inversión-Financi'!AI20</f>
        <v>6613425.98806711</v>
      </c>
      <c r="X16" s="764" t="n">
        <f aca="false">'Cuenta Ahorro-Inversión-Financi'!L20</f>
        <v>2024594.8909331</v>
      </c>
      <c r="Y16" s="98" t="n">
        <f aca="false">'Cuenta Ahorro-Inversión-Financi'!AY20</f>
        <v>292385.97512</v>
      </c>
      <c r="Z16" s="98"/>
      <c r="AA16" s="98" t="n">
        <f aca="false">'Cuenta Ahorro-Inversión-Financi'!CJ20</f>
        <v>1469347.76251</v>
      </c>
      <c r="AB16" s="98" t="n">
        <f aca="false">'Cuenta Ahorro-Inversión-Financi'!CL20+'Cuenta Ahorro-Inversión-Financi'!CK20</f>
        <v>1558850.89528</v>
      </c>
      <c r="AC16" s="98" t="n">
        <f aca="false">'Cuenta Ahorro-Inversión-Financi'!CM20</f>
        <v>0</v>
      </c>
      <c r="AD16" s="98"/>
      <c r="AE16" s="98"/>
      <c r="AF16" s="98"/>
      <c r="AG16" s="766"/>
      <c r="AH16" s="766"/>
      <c r="AI16" s="766"/>
      <c r="AJ16" s="766"/>
      <c r="AK16" s="766"/>
      <c r="AL16" s="1"/>
      <c r="AM16" s="1" t="n">
        <f aca="false">'Exogenous tax and expenses'!AM15+1</f>
        <v>2004</v>
      </c>
      <c r="AN16" s="28" t="n">
        <f aca="false">IVA!AU51</f>
        <v>22289094.1015</v>
      </c>
      <c r="AO16" s="28" t="n">
        <f aca="false">IVA!AU17</f>
        <v>30976949.12375</v>
      </c>
      <c r="AP16" s="28" t="n">
        <f aca="false">'Exogenous tax and expenses'!T16</f>
        <v>5378515</v>
      </c>
      <c r="AQ16" s="28" t="n">
        <f aca="false">'Exogenous tax and expenses'!U16</f>
        <v>343399.86403</v>
      </c>
      <c r="AR16" s="28" t="n">
        <f aca="false">'Exogenous tax and expenses'!V16</f>
        <v>7681862</v>
      </c>
      <c r="AS16" s="767" t="n">
        <v>499377</v>
      </c>
      <c r="AT16" s="28" t="n">
        <f aca="false">'Exogenous tax and expenses'!W16</f>
        <v>6613425.98806711</v>
      </c>
      <c r="AU16" s="1" t="n">
        <f aca="false">'Exogenous tax and expenses'!AG16</f>
        <v>0</v>
      </c>
      <c r="AV16" s="1" t="n">
        <f aca="false">'Exogenous tax and expenses'!AH16</f>
        <v>0</v>
      </c>
    </row>
    <row r="17" customFormat="false" ht="15" hidden="false" customHeight="false" outlineLevel="0" collapsed="false">
      <c r="B17" s="1"/>
      <c r="C17" s="1"/>
      <c r="D17" s="1"/>
      <c r="E17" s="1"/>
      <c r="F17" s="1"/>
      <c r="G17" s="1"/>
      <c r="H17" s="1"/>
      <c r="I17" s="1"/>
      <c r="J17" s="1"/>
      <c r="K17" s="1"/>
      <c r="L17" s="1"/>
      <c r="M17" s="1"/>
      <c r="N17" s="1"/>
      <c r="O17" s="1"/>
      <c r="P17" s="1" t="n">
        <f aca="false">'Exogenous tax and expenses'!P16+1</f>
        <v>2005</v>
      </c>
      <c r="Q17" s="98" t="n">
        <f aca="false">'Cuenta Ahorro-Inversión-Financi'!H21</f>
        <v>5603319.4768</v>
      </c>
      <c r="R17" s="98" t="n">
        <f aca="false">'Cuenta Ahorro-Inversión-Financi'!R21</f>
        <v>414100.619296</v>
      </c>
      <c r="S17" s="98" t="n">
        <f aca="false">'Cuenta Ahorro-Inversión-Financi'!K21</f>
        <v>3799668.14863337</v>
      </c>
      <c r="T17" s="548" t="n">
        <v>6017379</v>
      </c>
      <c r="U17" s="98" t="n">
        <f aca="false">'Cuenta Ahorro-Inversión-Financi'!Q21</f>
        <v>392086.011</v>
      </c>
      <c r="V17" s="548" t="n">
        <v>9434291</v>
      </c>
      <c r="W17" s="98" t="n">
        <f aca="false">'Cuenta Ahorro-Inversión-Financi'!AI21</f>
        <v>8146311.50442478</v>
      </c>
      <c r="X17" s="98" t="n">
        <f aca="false">'Cuenta Ahorro-Inversión-Financi'!L21</f>
        <v>2283146.7197573</v>
      </c>
      <c r="Y17" s="763" t="n">
        <f aca="false">'Cuenta Ahorro-Inversión-Financi'!AY21</f>
        <v>443286.29688</v>
      </c>
      <c r="Z17" s="763"/>
      <c r="AA17" s="763" t="n">
        <f aca="false">'Cuenta Ahorro-Inversión-Financi'!CJ21</f>
        <v>1538056.66477</v>
      </c>
      <c r="AB17" s="763" t="n">
        <f aca="false">'Cuenta Ahorro-Inversión-Financi'!CL21+'Cuenta Ahorro-Inversión-Financi'!CK21</f>
        <v>1940345.98108</v>
      </c>
      <c r="AC17" s="763" t="n">
        <f aca="false">'Cuenta Ahorro-Inversión-Financi'!CM21</f>
        <v>0</v>
      </c>
      <c r="AD17" s="763"/>
      <c r="AE17" s="763"/>
      <c r="AF17" s="763"/>
      <c r="AG17" s="547"/>
      <c r="AH17" s="547"/>
      <c r="AI17" s="547"/>
      <c r="AJ17" s="547"/>
      <c r="AK17" s="547"/>
      <c r="AL17" s="1"/>
      <c r="AM17" s="1" t="n">
        <f aca="false">'Exogenous tax and expenses'!AM16+1</f>
        <v>2005</v>
      </c>
      <c r="AN17" s="28" t="n">
        <f aca="false">IVA!AU52</f>
        <v>28045399.05254</v>
      </c>
      <c r="AO17" s="28" t="n">
        <f aca="false">IVA!AU18</f>
        <v>36853128.89667</v>
      </c>
      <c r="AP17" s="28" t="n">
        <f aca="false">'Exogenous tax and expenses'!T17</f>
        <v>6017379</v>
      </c>
      <c r="AQ17" s="28" t="n">
        <f aca="false">'Exogenous tax and expenses'!U17</f>
        <v>392086.011</v>
      </c>
      <c r="AR17" s="28" t="n">
        <f aca="false">'Exogenous tax and expenses'!V17</f>
        <v>9434291</v>
      </c>
      <c r="AS17" s="767" t="n">
        <v>756922</v>
      </c>
      <c r="AT17" s="28" t="n">
        <f aca="false">'Exogenous tax and expenses'!W17</f>
        <v>8146311.50442478</v>
      </c>
      <c r="AU17" s="1" t="n">
        <f aca="false">'Exogenous tax and expenses'!AG17</f>
        <v>0</v>
      </c>
      <c r="AV17" s="1" t="n">
        <f aca="false">'Exogenous tax and expenses'!AH17</f>
        <v>0</v>
      </c>
    </row>
    <row r="18" customFormat="false" ht="15" hidden="false" customHeight="false" outlineLevel="0" collapsed="false">
      <c r="B18" s="1"/>
      <c r="C18" s="1"/>
      <c r="D18" s="1"/>
      <c r="E18" s="1"/>
      <c r="F18" s="1"/>
      <c r="G18" s="1"/>
      <c r="H18" s="1"/>
      <c r="I18" s="1"/>
      <c r="J18" s="1"/>
      <c r="K18" s="1"/>
      <c r="L18" s="1"/>
      <c r="M18" s="1"/>
      <c r="N18" s="1"/>
      <c r="O18" s="1"/>
      <c r="P18" s="1" t="n">
        <f aca="false">'Exogenous tax and expenses'!P17+1</f>
        <v>2006</v>
      </c>
      <c r="Q18" s="764" t="n">
        <f aca="false">'Cuenta Ahorro-Inversión-Financi'!H22</f>
        <v>6733513.05459</v>
      </c>
      <c r="R18" s="764" t="n">
        <f aca="false">'Cuenta Ahorro-Inversión-Financi'!R22</f>
        <v>463050.868035</v>
      </c>
      <c r="S18" s="764" t="n">
        <f aca="false">'Cuenta Ahorro-Inversión-Financi'!K22</f>
        <v>4856595.57018673</v>
      </c>
      <c r="T18" s="764" t="n">
        <v>6572626</v>
      </c>
      <c r="U18" s="764" t="n">
        <f aca="false">'Cuenta Ahorro-Inversión-Financi'!Q22</f>
        <v>398243.52609</v>
      </c>
      <c r="V18" s="764" t="n">
        <v>11685685</v>
      </c>
      <c r="W18" s="764" t="n">
        <f aca="false">'Cuenta Ahorro-Inversión-Financi'!AI22</f>
        <v>10103645.4250591</v>
      </c>
      <c r="X18" s="764" t="n">
        <f aca="false">'Cuenta Ahorro-Inversión-Financi'!L22</f>
        <v>2437923.9389405</v>
      </c>
      <c r="Y18" s="98" t="n">
        <f aca="false">'Cuenta Ahorro-Inversión-Financi'!AY22</f>
        <v>596706.40429</v>
      </c>
      <c r="Z18" s="98"/>
      <c r="AA18" s="98" t="n">
        <f aca="false">'Cuenta Ahorro-Inversión-Financi'!CJ22</f>
        <v>1685933.6627</v>
      </c>
      <c r="AB18" s="98" t="n">
        <f aca="false">'Cuenta Ahorro-Inversión-Financi'!CL22+'Cuenta Ahorro-Inversión-Financi'!CK22</f>
        <v>2798293.27906</v>
      </c>
      <c r="AC18" s="98" t="n">
        <f aca="false">'Cuenta Ahorro-Inversión-Financi'!CM22</f>
        <v>0</v>
      </c>
      <c r="AD18" s="98"/>
      <c r="AE18" s="98"/>
      <c r="AF18" s="98"/>
      <c r="AG18" s="766"/>
      <c r="AH18" s="766"/>
      <c r="AI18" s="766"/>
      <c r="AJ18" s="766"/>
      <c r="AK18" s="766"/>
      <c r="AL18" s="1"/>
      <c r="AM18" s="1" t="n">
        <f aca="false">'Exogenous tax and expenses'!AM17+1</f>
        <v>2006</v>
      </c>
      <c r="AN18" s="28" t="n">
        <f aca="false">IVA!AU53</f>
        <v>33615092.07659</v>
      </c>
      <c r="AO18" s="28" t="n">
        <f aca="false">IVA!AU19</f>
        <v>47104308.99379</v>
      </c>
      <c r="AP18" s="28" t="n">
        <f aca="false">'Exogenous tax and expenses'!T18</f>
        <v>6572626</v>
      </c>
      <c r="AQ18" s="28" t="n">
        <f aca="false">'Exogenous tax and expenses'!U18</f>
        <v>398243.52609</v>
      </c>
      <c r="AR18" s="28" t="n">
        <f aca="false">'Exogenous tax and expenses'!V18</f>
        <v>11685685</v>
      </c>
      <c r="AS18" s="767" t="n">
        <v>868746</v>
      </c>
      <c r="AT18" s="28" t="n">
        <f aca="false">'Exogenous tax and expenses'!W18</f>
        <v>10103645.4250591</v>
      </c>
      <c r="AU18" s="1" t="n">
        <f aca="false">'Exogenous tax and expenses'!AG18</f>
        <v>0</v>
      </c>
      <c r="AV18" s="1" t="n">
        <f aca="false">'Exogenous tax and expenses'!AH18</f>
        <v>0</v>
      </c>
    </row>
    <row r="19" customFormat="false" ht="15" hidden="false" customHeight="false" outlineLevel="0" collapsed="false">
      <c r="B19" s="1"/>
      <c r="C19" s="1"/>
      <c r="D19" s="1"/>
      <c r="E19" s="1"/>
      <c r="F19" s="1"/>
      <c r="G19" s="1"/>
      <c r="H19" s="1"/>
      <c r="I19" s="1"/>
      <c r="J19" s="1"/>
      <c r="K19" s="1"/>
      <c r="L19" s="1"/>
      <c r="M19" s="1"/>
      <c r="N19" s="1"/>
      <c r="O19" s="1"/>
      <c r="P19" s="1" t="n">
        <f aca="false">'Exogenous tax and expenses'!P18+1</f>
        <v>2007</v>
      </c>
      <c r="Q19" s="98" t="n">
        <f aca="false">'Cuenta Ahorro-Inversión-Financi'!H23</f>
        <v>8488745.60076</v>
      </c>
      <c r="R19" s="98" t="n">
        <f aca="false">'Cuenta Ahorro-Inversión-Financi'!R23</f>
        <v>525160.252624</v>
      </c>
      <c r="S19" s="98" t="n">
        <f aca="false">'Cuenta Ahorro-Inversión-Financi'!K23</f>
        <v>6461394.65383149</v>
      </c>
      <c r="T19" s="548" t="n">
        <v>7465676</v>
      </c>
      <c r="U19" s="98" t="n">
        <f aca="false">'Cuenta Ahorro-Inversión-Financi'!Q23</f>
        <v>447075.21997</v>
      </c>
      <c r="V19" s="548" t="n">
        <v>15064961</v>
      </c>
      <c r="W19" s="98" t="n">
        <f aca="false">'Cuenta Ahorro-Inversión-Financi'!AI23</f>
        <v>13371549.19129</v>
      </c>
      <c r="X19" s="98" t="n">
        <f aca="false">'Cuenta Ahorro-Inversión-Financi'!L23</f>
        <v>2704319.9941651</v>
      </c>
      <c r="Y19" s="763" t="n">
        <f aca="false">'Cuenta Ahorro-Inversión-Financi'!AY23</f>
        <v>838168.47267</v>
      </c>
      <c r="Z19" s="763"/>
      <c r="AA19" s="763" t="n">
        <f aca="false">'Cuenta Ahorro-Inversión-Financi'!CJ23</f>
        <v>2059936.26201</v>
      </c>
      <c r="AB19" s="763" t="n">
        <f aca="false">'Cuenta Ahorro-Inversión-Financi'!CL23+'Cuenta Ahorro-Inversión-Financi'!CK23</f>
        <v>4169261.10058</v>
      </c>
      <c r="AC19" s="763" t="n">
        <f aca="false">'Cuenta Ahorro-Inversión-Financi'!CM23</f>
        <v>0</v>
      </c>
      <c r="AD19" s="763"/>
      <c r="AE19" s="763"/>
      <c r="AF19" s="763"/>
      <c r="AG19" s="547"/>
      <c r="AH19" s="547"/>
      <c r="AI19" s="547"/>
      <c r="AJ19" s="547"/>
      <c r="AK19" s="547"/>
      <c r="AL19" s="1"/>
      <c r="AM19" s="1" t="n">
        <f aca="false">'Exogenous tax and expenses'!AM18+1</f>
        <v>2007</v>
      </c>
      <c r="AN19" s="28" t="n">
        <f aca="false">IVA!AU54</f>
        <v>42854905.42684</v>
      </c>
      <c r="AO19" s="28" t="n">
        <f aca="false">IVA!AU20</f>
        <v>62669317.61279</v>
      </c>
      <c r="AP19" s="28" t="n">
        <f aca="false">'Exogenous tax and expenses'!T19</f>
        <v>7465676</v>
      </c>
      <c r="AQ19" s="28" t="n">
        <f aca="false">'Exogenous tax and expenses'!U19</f>
        <v>447075.21997</v>
      </c>
      <c r="AR19" s="28" t="n">
        <f aca="false">'Exogenous tax and expenses'!V19</f>
        <v>15064961</v>
      </c>
      <c r="AS19" s="767" t="n">
        <v>1063328</v>
      </c>
      <c r="AT19" s="28" t="n">
        <f aca="false">'Exogenous tax and expenses'!W19</f>
        <v>13371549.19129</v>
      </c>
      <c r="AU19" s="1" t="n">
        <f aca="false">'Exogenous tax and expenses'!AG19</f>
        <v>0</v>
      </c>
      <c r="AV19" s="1" t="n">
        <f aca="false">'Exogenous tax and expenses'!AH19</f>
        <v>0</v>
      </c>
    </row>
    <row r="20" customFormat="false" ht="15" hidden="false" customHeight="false" outlineLevel="0" collapsed="false">
      <c r="B20" s="1"/>
      <c r="C20" s="1"/>
      <c r="D20" s="1"/>
      <c r="E20" s="1"/>
      <c r="F20" s="1"/>
      <c r="G20" s="1"/>
      <c r="H20" s="1"/>
      <c r="I20" s="1"/>
      <c r="J20" s="1"/>
      <c r="K20" s="1"/>
      <c r="L20" s="1"/>
      <c r="M20" s="1"/>
      <c r="N20" s="1"/>
      <c r="O20" s="28" t="n">
        <f aca="false">S30+X30+V30</f>
        <v>369916840.60095</v>
      </c>
      <c r="P20" s="1" t="n">
        <f aca="false">'Exogenous tax and expenses'!P19+1</f>
        <v>2008</v>
      </c>
      <c r="Q20" s="764" t="n">
        <f aca="false">'Cuenta Ahorro-Inversión-Financi'!H24</f>
        <v>10735671.1304</v>
      </c>
      <c r="R20" s="764" t="n">
        <f aca="false">'Cuenta Ahorro-Inversión-Financi'!R24</f>
        <v>710091.538779</v>
      </c>
      <c r="S20" s="764" t="n">
        <f aca="false">'Cuenta Ahorro-Inversión-Financi'!K24</f>
        <v>8271840.77363275</v>
      </c>
      <c r="T20" s="764" t="n">
        <v>9693850</v>
      </c>
      <c r="U20" s="764" t="n">
        <f aca="false">'Cuenta Ahorro-Inversión-Financi'!Q24</f>
        <v>555098.17588</v>
      </c>
      <c r="V20" s="764" t="n">
        <v>19495157</v>
      </c>
      <c r="W20" s="764" t="n">
        <f aca="false">'Cuenta Ahorro-Inversión-Financi'!AI24</f>
        <v>16753835.7595</v>
      </c>
      <c r="X20" s="764" t="n">
        <f aca="false">'Cuenta Ahorro-Inversión-Financi'!L24</f>
        <v>3269922.0771961</v>
      </c>
      <c r="Y20" s="98" t="n">
        <f aca="false">'Cuenta Ahorro-Inversión-Financi'!AY24</f>
        <v>1265908.80827</v>
      </c>
      <c r="Z20" s="98"/>
      <c r="AA20" s="98" t="n">
        <f aca="false">'Cuenta Ahorro-Inversión-Financi'!CJ24</f>
        <v>2527385.48547</v>
      </c>
      <c r="AB20" s="98" t="n">
        <f aca="false">'Cuenta Ahorro-Inversión-Financi'!CL24+'Cuenta Ahorro-Inversión-Financi'!CK24</f>
        <v>6157865.94606</v>
      </c>
      <c r="AC20" s="98" t="n">
        <f aca="false">'Cuenta Ahorro-Inversión-Financi'!CM24</f>
        <v>1341518.04191</v>
      </c>
      <c r="AD20" s="98"/>
      <c r="AE20" s="98"/>
      <c r="AF20" s="98"/>
      <c r="AG20" s="605" t="n">
        <f aca="false">'Cuenta Ahorro-Inversión-Financi'!X24</f>
        <v>1117433.63985</v>
      </c>
      <c r="AH20" s="605" t="n">
        <v>98224000</v>
      </c>
      <c r="AI20" s="605"/>
      <c r="AJ20" s="605"/>
      <c r="AK20" s="605"/>
      <c r="AL20" s="1" t="s">
        <v>1035</v>
      </c>
      <c r="AM20" s="1" t="n">
        <f aca="false">'Exogenous tax and expenses'!AM19+1</f>
        <v>2008</v>
      </c>
      <c r="AN20" s="28" t="n">
        <f aca="false">IVA!AU55</f>
        <v>53646000.42121</v>
      </c>
      <c r="AO20" s="28" t="n">
        <f aca="false">IVA!AU21</f>
        <v>80228904.81977</v>
      </c>
      <c r="AP20" s="28" t="n">
        <f aca="false">'Exogenous tax and expenses'!T20</f>
        <v>9693850</v>
      </c>
      <c r="AQ20" s="28" t="n">
        <f aca="false">'Exogenous tax and expenses'!U20</f>
        <v>555098.17588</v>
      </c>
      <c r="AR20" s="28" t="n">
        <f aca="false">'Exogenous tax and expenses'!V20</f>
        <v>19495157</v>
      </c>
      <c r="AS20" s="767" t="n">
        <v>1354709</v>
      </c>
      <c r="AT20" s="28" t="n">
        <f aca="false">'Exogenous tax and expenses'!W20</f>
        <v>16753835.7595</v>
      </c>
      <c r="AU20" s="28" t="n">
        <f aca="false">'Exogenous tax and expenses'!AG20</f>
        <v>1117433.63985</v>
      </c>
      <c r="AV20" s="28" t="n">
        <f aca="false">'Exogenous tax and expenses'!AH20</f>
        <v>98224000</v>
      </c>
    </row>
    <row r="21" customFormat="false" ht="15" hidden="false" customHeight="false" outlineLevel="0" collapsed="false">
      <c r="B21" s="1"/>
      <c r="C21" s="1"/>
      <c r="D21" s="1"/>
      <c r="E21" s="1"/>
      <c r="F21" s="1"/>
      <c r="G21" s="1"/>
      <c r="H21" s="1"/>
      <c r="I21" s="1"/>
      <c r="J21" s="1"/>
      <c r="K21" s="1"/>
      <c r="L21" s="1"/>
      <c r="M21" s="1"/>
      <c r="N21" s="768" t="n">
        <v>11016.8905</v>
      </c>
      <c r="O21" s="1"/>
      <c r="P21" s="1" t="n">
        <f aca="false">'Exogenous tax and expenses'!P20+1</f>
        <v>2009</v>
      </c>
      <c r="Q21" s="98" t="n">
        <f aca="false">'Cuenta Ahorro-Inversión-Financi'!H25</f>
        <v>11102856.8612</v>
      </c>
      <c r="R21" s="98" t="n">
        <f aca="false">'Cuenta Ahorro-Inversión-Financi'!R25</f>
        <v>900098.5</v>
      </c>
      <c r="S21" s="98" t="n">
        <f aca="false">'Cuenta Ahorro-Inversión-Financi'!K25</f>
        <v>9009731.229499</v>
      </c>
      <c r="T21" s="548" t="n">
        <v>11593279</v>
      </c>
      <c r="U21" s="98" t="n">
        <f aca="false">'Cuenta Ahorro-Inversión-Financi'!Q25</f>
        <v>658385</v>
      </c>
      <c r="V21" s="548" t="n">
        <v>20561471</v>
      </c>
      <c r="W21" s="98" t="n">
        <f aca="false">'Cuenta Ahorro-Inversión-Financi'!AI25</f>
        <v>18241431.1264</v>
      </c>
      <c r="X21" s="98" t="n">
        <f aca="false">'Cuenta Ahorro-Inversión-Financi'!L25</f>
        <v>3806449.67</v>
      </c>
      <c r="Y21" s="763" t="n">
        <f aca="false">'Cuenta Ahorro-Inversión-Financi'!AY25</f>
        <v>2218502.32568</v>
      </c>
      <c r="Z21" s="763"/>
      <c r="AA21" s="763" t="n">
        <f aca="false">'Cuenta Ahorro-Inversión-Financi'!CJ25</f>
        <v>3449309.24374</v>
      </c>
      <c r="AB21" s="763" t="n">
        <f aca="false">'Cuenta Ahorro-Inversión-Financi'!CL25+'Cuenta Ahorro-Inversión-Financi'!CK25</f>
        <v>8571574.85123</v>
      </c>
      <c r="AC21" s="763" t="n">
        <f aca="false">'Cuenta Ahorro-Inversión-Financi'!CM25</f>
        <v>2090315.13795</v>
      </c>
      <c r="AD21" s="763"/>
      <c r="AE21" s="763"/>
      <c r="AF21" s="763"/>
      <c r="AG21" s="98" t="n">
        <f aca="false">'Cuenta Ahorro-Inversión-Financi'!X25</f>
        <v>8487113.30096</v>
      </c>
      <c r="AH21" s="98" t="n">
        <v>135692682.225</v>
      </c>
      <c r="AI21" s="98"/>
      <c r="AJ21" s="98"/>
      <c r="AK21" s="98"/>
      <c r="AL21" s="1" t="s">
        <v>1035</v>
      </c>
      <c r="AM21" s="1" t="n">
        <f aca="false">'Exogenous tax and expenses'!AM20+1</f>
        <v>2009</v>
      </c>
      <c r="AN21" s="28" t="n">
        <f aca="false">IVA!AU56</f>
        <v>55552256</v>
      </c>
      <c r="AO21" s="28" t="n">
        <f aca="false">IVA!AU22</f>
        <v>87385733</v>
      </c>
      <c r="AP21" s="28" t="n">
        <f aca="false">'Exogenous tax and expenses'!T21</f>
        <v>11593279</v>
      </c>
      <c r="AQ21" s="28" t="n">
        <f aca="false">'Exogenous tax and expenses'!U21</f>
        <v>658385</v>
      </c>
      <c r="AR21" s="28" t="n">
        <f aca="false">'Exogenous tax and expenses'!V21</f>
        <v>20561471</v>
      </c>
      <c r="AS21" s="767" t="n">
        <v>1549845</v>
      </c>
      <c r="AT21" s="28" t="n">
        <f aca="false">'Exogenous tax and expenses'!W21</f>
        <v>18241431.1264</v>
      </c>
      <c r="AU21" s="28" t="n">
        <f aca="false">'Exogenous tax and expenses'!AG21</f>
        <v>8487113.30096</v>
      </c>
      <c r="AV21" s="28" t="n">
        <f aca="false">'Exogenous tax and expenses'!AH21</f>
        <v>135692682.225</v>
      </c>
    </row>
    <row r="22" customFormat="false" ht="15" hidden="false" customHeight="false" outlineLevel="0" collapsed="false">
      <c r="B22" s="1"/>
      <c r="C22" s="1"/>
      <c r="D22" s="1"/>
      <c r="E22" s="1"/>
      <c r="F22" s="1"/>
      <c r="G22" s="1"/>
      <c r="H22" s="1"/>
      <c r="I22" s="1"/>
      <c r="J22" s="1"/>
      <c r="K22" s="1"/>
      <c r="L22" s="1"/>
      <c r="M22" s="1"/>
      <c r="N22" s="1"/>
      <c r="O22" s="312" t="n">
        <f aca="false">9178.3 + 12576.2 + 11497.8 + 12353.2</f>
        <v>45605.5</v>
      </c>
      <c r="P22" s="1" t="n">
        <f aca="false">'Exogenous tax and expenses'!P21+1</f>
        <v>2010</v>
      </c>
      <c r="Q22" s="764" t="n">
        <f aca="false">'Cuenta Ahorro-Inversión-Financi'!H26</f>
        <v>15263717.30188</v>
      </c>
      <c r="R22" s="764" t="n">
        <f aca="false">'Cuenta Ahorro-Inversión-Financi'!R26</f>
        <v>1463000</v>
      </c>
      <c r="S22" s="764" t="n">
        <f aca="false">'Cuenta Ahorro-Inversión-Financi'!K26</f>
        <v>11741500</v>
      </c>
      <c r="T22" s="764" t="n">
        <v>15269008</v>
      </c>
      <c r="U22" s="764" t="n">
        <f aca="false">'Cuenta Ahorro-Inversión-Financi'!Q26</f>
        <v>771500</v>
      </c>
      <c r="V22" s="764" t="n">
        <v>26884733</v>
      </c>
      <c r="W22" s="764" t="n">
        <f aca="false">'Cuenta Ahorro-Inversión-Financi'!AI26</f>
        <v>24500782.05837</v>
      </c>
      <c r="X22" s="764" t="n">
        <f aca="false">'Cuenta Ahorro-Inversión-Financi'!L26</f>
        <v>4960800</v>
      </c>
      <c r="Y22" s="98" t="n">
        <f aca="false">'Cuenta Ahorro-Inversión-Financi'!AY26</f>
        <v>3204177.57701</v>
      </c>
      <c r="Z22" s="98"/>
      <c r="AA22" s="98" t="n">
        <f aca="false">'Cuenta Ahorro-Inversión-Financi'!CJ26</f>
        <v>4575635.74562</v>
      </c>
      <c r="AB22" s="98" t="n">
        <f aca="false">'Cuenta Ahorro-Inversión-Financi'!CL26+'Cuenta Ahorro-Inversión-Financi'!CK26</f>
        <v>11981071.62296</v>
      </c>
      <c r="AC22" s="98" t="n">
        <f aca="false">'Cuenta Ahorro-Inversión-Financi'!CM26</f>
        <v>2146300</v>
      </c>
      <c r="AD22" s="98"/>
      <c r="AE22" s="98"/>
      <c r="AF22" s="98"/>
      <c r="AG22" s="605" t="n">
        <f aca="false">'Cuenta Ahorro-Inversión-Financi'!X26</f>
        <v>8714727.55017</v>
      </c>
      <c r="AH22" s="605" t="n">
        <v>178016000</v>
      </c>
      <c r="AI22" s="605"/>
      <c r="AJ22" s="605"/>
      <c r="AK22" s="605"/>
      <c r="AL22" s="1" t="s">
        <v>1036</v>
      </c>
      <c r="AM22" s="1" t="n">
        <f aca="false">'Exogenous tax and expenses'!AM21+1</f>
        <v>2010</v>
      </c>
      <c r="AN22" s="28" t="n">
        <f aca="false">IVA!AU57</f>
        <v>76651628</v>
      </c>
      <c r="AO22" s="28" t="n">
        <f aca="false">IVA!AU23</f>
        <v>116385987</v>
      </c>
      <c r="AP22" s="28" t="n">
        <f aca="false">'Exogenous tax and expenses'!T22</f>
        <v>15269008</v>
      </c>
      <c r="AQ22" s="28" t="n">
        <f aca="false">'Exogenous tax and expenses'!U22</f>
        <v>771500</v>
      </c>
      <c r="AR22" s="28" t="n">
        <f aca="false">'Exogenous tax and expenses'!V22</f>
        <v>26884733</v>
      </c>
      <c r="AS22" s="767" t="n">
        <v>2092553</v>
      </c>
      <c r="AT22" s="28" t="n">
        <f aca="false">'Exogenous tax and expenses'!W22</f>
        <v>24500782.05837</v>
      </c>
      <c r="AU22" s="28" t="n">
        <f aca="false">'Exogenous tax and expenses'!AG22</f>
        <v>8714727.55017</v>
      </c>
      <c r="AV22" s="28" t="n">
        <f aca="false">'Exogenous tax and expenses'!AH22</f>
        <v>178016000</v>
      </c>
    </row>
    <row r="23" customFormat="false" ht="15" hidden="false" customHeight="false" outlineLevel="0" collapsed="false">
      <c r="B23" s="1"/>
      <c r="C23" s="1"/>
      <c r="D23" s="1"/>
      <c r="E23" s="1"/>
      <c r="F23" s="1"/>
      <c r="G23" s="1"/>
      <c r="H23" s="1"/>
      <c r="I23" s="1"/>
      <c r="J23" s="1"/>
      <c r="K23" s="1"/>
      <c r="L23" s="1"/>
      <c r="M23" s="1" t="s">
        <v>1037</v>
      </c>
      <c r="N23" s="1"/>
      <c r="O23" s="28" t="n">
        <f aca="false">Q23+S23+U23+X23</f>
        <v>43519843.17099</v>
      </c>
      <c r="P23" s="1" t="n">
        <f aca="false">'Exogenous tax and expenses'!P22+1</f>
        <v>2011</v>
      </c>
      <c r="Q23" s="98" t="n">
        <f aca="false">'Cuenta Ahorro-Inversión-Financi'!H27</f>
        <v>21562243.17099</v>
      </c>
      <c r="R23" s="98" t="n">
        <f aca="false">'Cuenta Ahorro-Inversión-Financi'!R27</f>
        <v>2085600</v>
      </c>
      <c r="S23" s="98" t="n">
        <f aca="false">'Cuenta Ahorro-Inversión-Financi'!K27</f>
        <v>15229500</v>
      </c>
      <c r="T23" s="548" t="n">
        <v>18131477</v>
      </c>
      <c r="U23" s="98" t="n">
        <f aca="false">'Cuenta Ahorro-Inversión-Financi'!Q27</f>
        <v>1013100</v>
      </c>
      <c r="V23" s="548" t="n">
        <v>36179425</v>
      </c>
      <c r="W23" s="98" t="n">
        <f aca="false">'Cuenta Ahorro-Inversión-Financi'!AI27</f>
        <v>32436095.45798</v>
      </c>
      <c r="X23" s="98" t="n">
        <f aca="false">'Cuenta Ahorro-Inversión-Financi'!L27</f>
        <v>5715000</v>
      </c>
      <c r="Y23" s="763" t="n">
        <f aca="false">'Cuenta Ahorro-Inversión-Financi'!AY27</f>
        <v>4769282.46596</v>
      </c>
      <c r="Z23" s="763" t="n">
        <v>729678.74661</v>
      </c>
      <c r="AA23" s="763" t="n">
        <f aca="false">'Cuenta Ahorro-Inversión-Financi'!CJ27</f>
        <v>5370180.45524</v>
      </c>
      <c r="AB23" s="763" t="n">
        <f aca="false">'Cuenta Ahorro-Inversión-Financi'!CL27+'Cuenta Ahorro-Inversión-Financi'!CK27</f>
        <v>17562855.03792</v>
      </c>
      <c r="AC23" s="763" t="n">
        <f aca="false">'Cuenta Ahorro-Inversión-Financi'!CM27</f>
        <v>2247300</v>
      </c>
      <c r="AD23" s="763"/>
      <c r="AE23" s="763" t="n">
        <f aca="false">716.7*1000</f>
        <v>716700</v>
      </c>
      <c r="AF23" s="763"/>
      <c r="AG23" s="98" t="n">
        <f aca="false">'Cuenta Ahorro-Inversión-Financi'!X27</f>
        <v>11038679.15411</v>
      </c>
      <c r="AH23" s="98" t="n">
        <v>199490000</v>
      </c>
      <c r="AI23" s="98"/>
      <c r="AJ23" s="98"/>
      <c r="AK23" s="98"/>
      <c r="AL23" s="1" t="s">
        <v>1036</v>
      </c>
      <c r="AM23" s="1" t="n">
        <f aca="false">'Exogenous tax and expenses'!AM22+1</f>
        <v>2011</v>
      </c>
      <c r="AN23" s="28" t="n">
        <f aca="false">IVA!AU58</f>
        <v>108597879</v>
      </c>
      <c r="AO23" s="28" t="n">
        <f aca="false">IVA!AU24</f>
        <v>154236868</v>
      </c>
      <c r="AP23" s="28" t="n">
        <f aca="false">'Exogenous tax and expenses'!T23</f>
        <v>18131477</v>
      </c>
      <c r="AQ23" s="28" t="n">
        <f aca="false">'Exogenous tax and expenses'!U23</f>
        <v>1013100</v>
      </c>
      <c r="AR23" s="28" t="n">
        <f aca="false">'Exogenous tax and expenses'!V23</f>
        <v>36179425</v>
      </c>
      <c r="AS23" s="767" t="n">
        <v>2983037</v>
      </c>
      <c r="AT23" s="28" t="n">
        <f aca="false">'Exogenous tax and expenses'!W23</f>
        <v>32436095.45798</v>
      </c>
      <c r="AU23" s="28" t="n">
        <f aca="false">'Exogenous tax and expenses'!AG23</f>
        <v>11038679.15411</v>
      </c>
      <c r="AV23" s="28" t="n">
        <f aca="false">'Exogenous tax and expenses'!AH23</f>
        <v>199490000</v>
      </c>
    </row>
    <row r="24" customFormat="false" ht="15" hidden="false" customHeight="false" outlineLevel="0" collapsed="false">
      <c r="B24" s="1"/>
      <c r="C24" s="1"/>
      <c r="D24" s="1"/>
      <c r="E24" s="1"/>
      <c r="F24" s="1"/>
      <c r="G24" s="1"/>
      <c r="H24" s="1"/>
      <c r="I24" s="1"/>
      <c r="J24" s="1"/>
      <c r="K24" s="1"/>
      <c r="L24" s="1"/>
      <c r="M24" s="1" t="s">
        <v>1038</v>
      </c>
      <c r="N24" s="456" t="n">
        <f aca="false">(O22*1000-O23)/1000/'PIB corriente base 2004'!X15</f>
        <v>0.000957151793564279</v>
      </c>
      <c r="O24" s="28" t="n">
        <f aca="false">O23+'Cuenta Ahorro-Inversión-Financi'!P27-U23</f>
        <v>45605446.27099</v>
      </c>
      <c r="P24" s="1" t="n">
        <f aca="false">'Exogenous tax and expenses'!P23+1</f>
        <v>2012</v>
      </c>
      <c r="Q24" s="764" t="n">
        <f aca="false">'Cuenta Ahorro-Inversión-Financi'!H28</f>
        <v>27594331.3664</v>
      </c>
      <c r="R24" s="764" t="n">
        <f aca="false">'Cuenta Ahorro-Inversión-Financi'!R28</f>
        <v>2672800</v>
      </c>
      <c r="S24" s="764" t="n">
        <f aca="false">'Cuenta Ahorro-Inversión-Financi'!K28</f>
        <v>19313800</v>
      </c>
      <c r="T24" s="764" t="n">
        <v>25785407</v>
      </c>
      <c r="U24" s="764" t="n">
        <f aca="false">'Cuenta Ahorro-Inversión-Financi'!Q28</f>
        <v>1229100</v>
      </c>
      <c r="V24" s="764" t="n">
        <v>43931228</v>
      </c>
      <c r="W24" s="764" t="n">
        <f aca="false">'Cuenta Ahorro-Inversión-Financi'!AI28</f>
        <v>41041468.20529</v>
      </c>
      <c r="X24" s="764" t="n">
        <f aca="false">'Cuenta Ahorro-Inversión-Financi'!L28</f>
        <v>8238600</v>
      </c>
      <c r="Y24" s="98" t="n">
        <f aca="false">'Cuenta Ahorro-Inversión-Financi'!AY28</f>
        <v>6238307.1858</v>
      </c>
      <c r="Z24" s="98" t="n">
        <v>953762.92164</v>
      </c>
      <c r="AA24" s="98" t="n">
        <f aca="false">'Cuenta Ahorro-Inversión-Financi'!CJ28</f>
        <v>6683313.77334</v>
      </c>
      <c r="AB24" s="98" t="n">
        <f aca="false">'Cuenta Ahorro-Inversión-Financi'!CL28+'Cuenta Ahorro-Inversión-Financi'!CK28</f>
        <v>26606758.85089</v>
      </c>
      <c r="AC24" s="98" t="n">
        <f aca="false">'Cuenta Ahorro-Inversión-Financi'!CM28</f>
        <v>3258800</v>
      </c>
      <c r="AD24" s="98"/>
      <c r="AE24" s="98" t="n">
        <v>0</v>
      </c>
      <c r="AF24" s="98"/>
      <c r="AG24" s="605" t="n">
        <f aca="false">'Cuenta Ahorro-Inversión-Financi'!X28</f>
        <v>17349286.77895</v>
      </c>
      <c r="AH24" s="605" t="n">
        <v>244799000</v>
      </c>
      <c r="AI24" s="605"/>
      <c r="AJ24" s="605"/>
      <c r="AK24" s="605"/>
      <c r="AL24" s="1" t="s">
        <v>1036</v>
      </c>
      <c r="AM24" s="1" t="n">
        <f aca="false">'Exogenous tax and expenses'!AM23+1</f>
        <v>2012</v>
      </c>
      <c r="AN24" s="28" t="n">
        <f aca="false">IVA!AU59</f>
        <v>138439601.04347</v>
      </c>
      <c r="AO24" s="28" t="n">
        <f aca="false">IVA!AU25</f>
        <v>190496440.35313</v>
      </c>
      <c r="AP24" s="28" t="n">
        <f aca="false">'Exogenous tax and expenses'!T24</f>
        <v>25785407</v>
      </c>
      <c r="AQ24" s="28" t="n">
        <f aca="false">'Exogenous tax and expenses'!U24</f>
        <v>1229100</v>
      </c>
      <c r="AR24" s="28" t="n">
        <f aca="false">'Exogenous tax and expenses'!V24</f>
        <v>43931228</v>
      </c>
      <c r="AS24" s="45" t="n">
        <v>3825107</v>
      </c>
      <c r="AT24" s="28" t="n">
        <f aca="false">'Exogenous tax and expenses'!W24</f>
        <v>41041468.20529</v>
      </c>
      <c r="AU24" s="28" t="n">
        <f aca="false">'Exogenous tax and expenses'!AG24</f>
        <v>17349286.77895</v>
      </c>
      <c r="AV24" s="28" t="n">
        <f aca="false">'Exogenous tax and expenses'!AH24</f>
        <v>244799000</v>
      </c>
    </row>
    <row r="25" customFormat="false" ht="15" hidden="false" customHeight="false" outlineLevel="0" collapsed="false">
      <c r="B25" s="1"/>
      <c r="C25" s="1"/>
      <c r="D25" s="1"/>
      <c r="E25" s="1"/>
      <c r="F25" s="1"/>
      <c r="G25" s="1"/>
      <c r="H25" s="1"/>
      <c r="I25" s="1"/>
      <c r="J25" s="1"/>
      <c r="K25" s="1"/>
      <c r="L25" s="1" t="s">
        <v>1039</v>
      </c>
      <c r="M25" s="1"/>
      <c r="N25" s="1"/>
      <c r="O25" s="1"/>
      <c r="P25" s="1" t="n">
        <f aca="false">'Exogenous tax and expenses'!P24+1</f>
        <v>2013</v>
      </c>
      <c r="Q25" s="98" t="n">
        <f aca="false">'Cuenta Ahorro-Inversión-Financi'!H29</f>
        <v>36576358.35</v>
      </c>
      <c r="R25" s="98" t="n">
        <f aca="false">'Cuenta Ahorro-Inversión-Financi'!R29</f>
        <v>3099000</v>
      </c>
      <c r="S25" s="98" t="n">
        <f aca="false">'Cuenta Ahorro-Inversión-Financi'!K29</f>
        <v>24906800</v>
      </c>
      <c r="T25" s="548" t="n">
        <v>31010317</v>
      </c>
      <c r="U25" s="98" t="n">
        <f aca="false">'Cuenta Ahorro-Inversión-Financi'!Q29</f>
        <v>1332400</v>
      </c>
      <c r="V25" s="548" t="n">
        <v>56514839</v>
      </c>
      <c r="W25" s="98" t="n">
        <f aca="false">'Cuenta Ahorro-Inversión-Financi'!AI29</f>
        <v>53287660.80492</v>
      </c>
      <c r="X25" s="98" t="n">
        <f aca="false">'Cuenta Ahorro-Inversión-Financi'!L29</f>
        <v>8682000</v>
      </c>
      <c r="Y25" s="763" t="n">
        <f aca="false">'Cuenta Ahorro-Inversión-Financi'!AY29</f>
        <v>7042799.31211</v>
      </c>
      <c r="Z25" s="763" t="n">
        <v>1253574.1296</v>
      </c>
      <c r="AA25" s="763" t="n">
        <f aca="false">'Cuenta Ahorro-Inversión-Financi'!CJ29</f>
        <v>8856389.21015</v>
      </c>
      <c r="AB25" s="763" t="n">
        <f aca="false">'Cuenta Ahorro-Inversión-Financi'!CL29+'Cuenta Ahorro-Inversión-Financi'!CK29</f>
        <v>36122011.13802</v>
      </c>
      <c r="AC25" s="763" t="n">
        <f aca="false">'Cuenta Ahorro-Inversión-Financi'!CM29</f>
        <v>5590600</v>
      </c>
      <c r="AD25" s="763"/>
      <c r="AE25" s="763" t="n">
        <v>0</v>
      </c>
      <c r="AF25" s="763"/>
      <c r="AG25" s="98" t="n">
        <f aca="false">'Cuenta Ahorro-Inversión-Financi'!X29</f>
        <v>22873121.48436</v>
      </c>
      <c r="AH25" s="98" t="n">
        <v>329472000</v>
      </c>
      <c r="AI25" s="98"/>
      <c r="AJ25" s="98"/>
      <c r="AK25" s="98"/>
      <c r="AL25" s="1" t="s">
        <v>1036</v>
      </c>
      <c r="AM25" s="1" t="n">
        <f aca="false">'Exogenous tax and expenses'!AM24+1</f>
        <v>2013</v>
      </c>
      <c r="AN25" s="769" t="n">
        <v>183598671</v>
      </c>
      <c r="AO25" s="769" t="n">
        <v>249006251</v>
      </c>
      <c r="AP25" s="28" t="n">
        <f aca="false">'Exogenous tax and expenses'!T25</f>
        <v>31010317</v>
      </c>
      <c r="AQ25" s="28" t="n">
        <f aca="false">'Exogenous tax and expenses'!U25</f>
        <v>1332400</v>
      </c>
      <c r="AR25" s="28" t="n">
        <f aca="false">'Exogenous tax and expenses'!V25</f>
        <v>56514839</v>
      </c>
      <c r="AS25" s="769" t="n">
        <v>4422891</v>
      </c>
      <c r="AT25" s="28" t="n">
        <f aca="false">'Exogenous tax and expenses'!W25</f>
        <v>53287660.80492</v>
      </c>
      <c r="AU25" s="28" t="n">
        <f aca="false">'Exogenous tax and expenses'!AG25</f>
        <v>22873121.48436</v>
      </c>
      <c r="AV25" s="28" t="n">
        <f aca="false">'Exogenous tax and expenses'!AH25</f>
        <v>329472000</v>
      </c>
    </row>
    <row r="26" customFormat="false" ht="15" hidden="false" customHeight="false" outlineLevel="0" collapsed="false">
      <c r="B26" s="1"/>
      <c r="C26" s="1"/>
      <c r="D26" s="1"/>
      <c r="E26" s="1"/>
      <c r="F26" s="1"/>
      <c r="G26" s="1"/>
      <c r="H26" s="1"/>
      <c r="I26" s="1"/>
      <c r="J26" s="1"/>
      <c r="K26" s="1"/>
      <c r="L26" s="1" t="s">
        <v>1040</v>
      </c>
      <c r="M26" s="1"/>
      <c r="N26" s="1"/>
      <c r="O26" s="1"/>
      <c r="P26" s="1" t="n">
        <f aca="false">'Exogenous tax and expenses'!P25+1</f>
        <v>2014</v>
      </c>
      <c r="Q26" s="764" t="n">
        <f aca="false">'Cuenta Ahorro-Inversión-Financi'!H30</f>
        <v>53294684.66403</v>
      </c>
      <c r="R26" s="764" t="n">
        <f aca="false">'Cuenta Ahorro-Inversión-Financi'!R30</f>
        <v>2940800</v>
      </c>
      <c r="S26" s="764" t="n">
        <f aca="false">'Cuenta Ahorro-Inversión-Financi'!K30</f>
        <v>32721600</v>
      </c>
      <c r="T26" s="764" t="n">
        <v>44490091</v>
      </c>
      <c r="U26" s="764" t="n">
        <f aca="false">'Cuenta Ahorro-Inversión-Financi'!Q30</f>
        <v>1984900</v>
      </c>
      <c r="V26" s="764" t="n">
        <v>76739818</v>
      </c>
      <c r="W26" s="764" t="n">
        <f aca="false">'Cuenta Ahorro-Inversión-Financi'!AI30</f>
        <v>72676066.20744</v>
      </c>
      <c r="X26" s="764" t="n">
        <f aca="false">'Cuenta Ahorro-Inversión-Financi'!L30</f>
        <v>12167700</v>
      </c>
      <c r="Y26" s="98" t="n">
        <f aca="false">'Cuenta Ahorro-Inversión-Financi'!AY30</f>
        <v>9516808.09741</v>
      </c>
      <c r="Z26" s="98" t="n">
        <v>1610245.75254</v>
      </c>
      <c r="AA26" s="98" t="n">
        <f aca="false">'Cuenta Ahorro-Inversión-Financi'!CJ30</f>
        <v>11872462.07607</v>
      </c>
      <c r="AB26" s="98" t="n">
        <f aca="false">'Cuenta Ahorro-Inversión-Financi'!CL30+'Cuenta Ahorro-Inversión-Financi'!CK30</f>
        <v>49042610.26827</v>
      </c>
      <c r="AC26" s="98" t="n">
        <f aca="false">'Cuenta Ahorro-Inversión-Financi'!CM30</f>
        <v>8266200</v>
      </c>
      <c r="AD26" s="98"/>
      <c r="AE26" s="98" t="n">
        <v>0</v>
      </c>
      <c r="AF26" s="98"/>
      <c r="AG26" s="605" t="n">
        <f aca="false">'Cuenta Ahorro-Inversión-Financi'!X30</f>
        <v>38383803.98011</v>
      </c>
      <c r="AH26" s="605" t="n">
        <v>472265000</v>
      </c>
      <c r="AI26" s="605"/>
      <c r="AJ26" s="605"/>
      <c r="AK26" s="605"/>
      <c r="AL26" s="1" t="s">
        <v>1036</v>
      </c>
      <c r="AM26" s="1" t="n">
        <f aca="false">'Exogenous tax and expenses'!AM25+1</f>
        <v>2014</v>
      </c>
      <c r="AN26" s="45" t="n">
        <v>267075100</v>
      </c>
      <c r="AO26" s="45" t="n">
        <v>331202807</v>
      </c>
      <c r="AP26" s="28" t="n">
        <f aca="false">'Exogenous tax and expenses'!T26</f>
        <v>44490091</v>
      </c>
      <c r="AQ26" s="28" t="n">
        <f aca="false">'Exogenous tax and expenses'!U26</f>
        <v>1984900</v>
      </c>
      <c r="AR26" s="28" t="n">
        <f aca="false">'Exogenous tax and expenses'!V26</f>
        <v>76739818</v>
      </c>
      <c r="AS26" s="45" t="n">
        <v>4259289</v>
      </c>
      <c r="AT26" s="28" t="n">
        <f aca="false">'Exogenous tax and expenses'!W26</f>
        <v>72676066.20744</v>
      </c>
      <c r="AU26" s="28" t="n">
        <f aca="false">'Exogenous tax and expenses'!AG26</f>
        <v>38383803.98011</v>
      </c>
      <c r="AV26" s="28" t="n">
        <f aca="false">'Exogenous tax and expenses'!AH26</f>
        <v>472265000</v>
      </c>
    </row>
    <row r="27" customFormat="false" ht="15" hidden="false" customHeight="false" outlineLevel="0" collapsed="false">
      <c r="B27" s="1"/>
      <c r="C27" s="1"/>
      <c r="D27" s="1"/>
      <c r="E27" s="1"/>
      <c r="F27" s="1"/>
      <c r="G27" s="1"/>
      <c r="H27" s="1"/>
      <c r="I27" s="1"/>
      <c r="J27" s="1"/>
      <c r="K27" s="1"/>
      <c r="L27" s="1" t="s">
        <v>1041</v>
      </c>
      <c r="M27" s="1"/>
      <c r="N27" s="1"/>
      <c r="O27" s="1"/>
      <c r="P27" s="1" t="n">
        <f aca="false">'Exogenous tax and expenses'!P26+1</f>
        <v>2015</v>
      </c>
      <c r="Q27" s="98" t="n">
        <f aca="false">'Cuenta Ahorro-Inversión-Financi'!H31</f>
        <v>75797809.1</v>
      </c>
      <c r="R27" s="98" t="n">
        <f aca="false">'Cuenta Ahorro-Inversión-Financi'!R31</f>
        <v>3969300</v>
      </c>
      <c r="S27" s="98" t="n">
        <f aca="false">'Cuenta Ahorro-Inversión-Financi'!K31</f>
        <v>43272400</v>
      </c>
      <c r="T27" s="548" t="n">
        <v>56478261</v>
      </c>
      <c r="U27" s="98" t="n">
        <f aca="false">'Cuenta Ahorro-Inversión-Financi'!Q31</f>
        <v>2916400</v>
      </c>
      <c r="V27" s="548" t="n">
        <v>97479599</v>
      </c>
      <c r="W27" s="98" t="n">
        <f aca="false">'Cuenta Ahorro-Inversión-Financi'!AI31</f>
        <v>95600316.12798</v>
      </c>
      <c r="X27" s="98" t="n">
        <f aca="false">'Cuenta Ahorro-Inversión-Financi'!L31</f>
        <v>14199800</v>
      </c>
      <c r="Y27" s="763" t="n">
        <f aca="false">'Cuenta Ahorro-Inversión-Financi'!AY31</f>
        <v>12485483.44174</v>
      </c>
      <c r="Z27" s="763" t="n">
        <v>2178603.64548</v>
      </c>
      <c r="AA27" s="763" t="n">
        <f aca="false">'Cuenta Ahorro-Inversión-Financi'!CJ31</f>
        <v>16038444.76165</v>
      </c>
      <c r="AB27" s="763" t="n">
        <f aca="false">'Cuenta Ahorro-Inversión-Financi'!CL31+'Cuenta Ahorro-Inversión-Financi'!CK31</f>
        <v>68361691.35172</v>
      </c>
      <c r="AC27" s="763" t="n">
        <f aca="false">'Cuenta Ahorro-Inversión-Financi'!CM31</f>
        <v>10207500</v>
      </c>
      <c r="AD27" s="763"/>
      <c r="AE27" s="763" t="n">
        <v>0</v>
      </c>
      <c r="AF27" s="763"/>
      <c r="AG27" s="98" t="n">
        <f aca="false">'Cuenta Ahorro-Inversión-Financi'!X31</f>
        <v>53180983.23675</v>
      </c>
      <c r="AH27" s="98" t="n">
        <v>664029000</v>
      </c>
      <c r="AI27" s="98"/>
      <c r="AJ27" s="98"/>
      <c r="AK27" s="98"/>
      <c r="AL27" s="1" t="s">
        <v>1036</v>
      </c>
      <c r="AM27" s="1" t="n">
        <f aca="false">'Exogenous tax and expenses'!AM26+1</f>
        <v>2015</v>
      </c>
      <c r="AN27" s="45" t="n">
        <v>381463223</v>
      </c>
      <c r="AO27" s="45" t="n">
        <v>433076241</v>
      </c>
      <c r="AP27" s="28" t="n">
        <f aca="false">'Exogenous tax and expenses'!T27</f>
        <v>56478261</v>
      </c>
      <c r="AQ27" s="28" t="n">
        <f aca="false">'Exogenous tax and expenses'!U27</f>
        <v>2916400</v>
      </c>
      <c r="AR27" s="28" t="n">
        <f aca="false">'Exogenous tax and expenses'!V27</f>
        <v>97479599</v>
      </c>
      <c r="AS27" s="45" t="n">
        <v>5624126</v>
      </c>
      <c r="AT27" s="28" t="n">
        <f aca="false">'Exogenous tax and expenses'!W27</f>
        <v>95600316.12798</v>
      </c>
      <c r="AU27" s="28" t="n">
        <f aca="false">'Exogenous tax and expenses'!AG27</f>
        <v>53180983.23675</v>
      </c>
      <c r="AV27" s="28" t="n">
        <f aca="false">'Exogenous tax and expenses'!AH27</f>
        <v>664029000</v>
      </c>
    </row>
    <row r="28" customFormat="false" ht="15" hidden="false" customHeight="false" outlineLevel="0" collapsed="false">
      <c r="B28" s="1"/>
      <c r="C28" s="1"/>
      <c r="D28" s="1"/>
      <c r="E28" s="1"/>
      <c r="F28" s="1"/>
      <c r="G28" s="1"/>
      <c r="H28" s="1"/>
      <c r="I28" s="1"/>
      <c r="J28" s="1"/>
      <c r="K28" s="1"/>
      <c r="L28" s="1"/>
      <c r="M28" s="1"/>
      <c r="N28" s="1"/>
      <c r="O28" s="28" t="n">
        <f aca="false">(SUM(R30:X30)-T30-W30)</f>
        <v>387779655.10095</v>
      </c>
      <c r="P28" s="1" t="n">
        <f aca="false">'Exogenous tax and expenses'!P27+1</f>
        <v>2016</v>
      </c>
      <c r="Q28" s="764" t="n">
        <f aca="false">'Cuenta Ahorro-Inversión-Financi'!H32</f>
        <v>86485940.4164</v>
      </c>
      <c r="R28" s="764" t="n">
        <f aca="false">'Cuenta Ahorro-Inversión-Financi'!R32</f>
        <v>4810100</v>
      </c>
      <c r="S28" s="764" t="n">
        <f aca="false">'Cuenta Ahorro-Inversión-Financi'!K32</f>
        <v>58259500</v>
      </c>
      <c r="T28" s="764" t="n">
        <v>75663968</v>
      </c>
      <c r="U28" s="764" t="n">
        <f aca="false">'Cuenta Ahorro-Inversión-Financi'!Q32</f>
        <v>4187600</v>
      </c>
      <c r="V28" s="764" t="n">
        <v>131669079</v>
      </c>
      <c r="W28" s="764" t="n">
        <f aca="false">'Cuenta Ahorro-Inversión-Financi'!AI32</f>
        <v>126199197.124</v>
      </c>
      <c r="X28" s="764" t="n">
        <f aca="false">'Cuenta Ahorro-Inversión-Financi'!L32</f>
        <v>19962000</v>
      </c>
      <c r="Y28" s="98" t="n">
        <f aca="false">'Cuenta Ahorro-Inversión-Financi'!AY32</f>
        <v>14554479.38537</v>
      </c>
      <c r="Z28" s="98" t="n">
        <v>2916910.09244</v>
      </c>
      <c r="AA28" s="98" t="n">
        <f aca="false">'Cuenta Ahorro-Inversión-Financi'!CJ32</f>
        <v>22415518.30814</v>
      </c>
      <c r="AB28" s="98" t="n">
        <f aca="false">'Cuenta Ahorro-Inversión-Financi'!CL32+'Cuenta Ahorro-Inversión-Financi'!CK32</f>
        <v>88401916.12013</v>
      </c>
      <c r="AC28" s="98" t="n">
        <f aca="false">'Cuenta Ahorro-Inversión-Financi'!CM32</f>
        <v>16218300</v>
      </c>
      <c r="AD28" s="98"/>
      <c r="AE28" s="98" t="n">
        <f aca="false">12099.4*1000</f>
        <v>12099400</v>
      </c>
      <c r="AF28" s="98" t="n">
        <f aca="false">'Cuenta Ahorro-Inversión-Financi'!CS32</f>
        <v>31300557.6342019</v>
      </c>
      <c r="AG28" s="605" t="n">
        <f aca="false">'Cuenta Ahorro-Inversión-Financi'!X32</f>
        <v>72470214.43759</v>
      </c>
      <c r="AH28" s="605" t="n">
        <v>875380000</v>
      </c>
      <c r="AI28" s="605"/>
      <c r="AJ28" s="605"/>
      <c r="AK28" s="605"/>
      <c r="AL28" s="1" t="s">
        <v>1036</v>
      </c>
      <c r="AM28" s="1" t="n">
        <f aca="false">'Exogenous tax and expenses'!AM27+1</f>
        <v>2016</v>
      </c>
      <c r="AN28" s="769" t="n">
        <v>432907154</v>
      </c>
      <c r="AO28" s="769" t="n">
        <v>583216936</v>
      </c>
      <c r="AP28" s="28" t="n">
        <f aca="false">'Exogenous tax and expenses'!T28</f>
        <v>75663968</v>
      </c>
      <c r="AQ28" s="28" t="n">
        <f aca="false">'Exogenous tax and expenses'!U28</f>
        <v>4187600</v>
      </c>
      <c r="AR28" s="28" t="n">
        <f aca="false">'Exogenous tax and expenses'!V28</f>
        <v>131669079</v>
      </c>
      <c r="AS28" s="769" t="n">
        <v>6873038</v>
      </c>
      <c r="AT28" s="28" t="n">
        <f aca="false">'Exogenous tax and expenses'!W28</f>
        <v>126199197.124</v>
      </c>
      <c r="AU28" s="28" t="n">
        <f aca="false">'Exogenous tax and expenses'!AG28</f>
        <v>72470214.43759</v>
      </c>
      <c r="AV28" s="28" t="n">
        <f aca="false">'Exogenous tax and expenses'!AH28</f>
        <v>875380000</v>
      </c>
    </row>
    <row r="29" customFormat="false" ht="15" hidden="false" customHeight="false" outlineLevel="0" collapsed="false">
      <c r="B29" s="1"/>
      <c r="C29" s="1"/>
      <c r="D29" s="1"/>
      <c r="E29" s="1"/>
      <c r="F29" s="1"/>
      <c r="G29" s="1"/>
      <c r="H29" s="1"/>
      <c r="I29" s="1"/>
      <c r="J29" s="1"/>
      <c r="K29" s="1"/>
      <c r="L29" s="1"/>
      <c r="M29" s="1"/>
      <c r="N29" s="456" t="n">
        <f aca="false">(SUM(R30:X30)-T30-W30)/1000/'PIB corriente base 2004'!X22</f>
        <v>0.0266212259170023</v>
      </c>
      <c r="O29" s="28" t="n">
        <f aca="false">R30+S30+T30+U30+V30+W30+X30-W30-T30</f>
        <v>387779655.10095</v>
      </c>
      <c r="P29" s="770" t="n">
        <f aca="false">'Exogenous tax and expenses'!P28+1</f>
        <v>2017</v>
      </c>
      <c r="Q29" s="771" t="n">
        <f aca="false">'Cuenta Ahorro-Inversión-Financi'!H33</f>
        <v>109245834.21693</v>
      </c>
      <c r="R29" s="771" t="n">
        <f aca="false">'Cuenta Ahorro-Inversión-Financi'!R33</f>
        <v>7282225.6</v>
      </c>
      <c r="S29" s="771" t="n">
        <f aca="false">'Cuenta Ahorro-Inversión-Financi'!K33</f>
        <v>74727533.13788</v>
      </c>
      <c r="T29" s="771" t="n">
        <v>102845595</v>
      </c>
      <c r="U29" s="771" t="n">
        <f aca="false">'Cuenta Ahorro-Inversión-Financi'!Q33</f>
        <v>5625587</v>
      </c>
      <c r="V29" s="771" t="n">
        <v>172838482</v>
      </c>
      <c r="W29" s="771" t="n">
        <f aca="false">'Cuenta Ahorro-Inversión-Financi'!AI33</f>
        <v>166461992.04945</v>
      </c>
      <c r="X29" s="771" t="n">
        <f aca="false">'Cuenta Ahorro-Inversión-Financi'!L33</f>
        <v>29455686.93297</v>
      </c>
      <c r="Y29" s="772" t="n">
        <f aca="false">'Cuenta Ahorro-Inversión-Financi'!AY33</f>
        <v>18322852.72915</v>
      </c>
      <c r="Z29" s="772" t="n">
        <v>5017571.50117</v>
      </c>
      <c r="AA29" s="772" t="n">
        <f aca="false">'Cuenta Ahorro-Inversión-Financi'!CJ33</f>
        <v>30933083.00808</v>
      </c>
      <c r="AB29" s="772" t="n">
        <f aca="false">'Cuenta Ahorro-Inversión-Financi'!CL33+'Cuenta Ahorro-Inversión-Financi'!CK33</f>
        <v>104611186.68281</v>
      </c>
      <c r="AC29" s="772" t="n">
        <f aca="false">'Cuenta Ahorro-Inversión-Financi'!CM33</f>
        <v>18023556.12808</v>
      </c>
      <c r="AD29" s="772" t="n">
        <f aca="false">'Cuenta Ahorro-Inversión-Financi'!BH33</f>
        <v>9373728.112</v>
      </c>
      <c r="AE29" s="772" t="n">
        <f aca="false">10845 *1000</f>
        <v>10845000</v>
      </c>
      <c r="AF29" s="772" t="n">
        <f aca="false">'Cuenta Ahorro-Inversión-Financi'!CS33</f>
        <v>77978329.8140266</v>
      </c>
      <c r="AG29" s="771" t="n">
        <f aca="false">'Cuenta Ahorro-Inversión-Financi'!X33</f>
        <v>110276582.29881</v>
      </c>
      <c r="AH29" s="771" t="n">
        <v>1202579000</v>
      </c>
      <c r="AI29" s="771"/>
      <c r="AJ29" s="771"/>
      <c r="AK29" s="771"/>
      <c r="AL29" s="1" t="s">
        <v>1036</v>
      </c>
      <c r="AM29" s="1" t="n">
        <f aca="false">'Exogenous tax and expenses'!AM28+1</f>
        <v>2017</v>
      </c>
      <c r="AN29" s="45" t="n">
        <v>555022973</v>
      </c>
      <c r="AO29" s="45" t="n">
        <v>765336287</v>
      </c>
      <c r="AP29" s="28" t="n">
        <f aca="false">'Exogenous tax and expenses'!T29</f>
        <v>102845595</v>
      </c>
      <c r="AQ29" s="28" t="n">
        <f aca="false">'Exogenous tax and expenses'!U29</f>
        <v>5625587</v>
      </c>
      <c r="AR29" s="28" t="n">
        <f aca="false">'Exogenous tax and expenses'!V29</f>
        <v>172838482</v>
      </c>
      <c r="AS29" s="45" t="n">
        <v>10544045</v>
      </c>
      <c r="AT29" s="28" t="n">
        <f aca="false">'Exogenous tax and expenses'!W29</f>
        <v>166461992.04945</v>
      </c>
      <c r="AU29" s="28" t="n">
        <f aca="false">'Exogenous tax and expenses'!AG29</f>
        <v>110276582.29881</v>
      </c>
      <c r="AV29" s="28" t="n">
        <f aca="false">'Exogenous tax and expenses'!AH29</f>
        <v>1202579000</v>
      </c>
    </row>
    <row r="30" customFormat="false" ht="15.75" hidden="false" customHeight="false" outlineLevel="0" collapsed="false">
      <c r="B30" s="1"/>
      <c r="C30" s="1"/>
      <c r="D30" s="1"/>
      <c r="E30" s="1"/>
      <c r="F30" s="1"/>
      <c r="G30" s="1"/>
      <c r="H30" s="1"/>
      <c r="I30" s="604" t="s">
        <v>1042</v>
      </c>
      <c r="J30" s="604"/>
      <c r="K30" s="604"/>
      <c r="L30" s="604"/>
      <c r="M30" s="604"/>
      <c r="N30" s="604"/>
      <c r="O30" s="773" t="n">
        <f aca="false">26793.2*1000/1000/'PIB corriente base 2004'!X22</f>
        <v>0.0018393637233334</v>
      </c>
      <c r="P30" s="1" t="n">
        <v>2018</v>
      </c>
      <c r="Q30" s="774"/>
      <c r="R30" s="774" t="n">
        <f aca="false">'Cuenta Ahorro-Inversión-Financi'!R34</f>
        <v>11016890.5</v>
      </c>
      <c r="S30" s="774" t="n">
        <f aca="false">'Cuenta Ahorro-Inversión-Financi'!K34</f>
        <v>106984441.63282</v>
      </c>
      <c r="T30" s="774" t="n">
        <v>116408746.14157</v>
      </c>
      <c r="U30" s="774" t="n">
        <f aca="false">'Cuenta Ahorro-Inversión-Financi'!Q34</f>
        <v>6845924</v>
      </c>
      <c r="V30" s="774" t="n">
        <v>232591321.05233</v>
      </c>
      <c r="W30" s="774" t="n">
        <f aca="false">'Cuenta Ahorro-Inversión-Financi'!AI34</f>
        <v>260430300</v>
      </c>
      <c r="X30" s="774" t="n">
        <f aca="false">'Cuenta Ahorro-Inversión-Financi'!L34</f>
        <v>30341077.9158</v>
      </c>
      <c r="Y30" s="98" t="n">
        <f aca="false">'Cuenta Ahorro-Inversión-Financi'!AY34</f>
        <v>21525462.73405</v>
      </c>
      <c r="Z30" s="98" t="n">
        <v>6263843.69233</v>
      </c>
      <c r="AA30" s="98" t="n">
        <f aca="false">'Cuenta Ahorro-Inversión-Financi'!CJ34</f>
        <v>39299818.62715</v>
      </c>
      <c r="AB30" s="98" t="n">
        <f aca="false">'Cuenta Ahorro-Inversión-Financi'!CL34+'Cuenta Ahorro-Inversión-Financi'!CK34</f>
        <v>101267287.8766</v>
      </c>
      <c r="AC30" s="98" t="n">
        <f aca="false">'Cuenta Ahorro-Inversión-Financi'!CM34</f>
        <v>22662949.94606</v>
      </c>
      <c r="AD30" s="98" t="n">
        <f aca="false">'Cuenta Ahorro-Inversión-Financi'!BH34</f>
        <v>38198551.272</v>
      </c>
      <c r="AE30" s="98" t="n">
        <f aca="false">19529.5*1000</f>
        <v>19529500</v>
      </c>
      <c r="AF30" s="98" t="n">
        <f aca="false">'Cuenta Ahorro-Inversión-Financi'!CS34</f>
        <v>168141700</v>
      </c>
      <c r="AG30" s="605"/>
      <c r="AH30" s="605"/>
      <c r="AI30" s="605" t="s">
        <v>1043</v>
      </c>
      <c r="AJ30" s="1" t="s">
        <v>1044</v>
      </c>
      <c r="AK30" s="1" t="s">
        <v>1045</v>
      </c>
      <c r="AL30" s="1"/>
      <c r="AM30" s="769"/>
      <c r="AN30" s="769"/>
      <c r="AO30" s="28"/>
      <c r="AP30" s="28"/>
      <c r="AQ30" s="28"/>
      <c r="AR30" s="769"/>
      <c r="AS30" s="28"/>
      <c r="AT30" s="28"/>
      <c r="AU30" s="28"/>
    </row>
    <row r="31" customFormat="false" ht="15" hidden="false" customHeight="false" outlineLevel="0" collapsed="false">
      <c r="B31" s="1"/>
      <c r="C31" s="1"/>
      <c r="D31" s="1"/>
      <c r="E31" s="1"/>
      <c r="F31" s="1"/>
      <c r="G31" s="1"/>
      <c r="H31" s="1"/>
      <c r="I31" s="604" t="s">
        <v>1046</v>
      </c>
      <c r="J31" s="604"/>
      <c r="K31" s="604"/>
      <c r="L31" s="604"/>
      <c r="M31" s="604"/>
      <c r="N31" s="604"/>
      <c r="O31" s="1"/>
      <c r="P31" s="1" t="n">
        <v>1993</v>
      </c>
      <c r="Q31" s="775" t="n">
        <f aca="false">'Exogenous tax and expenses'!Q5/'PIB corriente base 1993'!V8/1000</f>
        <v>0.00360798997870177</v>
      </c>
      <c r="R31" s="775"/>
      <c r="S31" s="775"/>
      <c r="T31" s="775"/>
      <c r="U31" s="775"/>
      <c r="V31" s="775"/>
      <c r="W31" s="775" t="n">
        <f aca="false">'Exogenous tax and expenses'!W5/'PIB corriente base 1993'!$V8/1000</f>
        <v>0.0127518067972787</v>
      </c>
      <c r="X31" s="775" t="n">
        <f aca="false">'Exogenous tax and expenses'!X5/'PIB corriente base 1993'!$V8/1000</f>
        <v>0</v>
      </c>
      <c r="Y31" s="776" t="n">
        <f aca="false">'Exogenous tax and expenses'!Y5/'PIB corriente base 1993'!V8/1000</f>
        <v>0.00148990999175634</v>
      </c>
      <c r="Z31" s="776"/>
      <c r="AA31" s="776" t="n">
        <f aca="false">'Exogenous tax and expenses'!AA5/'PIB corriente base 1993'!V8/1000</f>
        <v>0.00438149484248217</v>
      </c>
      <c r="AB31" s="776" t="n">
        <f aca="false">'Exogenous tax and expenses'!AB5/'PIB corriente base 1993'!V8/1000</f>
        <v>0.000907133691920851</v>
      </c>
      <c r="AC31" s="776"/>
      <c r="AD31" s="776"/>
      <c r="AE31" s="776"/>
      <c r="AF31" s="776"/>
      <c r="AG31" s="766"/>
      <c r="AH31" s="766"/>
      <c r="AI31" s="777" t="n">
        <f aca="false">E40-D40</f>
        <v>0.0172515077572419</v>
      </c>
      <c r="AJ31" s="778" t="n">
        <f aca="false">(SUM(Q5:X5)-SUM(Y5:AF5)-V5-T5)/'PIB corriente base 1993'!$V8/1000</f>
        <v>0.00958125824982107</v>
      </c>
      <c r="AK31" s="778" t="n">
        <f aca="false">AJ31-AI31</f>
        <v>-0.00767024950742079</v>
      </c>
      <c r="AL31" s="1"/>
      <c r="AM31" s="1"/>
      <c r="AN31" s="1"/>
      <c r="AO31" s="1"/>
      <c r="AP31" s="1"/>
      <c r="AQ31" s="1"/>
      <c r="AR31" s="1"/>
      <c r="AS31" s="1"/>
      <c r="AT31" s="1"/>
      <c r="AU31" s="1"/>
    </row>
    <row r="32" customFormat="false" ht="15" hidden="false" customHeight="false" outlineLevel="0" collapsed="false">
      <c r="B32" s="1"/>
      <c r="C32" s="1"/>
      <c r="D32" s="1"/>
      <c r="E32" s="1"/>
      <c r="F32" s="1"/>
      <c r="G32" s="1"/>
      <c r="H32" s="1"/>
      <c r="I32" s="779" t="s">
        <v>1047</v>
      </c>
      <c r="J32" s="779"/>
      <c r="K32" s="779"/>
      <c r="L32" s="779"/>
      <c r="M32" s="779"/>
      <c r="N32" s="779"/>
      <c r="O32" s="1"/>
      <c r="P32" s="1" t="n">
        <f aca="false">'Exogenous tax and expenses'!P31+1</f>
        <v>1994</v>
      </c>
      <c r="Q32" s="780" t="n">
        <f aca="false">'Exogenous tax and expenses'!Q6/'PIB corriente base 1993'!V9/1000</f>
        <v>0.00452401493112597</v>
      </c>
      <c r="R32" s="780"/>
      <c r="S32" s="780"/>
      <c r="T32" s="780"/>
      <c r="U32" s="780"/>
      <c r="V32" s="780"/>
      <c r="W32" s="780" t="n">
        <f aca="false">'Exogenous tax and expenses'!W6/'PIB corriente base 1993'!$V9/1000</f>
        <v>0.0125330563795884</v>
      </c>
      <c r="X32" s="780" t="n">
        <f aca="false">'Exogenous tax and expenses'!X6/'PIB corriente base 1993'!$V9/1000</f>
        <v>0</v>
      </c>
      <c r="Y32" s="775" t="n">
        <f aca="false">'Exogenous tax and expenses'!Y6/'PIB corriente base 1993'!V9/1000</f>
        <v>0.00114109371918643</v>
      </c>
      <c r="Z32" s="775"/>
      <c r="AA32" s="775" t="n">
        <f aca="false">'Exogenous tax and expenses'!AA6/'PIB corriente base 1993'!V9/1000</f>
        <v>0.00500171357630564</v>
      </c>
      <c r="AB32" s="775" t="n">
        <f aca="false">'Exogenous tax and expenses'!AB6/'PIB corriente base 1993'!V9/1000</f>
        <v>0.00177359529305488</v>
      </c>
      <c r="AC32" s="775"/>
      <c r="AD32" s="775"/>
      <c r="AE32" s="775"/>
      <c r="AF32" s="775"/>
      <c r="AG32" s="547"/>
      <c r="AH32" s="547"/>
      <c r="AI32" s="781" t="n">
        <f aca="false">E41-D41</f>
        <v>0.0134853438724108</v>
      </c>
      <c r="AJ32" s="778" t="n">
        <f aca="false">(SUM(Q6:X6)-SUM(Y6:AF6)-V6-T6)/'PIB corriente base 1993'!$V9/1000</f>
        <v>0.00914066872216745</v>
      </c>
      <c r="AK32" s="778" t="n">
        <f aca="false">AJ32-AI32</f>
        <v>-0.0043446751502433</v>
      </c>
      <c r="AL32" s="1" t="n">
        <v>1993</v>
      </c>
      <c r="AM32" s="456" t="n">
        <f aca="false">'Exogenous tax and expenses'!AN5/'PIB corriente base 1993'!V8/1000</f>
        <v>0.0180643975816073</v>
      </c>
      <c r="AN32" s="456" t="n">
        <f aca="false">'Exogenous tax and expenses'!AO5/'PIB corriente base 1993'!V8/1000</f>
        <v>0.06542779758487</v>
      </c>
      <c r="AO32" s="456" t="n">
        <f aca="false">'Exogenous tax and expenses'!AP5/'PIB corriente base 1993'!V8/1000</f>
        <v>0.00870594773343979</v>
      </c>
      <c r="AP32" s="456" t="n">
        <f aca="false">'Exogenous tax and expenses'!AQ5/'PIB corriente base 1993'!V8/1000</f>
        <v>0</v>
      </c>
      <c r="AQ32" s="456" t="n">
        <f aca="false">'Exogenous tax and expenses'!AR5/'PIB corriente base 1993'!V8/1000</f>
        <v>0</v>
      </c>
      <c r="AR32" s="456" t="n">
        <f aca="false">'Exogenous tax and expenses'!AS5/'PIB corriente base 1993'!V8/1000</f>
        <v>0</v>
      </c>
      <c r="AS32" s="456" t="n">
        <f aca="false">'Exogenous tax and expenses'!AT5/'PIB corriente base 1993'!V8/1000</f>
        <v>0.0127518067972787</v>
      </c>
      <c r="AT32" s="456" t="n">
        <v>0</v>
      </c>
      <c r="AU32" s="456" t="n">
        <v>0</v>
      </c>
    </row>
    <row r="33" customFormat="false" ht="15" hidden="false" customHeight="false" outlineLevel="0" collapsed="false">
      <c r="B33" s="1"/>
      <c r="C33" s="1"/>
      <c r="D33" s="1"/>
      <c r="E33" s="1"/>
      <c r="F33" s="1"/>
      <c r="G33" s="1"/>
      <c r="H33" s="1"/>
      <c r="I33" s="779"/>
      <c r="J33" s="779"/>
      <c r="K33" s="779"/>
      <c r="L33" s="779"/>
      <c r="M33" s="779"/>
      <c r="N33" s="779"/>
      <c r="O33" s="1"/>
      <c r="P33" s="1" t="n">
        <f aca="false">'Exogenous tax and expenses'!P32+1</f>
        <v>1995</v>
      </c>
      <c r="Q33" s="775" t="n">
        <f aca="false">'Exogenous tax and expenses'!Q7/'PIB corriente base 1993'!V10/1000</f>
        <v>0.00481810842810914</v>
      </c>
      <c r="R33" s="775"/>
      <c r="S33" s="775"/>
      <c r="T33" s="775"/>
      <c r="U33" s="775"/>
      <c r="V33" s="775"/>
      <c r="W33" s="775" t="n">
        <f aca="false">'Exogenous tax and expenses'!W7/'PIB corriente base 1993'!$V10/1000</f>
        <v>0.011591546064283</v>
      </c>
      <c r="X33" s="775" t="n">
        <f aca="false">'Exogenous tax and expenses'!X7/'PIB corriente base 1993'!$V10/1000</f>
        <v>0</v>
      </c>
      <c r="Y33" s="776" t="n">
        <f aca="false">'Exogenous tax and expenses'!Y7/'PIB corriente base 1993'!V10/1000</f>
        <v>0.00115074130920541</v>
      </c>
      <c r="Z33" s="776"/>
      <c r="AA33" s="776" t="n">
        <f aca="false">'Exogenous tax and expenses'!AA7/'PIB corriente base 1993'!V10/1000</f>
        <v>0.00460379512456971</v>
      </c>
      <c r="AB33" s="776" t="n">
        <f aca="false">'Exogenous tax and expenses'!AB7/'PIB corriente base 1993'!V10/1000</f>
        <v>0.00203456278278236</v>
      </c>
      <c r="AC33" s="776"/>
      <c r="AD33" s="776"/>
      <c r="AE33" s="776"/>
      <c r="AF33" s="776"/>
      <c r="AG33" s="777" t="n">
        <f aca="false">AG21/AH20</f>
        <v>0.0864056982098062</v>
      </c>
      <c r="AH33" s="766"/>
      <c r="AI33" s="777" t="n">
        <f aca="false">E42-D42</f>
        <v>0.0159463284219162</v>
      </c>
      <c r="AJ33" s="778" t="n">
        <f aca="false">(SUM(Q7:X7)-SUM(Y7:AF7)-V7-T7)/'PIB corriente base 1993'!$V10/1000</f>
        <v>0.00862055527583464</v>
      </c>
      <c r="AK33" s="778" t="n">
        <f aca="false">AJ33-AI33</f>
        <v>-0.00732577314608151</v>
      </c>
      <c r="AL33" s="1" t="n">
        <f aca="false">'Exogenous tax and expenses'!AL32+1</f>
        <v>1994</v>
      </c>
      <c r="AM33" s="456" t="n">
        <f aca="false">'Exogenous tax and expenses'!AN6/'PIB corriente base 1993'!V9/1000</f>
        <v>0.0226133892133065</v>
      </c>
      <c r="AN33" s="456" t="n">
        <f aca="false">'Exogenous tax and expenses'!AO6/'PIB corriente base 1993'!V9/1000</f>
        <v>0.0640460014100955</v>
      </c>
      <c r="AO33" s="456" t="n">
        <f aca="false">'Exogenous tax and expenses'!AP6/'PIB corriente base 1993'!V9/1000</f>
        <v>0.00803682538315669</v>
      </c>
      <c r="AP33" s="456" t="n">
        <f aca="false">'Exogenous tax and expenses'!AQ6/'PIB corriente base 1993'!V9/1000</f>
        <v>0</v>
      </c>
      <c r="AQ33" s="456" t="n">
        <f aca="false">'Exogenous tax and expenses'!AR6/'PIB corriente base 1993'!V9/1000</f>
        <v>0</v>
      </c>
      <c r="AR33" s="456" t="n">
        <f aca="false">'Exogenous tax and expenses'!AS6/'PIB corriente base 1993'!V9/1000</f>
        <v>0</v>
      </c>
      <c r="AS33" s="456" t="n">
        <f aca="false">'Exogenous tax and expenses'!AT6/'PIB corriente base 1993'!V9/1000</f>
        <v>0.0125330563795884</v>
      </c>
      <c r="AT33" s="456" t="n">
        <v>0</v>
      </c>
      <c r="AU33" s="456" t="n">
        <v>0</v>
      </c>
    </row>
    <row r="34" customFormat="false" ht="15" hidden="false" customHeight="false" outlineLevel="0" collapsed="false">
      <c r="B34" s="1"/>
      <c r="C34" s="1"/>
      <c r="D34" s="1"/>
      <c r="E34" s="1"/>
      <c r="F34" s="1"/>
      <c r="G34" s="1"/>
      <c r="H34" s="1"/>
      <c r="I34" s="779"/>
      <c r="J34" s="779"/>
      <c r="K34" s="779"/>
      <c r="L34" s="779"/>
      <c r="M34" s="779"/>
      <c r="N34" s="779"/>
      <c r="O34" s="782" t="n">
        <v>351671158.42997</v>
      </c>
      <c r="P34" s="1" t="n">
        <f aca="false">'Exogenous tax and expenses'!P33+1</f>
        <v>1996</v>
      </c>
      <c r="Q34" s="780" t="n">
        <f aca="false">'Exogenous tax and expenses'!Q8/'PIB corriente base 1993'!$V11/1000</f>
        <v>0.00535119124011765</v>
      </c>
      <c r="R34" s="780"/>
      <c r="S34" s="780" t="n">
        <f aca="false">'Exogenous tax and expenses'!S8/'PIB corriente base 1993'!V11/1000</f>
        <v>0.00699555519367766</v>
      </c>
      <c r="T34" s="780" t="n">
        <f aca="false">'Exogenous tax and expenses'!T8/'PIB corriente base 1993'!V11/1000</f>
        <v>0.00859191284535789</v>
      </c>
      <c r="U34" s="780" t="n">
        <f aca="false">'Exogenous tax and expenses'!U8/'PIB corriente base 1993'!V11/1000</f>
        <v>0.000633122003803018</v>
      </c>
      <c r="V34" s="780"/>
      <c r="W34" s="780" t="n">
        <f aca="false">'Exogenous tax and expenses'!W8/'PIB corriente base 1993'!$V11/1000</f>
        <v>0.0118734138888744</v>
      </c>
      <c r="X34" s="780" t="n">
        <f aca="false">'Exogenous tax and expenses'!X8/'PIB corriente base 1993'!$V11/1000</f>
        <v>0.00189952184472796</v>
      </c>
      <c r="Y34" s="775" t="n">
        <f aca="false">'Exogenous tax and expenses'!Y8/'PIB corriente base 1993'!V11/1000</f>
        <v>0.00121581480233915</v>
      </c>
      <c r="Z34" s="775"/>
      <c r="AA34" s="775" t="n">
        <f aca="false">'Exogenous tax and expenses'!AA8/'PIB corriente base 1993'!V11/1000</f>
        <v>0.00371605977783452</v>
      </c>
      <c r="AB34" s="775" t="n">
        <f aca="false">'Exogenous tax and expenses'!AB8/'PIB corriente base 1993'!V11/1000</f>
        <v>0.00374469920475403</v>
      </c>
      <c r="AC34" s="775"/>
      <c r="AD34" s="775"/>
      <c r="AE34" s="775"/>
      <c r="AF34" s="775"/>
      <c r="AG34" s="775" t="n">
        <f aca="false">AG22/AH21</f>
        <v>0.0642240053573383</v>
      </c>
      <c r="AH34" s="547"/>
      <c r="AI34" s="781" t="n">
        <f aca="false">E43-D43</f>
        <v>0.0179874953863993</v>
      </c>
      <c r="AJ34" s="778" t="n">
        <f aca="false">(SUM(Q8:X8)-SUM(Y8:AF8)-V8-T8)/'PIB corriente base 1993'!$V11/1000</f>
        <v>0.018076230386273</v>
      </c>
      <c r="AK34" s="778" t="n">
        <f aca="false">AJ34-AI34</f>
        <v>8.87349998736492E-005</v>
      </c>
      <c r="AL34" s="1" t="n">
        <f aca="false">'Exogenous tax and expenses'!AL33+1</f>
        <v>1995</v>
      </c>
      <c r="AM34" s="456" t="n">
        <f aca="false">'Exogenous tax and expenses'!AN7/'PIB corriente base 1993'!V10/1000</f>
        <v>0.0241773221134824</v>
      </c>
      <c r="AN34" s="456" t="n">
        <f aca="false">'Exogenous tax and expenses'!AO7/'PIB corriente base 1993'!V10/1000</f>
        <v>0.0639688385715106</v>
      </c>
      <c r="AO34" s="456" t="n">
        <f aca="false">'Exogenous tax and expenses'!AP7/'PIB corriente base 1993'!V10/1000</f>
        <v>0.00694487814856095</v>
      </c>
      <c r="AP34" s="456" t="n">
        <f aca="false">'Exogenous tax and expenses'!AQ7/'PIB corriente base 1993'!V10/1000</f>
        <v>0</v>
      </c>
      <c r="AQ34" s="456" t="n">
        <f aca="false">'Exogenous tax and expenses'!AR7/'PIB corriente base 1993'!V10/1000</f>
        <v>0</v>
      </c>
      <c r="AR34" s="456" t="n">
        <f aca="false">'Exogenous tax and expenses'!AS7/'PIB corriente base 1993'!V10/1000</f>
        <v>0</v>
      </c>
      <c r="AS34" s="456" t="n">
        <f aca="false">'Exogenous tax and expenses'!AT7/'PIB corriente base 1993'!V10/1000</f>
        <v>0.011591546064283</v>
      </c>
      <c r="AT34" s="456" t="n">
        <v>0</v>
      </c>
      <c r="AU34" s="456" t="n">
        <v>0</v>
      </c>
    </row>
    <row r="35" customFormat="false" ht="15" hidden="false" customHeight="false" outlineLevel="0" collapsed="false">
      <c r="B35" s="1"/>
      <c r="C35" s="1"/>
      <c r="D35" s="1"/>
      <c r="E35" s="1"/>
      <c r="F35" s="1"/>
      <c r="G35" s="1"/>
      <c r="H35" s="1"/>
      <c r="I35" s="779"/>
      <c r="J35" s="779"/>
      <c r="K35" s="779"/>
      <c r="L35" s="779"/>
      <c r="M35" s="779"/>
      <c r="N35" s="779"/>
      <c r="O35" s="456" t="n">
        <f aca="false">O34/V30-1</f>
        <v>0.511970252539426</v>
      </c>
      <c r="P35" s="1" t="n">
        <f aca="false">'Exogenous tax and expenses'!P34+1</f>
        <v>1997</v>
      </c>
      <c r="Q35" s="775" t="n">
        <f aca="false">'Exogenous tax and expenses'!Q9/'PIB corriente base 1993'!V12/1000</f>
        <v>0.00569959755309632</v>
      </c>
      <c r="R35" s="775"/>
      <c r="S35" s="775" t="n">
        <f aca="false">'Exogenous tax and expenses'!S9/'PIB corriente base 1993'!V12/1000</f>
        <v>0.00697789668568757</v>
      </c>
      <c r="T35" s="775" t="n">
        <f aca="false">'Exogenous tax and expenses'!T9/'PIB corriente base 1993'!V12/1000</f>
        <v>0.0133764802888043</v>
      </c>
      <c r="U35" s="775" t="n">
        <f aca="false">'Exogenous tax and expenses'!U9/'PIB corriente base 1993'!V12/1000</f>
        <v>0.000661837543623088</v>
      </c>
      <c r="V35" s="775"/>
      <c r="W35" s="775" t="n">
        <f aca="false">'Exogenous tax and expenses'!W9/'PIB corriente base 1993'!$V12/1000</f>
        <v>0.0122864231415156</v>
      </c>
      <c r="X35" s="775" t="n">
        <f aca="false">'Exogenous tax and expenses'!X9/'PIB corriente base 1993'!$V12/1000</f>
        <v>0.00678417881034325</v>
      </c>
      <c r="Y35" s="776" t="n">
        <f aca="false">'Exogenous tax and expenses'!Y9/'PIB corriente base 1993'!V12/1000</f>
        <v>0.000840346028141977</v>
      </c>
      <c r="Z35" s="776"/>
      <c r="AA35" s="776" t="n">
        <f aca="false">'Exogenous tax and expenses'!AA9/'PIB corriente base 1993'!V12/1000</f>
        <v>0.00376518359499552</v>
      </c>
      <c r="AB35" s="776" t="n">
        <f aca="false">'Exogenous tax and expenses'!AB9/'PIB corriente base 1993'!V12/1000</f>
        <v>0.00345227651983493</v>
      </c>
      <c r="AC35" s="776"/>
      <c r="AD35" s="776"/>
      <c r="AE35" s="776"/>
      <c r="AF35" s="776"/>
      <c r="AG35" s="777" t="n">
        <f aca="false">AG23/AH22</f>
        <v>0.0620094775419625</v>
      </c>
      <c r="AH35" s="766"/>
      <c r="AI35" s="777" t="n">
        <f aca="false">E44-D44</f>
        <v>0.0176461444775151</v>
      </c>
      <c r="AJ35" s="778" t="n">
        <f aca="false">(SUM(Q9:X9)-SUM(Y9:AF9)-V9-T9)/'PIB corriente base 1993'!$V12/1000</f>
        <v>0.0243521275912934</v>
      </c>
      <c r="AK35" s="778" t="n">
        <f aca="false">AJ35-AI35</f>
        <v>0.00670598311377835</v>
      </c>
      <c r="AL35" s="1" t="n">
        <f aca="false">'Exogenous tax and expenses'!AL34+1</f>
        <v>1996</v>
      </c>
      <c r="AM35" s="456" t="n">
        <f aca="false">'Exogenous tax and expenses'!AN8/'PIB corriente base 1993'!V11/1000</f>
        <v>0.0249922213956769</v>
      </c>
      <c r="AN35" s="456" t="n">
        <f aca="false">'Exogenous tax and expenses'!AO8/'PIB corriente base 1993'!V11/1000</f>
        <v>0.0664794455284589</v>
      </c>
      <c r="AO35" s="456" t="n">
        <f aca="false">'Exogenous tax and expenses'!AP8/'PIB corriente base 1993'!V11/1000</f>
        <v>0.00859191284535789</v>
      </c>
      <c r="AP35" s="456" t="n">
        <f aca="false">'Exogenous tax and expenses'!AQ8/'PIB corriente base 1993'!V11/1000</f>
        <v>0.000633122003803018</v>
      </c>
      <c r="AQ35" s="456" t="n">
        <f aca="false">'Exogenous tax and expenses'!AR8/'PIB corriente base 1993'!V11/1000</f>
        <v>0</v>
      </c>
      <c r="AR35" s="456" t="n">
        <f aca="false">'Exogenous tax and expenses'!AS8/'PIB corriente base 1993'!V11/1000</f>
        <v>0</v>
      </c>
      <c r="AS35" s="456" t="n">
        <f aca="false">'Exogenous tax and expenses'!AT8/'PIB corriente base 1993'!V11/1000</f>
        <v>0.0118734138888744</v>
      </c>
      <c r="AT35" s="456" t="n">
        <v>0</v>
      </c>
      <c r="AU35" s="456" t="n">
        <v>0</v>
      </c>
    </row>
    <row r="36" customFormat="false" ht="15" hidden="false" customHeight="false" outlineLevel="0" collapsed="false">
      <c r="B36" s="1"/>
      <c r="C36" s="1"/>
      <c r="D36" s="1"/>
      <c r="E36" s="1"/>
      <c r="F36" s="1"/>
      <c r="G36" s="1"/>
      <c r="H36" s="1"/>
      <c r="I36" s="779"/>
      <c r="J36" s="779"/>
      <c r="K36" s="779"/>
      <c r="L36" s="779"/>
      <c r="M36" s="779"/>
      <c r="N36" s="779"/>
      <c r="O36" s="1"/>
      <c r="P36" s="1" t="n">
        <f aca="false">'Exogenous tax and expenses'!P35+1</f>
        <v>1998</v>
      </c>
      <c r="Q36" s="780" t="n">
        <f aca="false">'Exogenous tax and expenses'!Q10/'PIB corriente base 1993'!V13/1000</f>
        <v>0.00636315131456079</v>
      </c>
      <c r="R36" s="780" t="n">
        <f aca="false">'Exogenous tax and expenses'!R10/'PIB corriente base 1993'!$V13/1000</f>
        <v>0.000145543197528915</v>
      </c>
      <c r="S36" s="780" t="n">
        <f aca="false">'Exogenous tax and expenses'!S10/'PIB corriente base 1993'!V13/1000</f>
        <v>0.00701695590496987</v>
      </c>
      <c r="T36" s="780" t="n">
        <f aca="false">'Exogenous tax and expenses'!T10/'PIB corriente base 1993'!V13/1000</f>
        <v>0.0123514108518862</v>
      </c>
      <c r="U36" s="780" t="n">
        <f aca="false">'Exogenous tax and expenses'!U10/'PIB corriente base 1993'!V13/1000</f>
        <v>0.000661539006122823</v>
      </c>
      <c r="V36" s="780"/>
      <c r="W36" s="780" t="n">
        <f aca="false">'Exogenous tax and expenses'!W10/'PIB corriente base 1993'!$V13/1000</f>
        <v>0.0127033327129764</v>
      </c>
      <c r="X36" s="780" t="n">
        <f aca="false">'Exogenous tax and expenses'!X10/'PIB corriente base 1993'!$V13/1000</f>
        <v>0.00620644167097362</v>
      </c>
      <c r="Y36" s="775" t="n">
        <f aca="false">'Exogenous tax and expenses'!Y10/'PIB corriente base 1993'!V13/1000</f>
        <v>0.000774999732363437</v>
      </c>
      <c r="Z36" s="775"/>
      <c r="AA36" s="775" t="n">
        <f aca="false">'Exogenous tax and expenses'!AA10/'PIB corriente base 1993'!V13/1000</f>
        <v>0.0044281736419033</v>
      </c>
      <c r="AB36" s="775" t="n">
        <f aca="false">'Exogenous tax and expenses'!AB10/'PIB corriente base 1993'!V13/1000</f>
        <v>0.00375256113602839</v>
      </c>
      <c r="AC36" s="775"/>
      <c r="AD36" s="775"/>
      <c r="AE36" s="775"/>
      <c r="AF36" s="775"/>
      <c r="AG36" s="775" t="n">
        <f aca="false">AG24/AH23</f>
        <v>0.0869682028119204</v>
      </c>
      <c r="AH36" s="547"/>
      <c r="AI36" s="781" t="n">
        <f aca="false">E45-D45</f>
        <v>0.0244850201801493</v>
      </c>
      <c r="AJ36" s="778" t="n">
        <f aca="false">(SUM(Q10:X10)-SUM(Y10:AF10)-V10-T10)/'PIB corriente base 1993'!$V13/1000</f>
        <v>0.0241412292968373</v>
      </c>
      <c r="AK36" s="778" t="n">
        <f aca="false">AJ36-AI36</f>
        <v>-0.000343790883311924</v>
      </c>
      <c r="AL36" s="1" t="n">
        <f aca="false">'Exogenous tax and expenses'!AL35+1</f>
        <v>1997</v>
      </c>
      <c r="AM36" s="456" t="n">
        <f aca="false">'Exogenous tax and expenses'!AN9/'PIB corriente base 1993'!V12/1000</f>
        <v>0.0284566412191163</v>
      </c>
      <c r="AN36" s="456" t="n">
        <f aca="false">'Exogenous tax and expenses'!AO9/'PIB corriente base 1993'!V12/1000</f>
        <v>0.0676788908730839</v>
      </c>
      <c r="AO36" s="456" t="n">
        <f aca="false">'Exogenous tax and expenses'!AP9/'PIB corriente base 1993'!V12/1000</f>
        <v>0.0133764802888043</v>
      </c>
      <c r="AP36" s="456" t="n">
        <f aca="false">'Exogenous tax and expenses'!AQ9/'PIB corriente base 1993'!V12/1000</f>
        <v>0.000661837543623088</v>
      </c>
      <c r="AQ36" s="456" t="n">
        <f aca="false">'Exogenous tax and expenses'!AR9/'PIB corriente base 1993'!V12/1000</f>
        <v>0</v>
      </c>
      <c r="AR36" s="456" t="n">
        <f aca="false">'Exogenous tax and expenses'!AS9/'PIB corriente base 1993'!V12/1000</f>
        <v>0</v>
      </c>
      <c r="AS36" s="456" t="n">
        <f aca="false">'Exogenous tax and expenses'!AT9/'PIB corriente base 1993'!V12/1000</f>
        <v>0.0122864231415156</v>
      </c>
      <c r="AT36" s="456" t="n">
        <v>0</v>
      </c>
      <c r="AU36" s="456" t="n">
        <v>0</v>
      </c>
    </row>
    <row r="37" customFormat="false" ht="15" hidden="false" customHeight="false" outlineLevel="0" collapsed="false">
      <c r="B37" s="1"/>
      <c r="C37" s="1"/>
      <c r="D37" s="1"/>
      <c r="E37" s="1"/>
      <c r="F37" s="1"/>
      <c r="G37" s="1"/>
      <c r="H37" s="1"/>
      <c r="I37" s="779"/>
      <c r="J37" s="779"/>
      <c r="K37" s="779"/>
      <c r="L37" s="779"/>
      <c r="M37" s="779"/>
      <c r="N37" s="779"/>
      <c r="O37" s="1"/>
      <c r="P37" s="1" t="n">
        <f aca="false">'Exogenous tax and expenses'!P36+1</f>
        <v>1999</v>
      </c>
      <c r="Q37" s="775" t="n">
        <f aca="false">'Exogenous tax and expenses'!Q11/'PIB corriente base 1993'!V14/1000</f>
        <v>0.00652843236193813</v>
      </c>
      <c r="R37" s="775" t="n">
        <f aca="false">'Exogenous tax and expenses'!R11/'PIB corriente base 1993'!$V14/1000</f>
        <v>0.000682065594832189</v>
      </c>
      <c r="S37" s="775" t="n">
        <f aca="false">'Exogenous tax and expenses'!S11/'PIB corriente base 1993'!V14/1000</f>
        <v>0.00661730302583426</v>
      </c>
      <c r="T37" s="775" t="n">
        <f aca="false">'Exogenous tax and expenses'!T11/'PIB corriente base 1993'!V14/1000</f>
        <v>0.0126546160153983</v>
      </c>
      <c r="U37" s="775" t="n">
        <f aca="false">'Exogenous tax and expenses'!U11/'PIB corriente base 1993'!V14/1000</f>
        <v>0.000694807769874193</v>
      </c>
      <c r="V37" s="775"/>
      <c r="W37" s="775" t="n">
        <f aca="false">'Exogenous tax and expenses'!W11/'PIB corriente base 1993'!$V14/1000</f>
        <v>0.0130590610333592</v>
      </c>
      <c r="X37" s="775" t="n">
        <f aca="false">'Exogenous tax and expenses'!X11/'PIB corriente base 1993'!$V14/1000</f>
        <v>0.00659006201248528</v>
      </c>
      <c r="Y37" s="776" t="n">
        <f aca="false">'Exogenous tax and expenses'!Y11/'PIB corriente base 1993'!V14/1000</f>
        <v>0.000844821419816424</v>
      </c>
      <c r="Z37" s="776"/>
      <c r="AA37" s="776" t="n">
        <f aca="false">'Exogenous tax and expenses'!AA11/'PIB corriente base 1993'!V14/1000</f>
        <v>0.00496732786232554</v>
      </c>
      <c r="AB37" s="776" t="n">
        <f aca="false">'Exogenous tax and expenses'!AB11/'PIB corriente base 1993'!V14/1000</f>
        <v>0.00371425044292621</v>
      </c>
      <c r="AC37" s="776"/>
      <c r="AD37" s="776"/>
      <c r="AE37" s="776"/>
      <c r="AF37" s="776"/>
      <c r="AG37" s="777" t="n">
        <f aca="false">AG25/AH24</f>
        <v>0.0934363354603573</v>
      </c>
      <c r="AH37" s="766"/>
      <c r="AI37" s="777" t="n">
        <f aca="false">E46-D46</f>
        <v>0.0243919488520184</v>
      </c>
      <c r="AJ37" s="778" t="n">
        <f aca="false">(SUM(Q11:X11)-SUM(Y11:AF11)-V11-T11)/'PIB corriente base 1993'!$V14/1000</f>
        <v>0.0246453320732551</v>
      </c>
      <c r="AK37" s="778" t="n">
        <f aca="false">AJ37-AI37</f>
        <v>0.00025338322123673</v>
      </c>
      <c r="AL37" s="1" t="n">
        <f aca="false">'Exogenous tax and expenses'!AL36+1</f>
        <v>1998</v>
      </c>
      <c r="AM37" s="456" t="n">
        <f aca="false">'Exogenous tax and expenses'!AN10/'PIB corriente base 1993'!V13/1000</f>
        <v>0.0317107812394328</v>
      </c>
      <c r="AN37" s="456" t="n">
        <f aca="false">'Exogenous tax and expenses'!AO10/'PIB corriente base 1993'!V13/1000</f>
        <v>0.068057727757387</v>
      </c>
      <c r="AO37" s="456" t="n">
        <f aca="false">'Exogenous tax and expenses'!AP10/'PIB corriente base 1993'!V13/1000</f>
        <v>0.0123514108518862</v>
      </c>
      <c r="AP37" s="456" t="n">
        <f aca="false">'Exogenous tax and expenses'!AQ10/'PIB corriente base 1993'!V13/1000</f>
        <v>0.000661539006122823</v>
      </c>
      <c r="AQ37" s="456" t="n">
        <f aca="false">'Exogenous tax and expenses'!AR10/'PIB corriente base 1993'!V13/1000</f>
        <v>0</v>
      </c>
      <c r="AR37" s="456" t="n">
        <f aca="false">'Exogenous tax and expenses'!AS10/'PIB corriente base 1993'!V13/1000</f>
        <v>0.000333264917331648</v>
      </c>
      <c r="AS37" s="456" t="n">
        <f aca="false">'Exogenous tax and expenses'!AT10/'PIB corriente base 1993'!V13/1000</f>
        <v>0.0127033327129764</v>
      </c>
      <c r="AT37" s="456" t="n">
        <v>0</v>
      </c>
      <c r="AU37" s="456" t="n">
        <v>0</v>
      </c>
    </row>
    <row r="38" customFormat="false" ht="15" hidden="false" customHeight="false" outlineLevel="0" collapsed="false">
      <c r="B38" s="1"/>
      <c r="D38" s="699" t="s">
        <v>1048</v>
      </c>
      <c r="E38" s="699" t="s">
        <v>1049</v>
      </c>
      <c r="F38" s="1"/>
      <c r="G38" s="1"/>
      <c r="H38" s="1"/>
      <c r="I38" s="779"/>
      <c r="J38" s="779"/>
      <c r="K38" s="779"/>
      <c r="L38" s="779"/>
      <c r="M38" s="779"/>
      <c r="N38" s="779"/>
      <c r="O38" s="1"/>
      <c r="P38" s="1" t="n">
        <f aca="false">'Exogenous tax and expenses'!P37+1</f>
        <v>2000</v>
      </c>
      <c r="Q38" s="780" t="n">
        <f aca="false">'Exogenous tax and expenses'!Q12/'PIB corriente base 1993'!V15/1000</f>
        <v>0.00737482979989829</v>
      </c>
      <c r="R38" s="780" t="n">
        <f aca="false">'Exogenous tax and expenses'!R12/'PIB corriente base 1993'!$V15/1000</f>
        <v>0.000792131724972759</v>
      </c>
      <c r="S38" s="780" t="n">
        <f aca="false">'Exogenous tax and expenses'!S12/'PIB corriente base 1993'!V15/1000</f>
        <v>0.00689589045722683</v>
      </c>
      <c r="T38" s="780" t="n">
        <f aca="false">'Exogenous tax and expenses'!T12/'PIB corriente base 1993'!V15/1000</f>
        <v>0.0122384068851027</v>
      </c>
      <c r="U38" s="780" t="n">
        <f aca="false">'Exogenous tax and expenses'!U12/'PIB corriente base 1993'!V15/1000</f>
        <v>0.00171445582114806</v>
      </c>
      <c r="V38" s="780"/>
      <c r="W38" s="780" t="n">
        <f aca="false">'Exogenous tax and expenses'!W12/'PIB corriente base 1993'!$V15/1000</f>
        <v>0.0132482904466693</v>
      </c>
      <c r="X38" s="780" t="n">
        <f aca="false">'Exogenous tax and expenses'!X12/'PIB corriente base 1993'!$V15/1000</f>
        <v>0.00625201275153695</v>
      </c>
      <c r="Y38" s="775" t="n">
        <f aca="false">'Exogenous tax and expenses'!Y12/'PIB corriente base 1993'!V15/1000</f>
        <v>0.000757917523110217</v>
      </c>
      <c r="Z38" s="775"/>
      <c r="AA38" s="775" t="n">
        <f aca="false">'Exogenous tax and expenses'!AA12/'PIB corriente base 1993'!V15/1000</f>
        <v>0.00457708734050099</v>
      </c>
      <c r="AB38" s="775" t="n">
        <f aca="false">'Exogenous tax and expenses'!AB12/'PIB corriente base 1993'!V15/1000</f>
        <v>0.00384670608858436</v>
      </c>
      <c r="AC38" s="775"/>
      <c r="AD38" s="775"/>
      <c r="AE38" s="775"/>
      <c r="AF38" s="775"/>
      <c r="AG38" s="775" t="n">
        <f aca="false">AG26/AH25</f>
        <v>0.116500959049965</v>
      </c>
      <c r="AH38" s="547"/>
      <c r="AI38" s="781" t="n">
        <f aca="false">E47-D47</f>
        <v>0.0270369520828267</v>
      </c>
      <c r="AJ38" s="778" t="n">
        <f aca="false">(SUM(Q12:X12)-SUM(Y12:AF12)-V12-T12)/'PIB corriente base 1993'!$V15/1000</f>
        <v>0.0270959000492566</v>
      </c>
      <c r="AK38" s="778" t="n">
        <f aca="false">AJ38-AI38</f>
        <v>5.89479664299605E-005</v>
      </c>
      <c r="AL38" s="1" t="n">
        <f aca="false">'Exogenous tax and expenses'!AL37+1</f>
        <v>1999</v>
      </c>
      <c r="AM38" s="456" t="n">
        <f aca="false">'Exogenous tax and expenses'!AN11/'PIB corriente base 1993'!V14/1000</f>
        <v>0.0325898294617152</v>
      </c>
      <c r="AN38" s="456" t="n">
        <f aca="false">'Exogenous tax and expenses'!AO11/'PIB corriente base 1993'!V14/1000</f>
        <v>0.0641814789660268</v>
      </c>
      <c r="AO38" s="456" t="n">
        <f aca="false">'Exogenous tax and expenses'!AP11/'PIB corriente base 1993'!V14/1000</f>
        <v>0.0126546160153983</v>
      </c>
      <c r="AP38" s="456" t="n">
        <f aca="false">'Exogenous tax and expenses'!AQ11/'PIB corriente base 1993'!V14/1000</f>
        <v>0.000694807769874193</v>
      </c>
      <c r="AQ38" s="456" t="n">
        <f aca="false">'Exogenous tax and expenses'!AR11/'PIB corriente base 1993'!V14/1000</f>
        <v>0</v>
      </c>
      <c r="AR38" s="456" t="n">
        <f aca="false">'Exogenous tax and expenses'!AS11/'PIB corriente base 1993'!V14/1000</f>
        <v>0.00135935697421974</v>
      </c>
      <c r="AS38" s="456" t="n">
        <f aca="false">'Exogenous tax and expenses'!AT11/'PIB corriente base 1993'!V14/1000</f>
        <v>0.0130590610333592</v>
      </c>
      <c r="AT38" s="456" t="n">
        <v>0</v>
      </c>
      <c r="AU38" s="456" t="n">
        <v>0</v>
      </c>
    </row>
    <row r="39" customFormat="false" ht="15" hidden="false" customHeight="false" outlineLevel="0" collapsed="false">
      <c r="B39" s="1"/>
      <c r="C39" s="783"/>
      <c r="D39" s="699"/>
      <c r="E39" s="699"/>
      <c r="F39" s="1"/>
      <c r="G39" s="1"/>
      <c r="H39" s="1"/>
      <c r="I39" s="779"/>
      <c r="J39" s="779"/>
      <c r="K39" s="779"/>
      <c r="L39" s="779"/>
      <c r="M39" s="779"/>
      <c r="N39" s="779"/>
      <c r="P39" s="1" t="n">
        <f aca="false">'Exogenous tax and expenses'!P38+1</f>
        <v>2001</v>
      </c>
      <c r="Q39" s="775" t="n">
        <f aca="false">'Exogenous tax and expenses'!Q13/'PIB corriente base 1993'!V16/1000</f>
        <v>0.00742320990503864</v>
      </c>
      <c r="R39" s="775" t="n">
        <f aca="false">'Exogenous tax and expenses'!R13/'PIB corriente base 1993'!$V16/1000</f>
        <v>0.000792725123110313</v>
      </c>
      <c r="S39" s="775" t="n">
        <f aca="false">'Exogenous tax and expenses'!S13/'PIB corriente base 1993'!V16/1000</f>
        <v>0.00589041397180548</v>
      </c>
      <c r="T39" s="775" t="n">
        <f aca="false">'Exogenous tax and expenses'!T13/'PIB corriente base 1993'!V16/1000</f>
        <v>0.012726717103591</v>
      </c>
      <c r="U39" s="775" t="n">
        <f aca="false">'Exogenous tax and expenses'!U13/'PIB corriente base 1993'!V16/1000</f>
        <v>0.000840551046084029</v>
      </c>
      <c r="V39" s="775" t="n">
        <f aca="false">'Exogenous tax and expenses'!V13/'PIB corriente base 1993'!V16/1000</f>
        <v>0.0109159580432705</v>
      </c>
      <c r="W39" s="775" t="n">
        <f aca="false">'Exogenous tax and expenses'!W13/'PIB corriente base 1993'!$V16/1000</f>
        <v>0.0124450443431941</v>
      </c>
      <c r="X39" s="775" t="n">
        <f aca="false">'Exogenous tax and expenses'!X13/'PIB corriente base 1993'!$V16/1000</f>
        <v>0.006473913242637</v>
      </c>
      <c r="Y39" s="776" t="n">
        <f aca="false">'Exogenous tax and expenses'!Y13/'PIB corriente base 1993'!V16/1000</f>
        <v>0.000688420104483218</v>
      </c>
      <c r="Z39" s="776"/>
      <c r="AA39" s="776" t="n">
        <f aca="false">'Exogenous tax and expenses'!AA13/'PIB corriente base 1993'!V16/1000</f>
        <v>0.00458720783308938</v>
      </c>
      <c r="AB39" s="776" t="n">
        <f aca="false">'Exogenous tax and expenses'!AB13/'PIB corriente base 1993'!V16/1000</f>
        <v>0.00391896562603379</v>
      </c>
      <c r="AC39" s="776"/>
      <c r="AD39" s="776"/>
      <c r="AE39" s="776"/>
      <c r="AF39" s="776"/>
      <c r="AG39" s="777" t="n">
        <f aca="false">AG27/AH26</f>
        <v>0.112608351744783</v>
      </c>
      <c r="AH39" s="766"/>
      <c r="AI39" s="777" t="n">
        <f aca="false">E48-D48</f>
        <v>0.0241675689156573</v>
      </c>
      <c r="AJ39" s="778" t="n">
        <f aca="false">(SUM(Q13:X13)-SUM(Y13:AF13)-V13-T13)/'PIB corriente base 1993'!$V16/1000</f>
        <v>0.0246712640682631</v>
      </c>
      <c r="AK39" s="778" t="n">
        <f aca="false">AJ39-AI39</f>
        <v>0.000503695152605788</v>
      </c>
      <c r="AL39" s="1" t="n">
        <f aca="false">'Exogenous tax and expenses'!AL38+1</f>
        <v>2000</v>
      </c>
      <c r="AM39" s="456" t="n">
        <f aca="false">'Exogenous tax and expenses'!AN12/'PIB corriente base 1993'!V15/1000</f>
        <v>0.0367874987490078</v>
      </c>
      <c r="AN39" s="456" t="n">
        <f aca="false">'Exogenous tax and expenses'!AO12/'PIB corriente base 1993'!V15/1000</f>
        <v>0.0668835092793307</v>
      </c>
      <c r="AO39" s="456" t="n">
        <f aca="false">'Exogenous tax and expenses'!AP12/'PIB corriente base 1993'!V15/1000</f>
        <v>0.0122384068851027</v>
      </c>
      <c r="AP39" s="456" t="n">
        <f aca="false">'Exogenous tax and expenses'!AQ12/'PIB corriente base 1993'!V15/1000</f>
        <v>0.00171445582114806</v>
      </c>
      <c r="AQ39" s="456" t="n">
        <f aca="false">'Exogenous tax and expenses'!AR12/'PIB corriente base 1993'!V15/1000</f>
        <v>0</v>
      </c>
      <c r="AR39" s="456" t="n">
        <f aca="false">'Exogenous tax and expenses'!AS12/'PIB corriente base 1993'!V15/1000</f>
        <v>0.00124400896642886</v>
      </c>
      <c r="AS39" s="456" t="n">
        <f aca="false">'Exogenous tax and expenses'!AT12/'PIB corriente base 1993'!V15/1000</f>
        <v>0.0132482904466693</v>
      </c>
      <c r="AT39" s="456" t="n">
        <v>0</v>
      </c>
      <c r="AU39" s="456" t="n">
        <v>0</v>
      </c>
    </row>
    <row r="40" customFormat="false" ht="15" hidden="false" customHeight="false" outlineLevel="0" collapsed="false">
      <c r="A40" s="0" t="n">
        <f aca="false">'Cuenta Ahorro-Inversión-Financi'!AV81</f>
        <v>1993</v>
      </c>
      <c r="B40" s="1"/>
      <c r="C40" s="1"/>
      <c r="D40" s="745" t="n">
        <f aca="false">'Cuenta Ahorro-Inversión-Financi'!AW42</f>
        <v>-0.0176975770327058</v>
      </c>
      <c r="E40" s="745" t="n">
        <f aca="false">'Cuenta Ahorro-Inversión-Financi'!AX81</f>
        <v>-0.000446069275463893</v>
      </c>
      <c r="F40" s="1"/>
      <c r="G40" s="1"/>
      <c r="H40" s="1"/>
      <c r="I40" s="779"/>
      <c r="J40" s="779"/>
      <c r="K40" s="779"/>
      <c r="L40" s="779"/>
      <c r="M40" s="779"/>
      <c r="N40" s="779"/>
      <c r="O40" s="1"/>
      <c r="P40" s="1" t="n">
        <f aca="false">'Exogenous tax and expenses'!P39+1</f>
        <v>2002</v>
      </c>
      <c r="Q40" s="780" t="n">
        <f aca="false">'Exogenous tax and expenses'!Q14/'PIB corriente base 1993'!V17/1000</f>
        <v>0.00550732676330524</v>
      </c>
      <c r="R40" s="780" t="n">
        <f aca="false">'Exogenous tax and expenses'!R14/'PIB corriente base 1993'!$V17/1000</f>
        <v>0.000517949435432862</v>
      </c>
      <c r="S40" s="780" t="n">
        <f aca="false">'Exogenous tax and expenses'!S14/'PIB corriente base 1993'!V17/1000</f>
        <v>0.005027555073672</v>
      </c>
      <c r="T40" s="780" t="n">
        <f aca="false">'Exogenous tax and expenses'!T14/'PIB corriente base 1993'!V17/1000</f>
        <v>0.014342468925354</v>
      </c>
      <c r="U40" s="780" t="n">
        <f aca="false">'Exogenous tax and expenses'!U14/'PIB corriente base 1993'!V17/1000</f>
        <v>0.000696250533678235</v>
      </c>
      <c r="V40" s="780" t="n">
        <f aca="false">'Exogenous tax and expenses'!V14/'PIB corriente base 1993'!V17/1000</f>
        <v>0.0155394867377431</v>
      </c>
      <c r="W40" s="780" t="n">
        <f aca="false">'Exogenous tax and expenses'!W14/'PIB corriente base 1993'!$V17/1000</f>
        <v>0.00963695804700716</v>
      </c>
      <c r="X40" s="780" t="n">
        <f aca="false">'Exogenous tax and expenses'!X14/'PIB corriente base 1993'!$V17/1000</f>
        <v>0.00578721074243246</v>
      </c>
      <c r="Y40" s="775" t="n">
        <f aca="false">'Exogenous tax and expenses'!Y14/'PIB corriente base 1993'!V17/1000</f>
        <v>0.000674115579920293</v>
      </c>
      <c r="Z40" s="775"/>
      <c r="AA40" s="775" t="n">
        <f aca="false">'Exogenous tax and expenses'!AA14/'PIB corriente base 1993'!V17/1000</f>
        <v>0.00393016113979006</v>
      </c>
      <c r="AB40" s="775" t="n">
        <f aca="false">'Exogenous tax and expenses'!AB14/'PIB corriente base 1993'!V17/1000</f>
        <v>0.00286856679917758</v>
      </c>
      <c r="AC40" s="775"/>
      <c r="AD40" s="775"/>
      <c r="AE40" s="775"/>
      <c r="AF40" s="775"/>
      <c r="AG40" s="775" t="n">
        <f aca="false">AG28/AH27</f>
        <v>0.109137122682277</v>
      </c>
      <c r="AH40" s="547"/>
      <c r="AI40" s="781" t="n">
        <f aca="false">E49-D49</f>
        <v>0.0182604777739804</v>
      </c>
      <c r="AJ40" s="778" t="n">
        <f aca="false">(SUM(Q14:X14)-SUM(Y14:AF14)-V14-T14)/'PIB corriente base 1993'!$V17/1000</f>
        <v>0.01970040707664</v>
      </c>
      <c r="AK40" s="778" t="n">
        <f aca="false">AJ40-AI40</f>
        <v>0.00143992930265964</v>
      </c>
      <c r="AL40" s="1" t="n">
        <f aca="false">'Exogenous tax and expenses'!AL39+1</f>
        <v>2001</v>
      </c>
      <c r="AM40" s="456" t="n">
        <f aca="false">'Exogenous tax and expenses'!AN13/'PIB corriente base 1993'!V16/1000</f>
        <v>0.0375563949409347</v>
      </c>
      <c r="AN40" s="456" t="n">
        <f aca="false">'Exogenous tax and expenses'!AO13/'PIB corriente base 1993'!V16/1000</f>
        <v>0.0571313538093506</v>
      </c>
      <c r="AO40" s="456" t="n">
        <f aca="false">'Exogenous tax and expenses'!AP13/'PIB corriente base 1993'!V16/1000</f>
        <v>0.012726717103591</v>
      </c>
      <c r="AP40" s="456" t="n">
        <f aca="false">'Exogenous tax and expenses'!AQ13/'PIB corriente base 1993'!V16/1000</f>
        <v>0.000840551046084029</v>
      </c>
      <c r="AQ40" s="456" t="n">
        <f aca="false">'Exogenous tax and expenses'!AR13/'PIB corriente base 1993'!V16/1000</f>
        <v>0.0109159580432705</v>
      </c>
      <c r="AR40" s="456" t="n">
        <f aca="false">'Exogenous tax and expenses'!AS13/'PIB corriente base 1993'!V16/1000</f>
        <v>0.00112526127064126</v>
      </c>
      <c r="AS40" s="456" t="n">
        <f aca="false">'Exogenous tax and expenses'!AT13/'PIB corriente base 1993'!V16/1000</f>
        <v>0.0124450443431941</v>
      </c>
      <c r="AT40" s="456" t="n">
        <v>0</v>
      </c>
      <c r="AU40" s="456" t="n">
        <v>0</v>
      </c>
    </row>
    <row r="41" customFormat="false" ht="15" hidden="false" customHeight="false" outlineLevel="0" collapsed="false">
      <c r="A41" s="0" t="n">
        <f aca="false">'Cuenta Ahorro-Inversión-Financi'!AV82</f>
        <v>1994</v>
      </c>
      <c r="B41" s="1"/>
      <c r="C41" s="1"/>
      <c r="D41" s="746" t="n">
        <f aca="false">'Cuenta Ahorro-Inversión-Financi'!AW43</f>
        <v>-0.0265706733334723</v>
      </c>
      <c r="E41" s="746" t="n">
        <f aca="false">'Cuenta Ahorro-Inversión-Financi'!AX82</f>
        <v>-0.0130853294610615</v>
      </c>
      <c r="F41" s="1"/>
      <c r="G41" s="1"/>
      <c r="H41" s="1"/>
      <c r="I41" s="779"/>
      <c r="J41" s="779"/>
      <c r="K41" s="779"/>
      <c r="L41" s="779"/>
      <c r="M41" s="779"/>
      <c r="N41" s="779"/>
      <c r="O41" s="1"/>
      <c r="P41" s="1" t="n">
        <f aca="false">'Exogenous tax and expenses'!P40+1</f>
        <v>2003</v>
      </c>
      <c r="Q41" s="775" t="n">
        <f aca="false">'Exogenous tax and expenses'!Q15/'PIB corriente base 1993'!V18/1000</f>
        <v>0.00778608650355386</v>
      </c>
      <c r="R41" s="775" t="n">
        <f aca="false">'Exogenous tax and expenses'!R15/'PIB corriente base 1993'!$V18/1000</f>
        <v>0.000548714663773305</v>
      </c>
      <c r="S41" s="775" t="n">
        <f aca="false">'Exogenous tax and expenses'!S15/'PIB corriente base 1993'!V18/1000</f>
        <v>0.00574542115068131</v>
      </c>
      <c r="T41" s="775" t="n">
        <f aca="false">'Exogenous tax and expenses'!T15/'PIB corriente base 1993'!V18/1000</f>
        <v>0.0132297237331965</v>
      </c>
      <c r="U41" s="775" t="n">
        <f aca="false">'Exogenous tax and expenses'!U15/'PIB corriente base 1993'!V18/1000</f>
        <v>0.000681825883738911</v>
      </c>
      <c r="V41" s="775" t="n">
        <f aca="false">'Exogenous tax and expenses'!V15/'PIB corriente base 1993'!V18/1000</f>
        <v>0.0156959033371192</v>
      </c>
      <c r="W41" s="775" t="n">
        <f aca="false">'Exogenous tax and expenses'!W15/'PIB corriente base 1993'!$V18/1000</f>
        <v>0.0118026727120887</v>
      </c>
      <c r="X41" s="775" t="n">
        <f aca="false">'Exogenous tax and expenses'!X15/'PIB corriente base 1993'!$V18/1000</f>
        <v>0.00496580829870134</v>
      </c>
      <c r="Y41" s="776" t="n">
        <f aca="false">'Exogenous tax and expenses'!Y15/'PIB corriente base 1993'!V18/1000</f>
        <v>0.000682558068297916</v>
      </c>
      <c r="Z41" s="776"/>
      <c r="AA41" s="776" t="n">
        <f aca="false">'Exogenous tax and expenses'!AA15/'PIB corriente base 1993'!V18/1000</f>
        <v>0.00392285240873266</v>
      </c>
      <c r="AB41" s="776" t="n">
        <f aca="false">'Exogenous tax and expenses'!AB15/'PIB corriente base 1993'!V18/1000</f>
        <v>0.00287332305220327</v>
      </c>
      <c r="AC41" s="776"/>
      <c r="AD41" s="776"/>
      <c r="AE41" s="776"/>
      <c r="AF41" s="776"/>
      <c r="AG41" s="777" t="n">
        <f aca="false">AG29/AH28</f>
        <v>0.125975670336094</v>
      </c>
      <c r="AH41" s="766"/>
      <c r="AI41" s="784" t="n">
        <f aca="false">E50-D50</f>
        <v>0.0228308640419814</v>
      </c>
      <c r="AJ41" s="778" t="n">
        <f aca="false">(SUM(Q15:X15)-SUM(Y15:AF15)-V15-T15)/'PIB corriente base 1993'!$V18/1000</f>
        <v>0.0240517956833036</v>
      </c>
      <c r="AK41" s="778" t="n">
        <f aca="false">AJ41-AI41</f>
        <v>0.00122093164132225</v>
      </c>
      <c r="AL41" s="1" t="n">
        <f aca="false">'Exogenous tax and expenses'!AL40+1</f>
        <v>2002</v>
      </c>
      <c r="AM41" s="456" t="n">
        <f aca="false">'Exogenous tax and expenses'!AN14/'PIB corriente base 1993'!V17/1000</f>
        <v>0.0285345663066953</v>
      </c>
      <c r="AN41" s="456" t="n">
        <f aca="false">'Exogenous tax and expenses'!AO14/'PIB corriente base 1993'!V17/1000</f>
        <v>0.0487624518556394</v>
      </c>
      <c r="AO41" s="456" t="n">
        <f aca="false">'Exogenous tax and expenses'!AP14/'PIB corriente base 1993'!V17/1000</f>
        <v>0.014342468925354</v>
      </c>
      <c r="AP41" s="456" t="n">
        <f aca="false">'Exogenous tax and expenses'!AQ14/'PIB corriente base 1993'!V17/1000</f>
        <v>0.000696250533678235</v>
      </c>
      <c r="AQ41" s="456" t="n">
        <f aca="false">'Exogenous tax and expenses'!AR14/'PIB corriente base 1993'!V17/1000</f>
        <v>0.0155394867377431</v>
      </c>
      <c r="AR41" s="456" t="n">
        <f aca="false">'Exogenous tax and expenses'!AS14/'PIB corriente base 1993'!V17/1000</f>
        <v>0.00071423922595586</v>
      </c>
      <c r="AS41" s="456" t="n">
        <f aca="false">'Exogenous tax and expenses'!AT14/'PIB corriente base 1993'!V17/1000</f>
        <v>0.00963695804700716</v>
      </c>
      <c r="AT41" s="456" t="n">
        <v>0</v>
      </c>
      <c r="AU41" s="456" t="n">
        <v>0</v>
      </c>
    </row>
    <row r="42" customFormat="false" ht="15" hidden="false" customHeight="false" outlineLevel="0" collapsed="false">
      <c r="A42" s="0" t="n">
        <f aca="false">'Cuenta Ahorro-Inversión-Financi'!AV83</f>
        <v>1995</v>
      </c>
      <c r="B42" s="1"/>
      <c r="C42" s="1"/>
      <c r="D42" s="745" t="n">
        <f aca="false">'Cuenta Ahorro-Inversión-Financi'!AW44</f>
        <v>-0.0223256780195043</v>
      </c>
      <c r="E42" s="745" t="n">
        <f aca="false">'Cuenta Ahorro-Inversión-Financi'!AX83</f>
        <v>-0.00637934959758819</v>
      </c>
      <c r="F42" s="1"/>
      <c r="G42" s="1"/>
      <c r="H42" s="1"/>
      <c r="I42" s="779"/>
      <c r="J42" s="779"/>
      <c r="K42" s="779"/>
      <c r="L42" s="779"/>
      <c r="M42" s="779"/>
      <c r="N42" s="779"/>
      <c r="O42" s="1"/>
      <c r="P42" s="1" t="n">
        <f aca="false">'Exogenous tax and expenses'!P41+1</f>
        <v>2004</v>
      </c>
      <c r="Q42" s="780" t="n">
        <f aca="false">'Exogenous tax and expenses'!Q16/1000/'PIB corriente base 2004'!$X8</f>
        <v>0.0091641635742257</v>
      </c>
      <c r="R42" s="780" t="n">
        <f aca="false">'Exogenous tax and expenses'!R16/1000/'PIB corriente base 2004'!$X8</f>
        <v>0.000657963741379203</v>
      </c>
      <c r="S42" s="780" t="n">
        <f aca="false">'Exogenous tax and expenses'!S16/1000/'PIB corriente base 2004'!X8</f>
        <v>0.00658362471478163</v>
      </c>
      <c r="T42" s="780" t="n">
        <f aca="false">'Exogenous tax and expenses'!T16/1000/'PIB corriente base 2004'!X8</f>
        <v>0.0110870883008554</v>
      </c>
      <c r="U42" s="780" t="n">
        <f aca="false">'Exogenous tax and expenses'!U16/1000/'PIB corriente base 2004'!X8</f>
        <v>0.000707872826421854</v>
      </c>
      <c r="V42" s="780" t="n">
        <f aca="false">'Exogenous tax and expenses'!V16/1000/'PIB corriente base 2004'!X8</f>
        <v>0.015835129642473</v>
      </c>
      <c r="W42" s="780" t="n">
        <f aca="false">'Exogenous tax and expenses'!W16/1000/'PIB corriente base 2004'!$X8</f>
        <v>0.0136326919048979</v>
      </c>
      <c r="X42" s="780" t="n">
        <f aca="false">'Exogenous tax and expenses'!X16/1000/'PIB corriente base 2004'!$X8</f>
        <v>0.00417343120345224</v>
      </c>
      <c r="Y42" s="775" t="n">
        <f aca="false">'Exogenous tax and expenses'!Y16/1000/'PIB corriente base 2004'!X8</f>
        <v>0.000602714526981359</v>
      </c>
      <c r="Z42" s="775"/>
      <c r="AA42" s="775" t="n">
        <f aca="false">'Exogenous tax and expenses'!AA16/1000/'PIB corriente base 2004'!X8</f>
        <v>0.00302886361525675</v>
      </c>
      <c r="AB42" s="775" t="n">
        <f aca="false">'Exogenous tax and expenses'!AB16/1000/'PIB corriente base 2004'!X8</f>
        <v>0.00321336233585605</v>
      </c>
      <c r="AC42" s="775"/>
      <c r="AD42" s="775"/>
      <c r="AE42" s="775"/>
      <c r="AF42" s="775"/>
      <c r="AG42" s="547"/>
      <c r="AH42" s="547"/>
      <c r="AI42" s="781" t="n">
        <f aca="false">E51-D51</f>
        <v>0.0257067013730123</v>
      </c>
      <c r="AJ42" s="778" t="n">
        <f aca="false">(SUM(Q16:X16)-SUM(Y16:AF16)-V16-T16)/1000/'PIB corriente base 2004'!X8</f>
        <v>0.0280748074870643</v>
      </c>
      <c r="AK42" s="778" t="n">
        <f aca="false">AJ42-AI42</f>
        <v>0.00236810611405198</v>
      </c>
      <c r="AL42" s="1" t="n">
        <f aca="false">'Exogenous tax and expenses'!AL41+1</f>
        <v>2003</v>
      </c>
      <c r="AM42" s="456" t="n">
        <f aca="false">'Exogenous tax and expenses'!AN15/'PIB corriente base 1993'!V18/1000</f>
        <v>0.0392401417348195</v>
      </c>
      <c r="AN42" s="456" t="n">
        <f aca="false">'Exogenous tax and expenses'!AO15/'PIB corriente base 1993'!V18/1000</f>
        <v>0.0557250628078845</v>
      </c>
      <c r="AO42" s="456" t="n">
        <f aca="false">'Exogenous tax and expenses'!AP15/'PIB corriente base 1993'!V18/1000</f>
        <v>0.0132297237331965</v>
      </c>
      <c r="AP42" s="456" t="n">
        <f aca="false">'Exogenous tax and expenses'!AQ15/'PIB corriente base 1993'!V18/1000</f>
        <v>0.000681825883738911</v>
      </c>
      <c r="AQ42" s="456" t="n">
        <f aca="false">'Exogenous tax and expenses'!AR15/'PIB corriente base 1993'!V18/1000</f>
        <v>0.0156959033371192</v>
      </c>
      <c r="AR42" s="456" t="n">
        <f aca="false">'Exogenous tax and expenses'!AS15/'PIB corriente base 1993'!V18/1000</f>
        <v>0.000752152058542803</v>
      </c>
      <c r="AS42" s="456" t="n">
        <f aca="false">'Exogenous tax and expenses'!AT15/'PIB corriente base 1993'!V18/1000</f>
        <v>0.0118026727120887</v>
      </c>
      <c r="AT42" s="456" t="n">
        <v>0</v>
      </c>
      <c r="AU42" s="456" t="n">
        <v>0</v>
      </c>
    </row>
    <row r="43" customFormat="false" ht="15" hidden="false" customHeight="false" outlineLevel="0" collapsed="false">
      <c r="A43" s="0" t="n">
        <f aca="false">'Cuenta Ahorro-Inversión-Financi'!AV84</f>
        <v>1996</v>
      </c>
      <c r="B43" s="1"/>
      <c r="C43" s="1"/>
      <c r="D43" s="746" t="n">
        <f aca="false">'Cuenta Ahorro-Inversión-Financi'!AW45</f>
        <v>-0.0232748001171907</v>
      </c>
      <c r="E43" s="746" t="n">
        <f aca="false">'Cuenta Ahorro-Inversión-Financi'!AX84</f>
        <v>-0.00528730473079139</v>
      </c>
      <c r="F43" s="1"/>
      <c r="G43" s="1"/>
      <c r="H43" s="1"/>
      <c r="I43" s="1"/>
      <c r="J43" s="1"/>
      <c r="K43" s="1"/>
      <c r="L43" s="1"/>
      <c r="M43" s="1"/>
      <c r="N43" s="1"/>
      <c r="O43" s="1"/>
      <c r="P43" s="1" t="n">
        <f aca="false">'Exogenous tax and expenses'!P42+1</f>
        <v>2005</v>
      </c>
      <c r="Q43" s="775" t="n">
        <f aca="false">'Exogenous tax and expenses'!Q17/1000/'PIB corriente base 2004'!X9</f>
        <v>0.00961880222981258</v>
      </c>
      <c r="R43" s="775" t="n">
        <f aca="false">'Exogenous tax and expenses'!R17/1000/'PIB corriente base 2004'!$X9</f>
        <v>0.000710855766254804</v>
      </c>
      <c r="S43" s="775" t="n">
        <f aca="false">'Exogenous tax and expenses'!S17/1000/'PIB corriente base 2004'!X9</f>
        <v>0.00652260800262183</v>
      </c>
      <c r="T43" s="775" t="n">
        <f aca="false">'Exogenous tax and expenses'!T17/1000/'PIB corriente base 2004'!X9</f>
        <v>0.0103295874494527</v>
      </c>
      <c r="U43" s="775" t="n">
        <f aca="false">'Exogenous tax and expenses'!U17/1000/'PIB corriente base 2004'!X9</f>
        <v>0.000673064923836705</v>
      </c>
      <c r="V43" s="775" t="n">
        <f aca="false">'Exogenous tax and expenses'!V17/1000/'PIB corriente base 2004'!X9</f>
        <v>0.0161951464097716</v>
      </c>
      <c r="W43" s="775" t="n">
        <f aca="false">'Exogenous tax and expenses'!W17/1000/'PIB corriente base 2004'!$X9</f>
        <v>0.0139841677041514</v>
      </c>
      <c r="X43" s="775" t="n">
        <f aca="false">'Exogenous tax and expenses'!X17/1000/'PIB corriente base 2004'!$X9</f>
        <v>0.00391930834033625</v>
      </c>
      <c r="Y43" s="776" t="n">
        <f aca="false">'Exogenous tax and expenses'!Y17/1000/'PIB corriente base 2004'!X9</f>
        <v>0.000760956650522766</v>
      </c>
      <c r="Z43" s="776"/>
      <c r="AA43" s="776" t="n">
        <f aca="false">'Exogenous tax and expenses'!AA17/1000/'PIB corriente base 2004'!X9</f>
        <v>0.00264026760171751</v>
      </c>
      <c r="AB43" s="776" t="n">
        <f aca="false">'Exogenous tax and expenses'!AB17/1000/'PIB corriente base 2004'!X9</f>
        <v>0.00333084778169366</v>
      </c>
      <c r="AC43" s="776"/>
      <c r="AD43" s="776"/>
      <c r="AE43" s="776"/>
      <c r="AF43" s="776"/>
      <c r="AG43" s="766"/>
      <c r="AH43" s="766"/>
      <c r="AI43" s="777" t="n">
        <f aca="false">E52-D52</f>
        <v>0.0254817483018377</v>
      </c>
      <c r="AJ43" s="778" t="n">
        <f aca="false">(SUM(Q17:X17)-SUM(Y17:AF17)-V17-T17)/1000/'PIB corriente base 2004'!X9</f>
        <v>0.0286967349330796</v>
      </c>
      <c r="AK43" s="778" t="n">
        <f aca="false">AJ43-AI43</f>
        <v>0.00321498663124194</v>
      </c>
      <c r="AL43" s="1" t="n">
        <f aca="false">'Exogenous tax and expenses'!AL42+1</f>
        <v>2004</v>
      </c>
      <c r="AM43" s="456" t="n">
        <f aca="false">'Exogenous tax and expenses'!AN16/1000/'PIB corriente base 2004'!X8</f>
        <v>0.045945982199437</v>
      </c>
      <c r="AN43" s="456" t="n">
        <f aca="false">'Exogenous tax and expenses'!AO16/1000/'PIB corriente base 2004'!X8</f>
        <v>0.0638548317195584</v>
      </c>
      <c r="AO43" s="456" t="n">
        <f aca="false">'Exogenous tax and expenses'!AP16/1000/'PIB corriente base 2004'!X8</f>
        <v>0.0110870883008554</v>
      </c>
      <c r="AP43" s="456" t="n">
        <f aca="false">'Exogenous tax and expenses'!AQ16/1000/'PIB corriente base 2004'!X8</f>
        <v>0.000707872826421854</v>
      </c>
      <c r="AQ43" s="456" t="n">
        <f aca="false">'Exogenous tax and expenses'!AR16/1000/'PIB corriente base 2004'!X8</f>
        <v>0.015835129642473</v>
      </c>
      <c r="AR43" s="456" t="n">
        <f aca="false">'Exogenous tax and expenses'!AS16/1000/'PIB corriente base 2004'!X8</f>
        <v>0.0010293988014194</v>
      </c>
      <c r="AS43" s="456" t="n">
        <f aca="false">'Exogenous tax and expenses'!AT16/1000/'PIB corriente base 2004'!X8</f>
        <v>0.0136326919048979</v>
      </c>
      <c r="AT43" s="456" t="n">
        <v>0</v>
      </c>
      <c r="AU43" s="456" t="n">
        <v>0</v>
      </c>
    </row>
    <row r="44" customFormat="false" ht="15" hidden="false" customHeight="false" outlineLevel="0" collapsed="false">
      <c r="A44" s="0" t="n">
        <f aca="false">'Cuenta Ahorro-Inversión-Financi'!AV85</f>
        <v>1997</v>
      </c>
      <c r="B44" s="1"/>
      <c r="C44" s="1"/>
      <c r="D44" s="745" t="n">
        <f aca="false">'Cuenta Ahorro-Inversión-Financi'!AW46</f>
        <v>-0.0208020897656273</v>
      </c>
      <c r="E44" s="745" t="n">
        <f aca="false">'Cuenta Ahorro-Inversión-Financi'!AX85</f>
        <v>-0.00315594528811225</v>
      </c>
      <c r="F44" s="1"/>
      <c r="G44" s="456"/>
      <c r="H44" s="1"/>
      <c r="I44" s="1"/>
      <c r="J44" s="1"/>
      <c r="K44" s="1"/>
      <c r="L44" s="1"/>
      <c r="M44" s="1"/>
      <c r="N44" s="1"/>
      <c r="O44" s="1"/>
      <c r="P44" s="1" t="n">
        <f aca="false">'Exogenous tax and expenses'!P43+1</f>
        <v>2006</v>
      </c>
      <c r="Q44" s="780" t="n">
        <f aca="false">'Exogenous tax and expenses'!Q18/1000/'PIB corriente base 2004'!X10</f>
        <v>0.00940560535877528</v>
      </c>
      <c r="R44" s="780" t="n">
        <f aca="false">'Exogenous tax and expenses'!R18/1000/'PIB corriente base 2004'!$X10</f>
        <v>0.000646805566494997</v>
      </c>
      <c r="S44" s="780" t="n">
        <f aca="false">'Exogenous tax and expenses'!S18/1000/'PIB corriente base 2004'!X10</f>
        <v>0.00678386170042615</v>
      </c>
      <c r="T44" s="780" t="n">
        <f aca="false">'Exogenous tax and expenses'!T18/1000/'PIB corriente base 2004'!X10</f>
        <v>0.00918087272210537</v>
      </c>
      <c r="U44" s="780" t="n">
        <f aca="false">'Exogenous tax and expenses'!U18/1000/'PIB corriente base 2004'!X10</f>
        <v>0.000556280415991225</v>
      </c>
      <c r="V44" s="780" t="n">
        <f aca="false">'Exogenous tax and expenses'!V18/1000/'PIB corriente base 2004'!X10</f>
        <v>0.0163229714661409</v>
      </c>
      <c r="W44" s="780" t="n">
        <f aca="false">'Exogenous tax and expenses'!W18/1000/'PIB corriente base 2004'!$X10</f>
        <v>0.0141131235333867</v>
      </c>
      <c r="X44" s="780" t="n">
        <f aca="false">'Exogenous tax and expenses'!X18/1000/'PIB corriente base 2004'!$X10</f>
        <v>0.00340537699689386</v>
      </c>
      <c r="Y44" s="775" t="n">
        <f aca="false">'Exogenous tax and expenses'!Y18/1000/'PIB corriente base 2004'!X10</f>
        <v>0.000833500270706357</v>
      </c>
      <c r="Z44" s="775"/>
      <c r="AA44" s="775" t="n">
        <f aca="false">'Exogenous tax and expenses'!AA18/1000/'PIB corriente base 2004'!X10</f>
        <v>0.00235497081001743</v>
      </c>
      <c r="AB44" s="775" t="n">
        <f aca="false">'Exogenous tax and expenses'!AB18/1000/'PIB corriente base 2004'!X10</f>
        <v>0.0039087534319118</v>
      </c>
      <c r="AC44" s="775"/>
      <c r="AD44" s="775"/>
      <c r="AE44" s="775"/>
      <c r="AF44" s="775"/>
      <c r="AG44" s="547"/>
      <c r="AH44" s="547"/>
      <c r="AI44" s="781" t="n">
        <f aca="false">E53-D53</f>
        <v>0.0256915118131561</v>
      </c>
      <c r="AJ44" s="778" t="n">
        <f aca="false">(SUM(Q18:X18)-SUM(Y18:AF18)-V18-T18)/1000/'PIB corriente base 2004'!X10</f>
        <v>0.0278138290593326</v>
      </c>
      <c r="AK44" s="778" t="n">
        <f aca="false">AJ44-AI44</f>
        <v>0.00212231724617656</v>
      </c>
      <c r="AL44" s="1" t="n">
        <f aca="false">'Exogenous tax and expenses'!AL43+1</f>
        <v>2005</v>
      </c>
      <c r="AM44" s="456" t="n">
        <f aca="false">'Exogenous tax and expenses'!AN17/1000/'PIB corriente base 2004'!X9</f>
        <v>0.0481434528335362</v>
      </c>
      <c r="AN44" s="456" t="n">
        <f aca="false">'Exogenous tax and expenses'!AO17/1000/'PIB corriente base 2004'!X9</f>
        <v>0.0632630282593313</v>
      </c>
      <c r="AO44" s="456" t="n">
        <f aca="false">'Exogenous tax and expenses'!AP17/1000/'PIB corriente base 2004'!X9</f>
        <v>0.0103295874494527</v>
      </c>
      <c r="AP44" s="456" t="n">
        <f aca="false">'Exogenous tax and expenses'!AQ17/1000/'PIB corriente base 2004'!X9</f>
        <v>0.000673064923836705</v>
      </c>
      <c r="AQ44" s="456" t="n">
        <f aca="false">'Exogenous tax and expenses'!AR17/1000/'PIB corriente base 2004'!X9</f>
        <v>0.0161951464097716</v>
      </c>
      <c r="AR44" s="456" t="n">
        <f aca="false">'Exogenous tax and expenses'!AS17/1000/'PIB corriente base 2004'!X9</f>
        <v>0.00129935175953096</v>
      </c>
      <c r="AS44" s="456" t="n">
        <f aca="false">'Exogenous tax and expenses'!AT17/1000/'PIB corriente base 2004'!X9</f>
        <v>0.0139841677041514</v>
      </c>
      <c r="AT44" s="456" t="n">
        <v>0</v>
      </c>
      <c r="AU44" s="456" t="n">
        <v>0</v>
      </c>
    </row>
    <row r="45" customFormat="false" ht="15" hidden="false" customHeight="false" outlineLevel="0" collapsed="false">
      <c r="A45" s="0" t="n">
        <f aca="false">'Cuenta Ahorro-Inversión-Financi'!AV86</f>
        <v>1998</v>
      </c>
      <c r="B45" s="1"/>
      <c r="C45" s="1"/>
      <c r="D45" s="746" t="n">
        <f aca="false">'Cuenta Ahorro-Inversión-Financi'!AW47</f>
        <v>-0.0271450823041349</v>
      </c>
      <c r="E45" s="746" t="n">
        <f aca="false">'Cuenta Ahorro-Inversión-Financi'!AX86</f>
        <v>-0.00266006212398561</v>
      </c>
      <c r="F45" s="1"/>
      <c r="G45" s="28"/>
      <c r="H45" s="1"/>
      <c r="I45" s="1"/>
      <c r="J45" s="1"/>
      <c r="K45" s="1"/>
      <c r="L45" s="1"/>
      <c r="M45" s="1"/>
      <c r="N45" s="456" t="n">
        <f aca="false">Q43+R43+T43+U43+X43</f>
        <v>0.0252516187096931</v>
      </c>
      <c r="O45" s="1"/>
      <c r="P45" s="1" t="n">
        <f aca="false">'Exogenous tax and expenses'!P44+1</f>
        <v>2007</v>
      </c>
      <c r="Q45" s="775" t="n">
        <f aca="false">'Exogenous tax and expenses'!Q19/1000/'PIB corriente base 2004'!X11</f>
        <v>0.00946369367588668</v>
      </c>
      <c r="R45" s="775" t="n">
        <f aca="false">'Exogenous tax and expenses'!R19/1000/'PIB corriente base 2004'!$X11</f>
        <v>0.000585475875391982</v>
      </c>
      <c r="S45" s="775" t="n">
        <f aca="false">'Exogenous tax and expenses'!S19/1000/'PIB corriente base 2004'!X11</f>
        <v>0.00720349773674433</v>
      </c>
      <c r="T45" s="775" t="n">
        <f aca="false">'Exogenous tax and expenses'!T19/1000/'PIB corriente base 2004'!X11</f>
        <v>0.00832312264618854</v>
      </c>
      <c r="U45" s="775" t="n">
        <f aca="false">'Exogenous tax and expenses'!U19/1000/'PIB corriente base 2004'!X11</f>
        <v>0.000498422632844237</v>
      </c>
      <c r="V45" s="775" t="n">
        <f aca="false">'Exogenous tax and expenses'!V19/1000/'PIB corriente base 2004'!X11</f>
        <v>0.0167951995322389</v>
      </c>
      <c r="W45" s="775" t="n">
        <f aca="false">'Exogenous tax and expenses'!W19/1000/'PIB corriente base 2004'!$X11</f>
        <v>0.0149072962567154</v>
      </c>
      <c r="X45" s="775" t="n">
        <f aca="false">'Exogenous tax and expenses'!X19/1000/'PIB corriente base 2004'!$X11</f>
        <v>0.00301491612895818</v>
      </c>
      <c r="Y45" s="776" t="n">
        <f aca="false">'Exogenous tax and expenses'!Y19/1000/'PIB corriente base 2004'!X11</f>
        <v>0.000934433666315139</v>
      </c>
      <c r="Z45" s="776"/>
      <c r="AA45" s="776" t="n">
        <f aca="false">'Exogenous tax and expenses'!AA19/1000/'PIB corriente base 2004'!X11</f>
        <v>0.00229652373770847</v>
      </c>
      <c r="AB45" s="776" t="n">
        <f aca="false">'Exogenous tax and expenses'!AB19/1000/'PIB corriente base 2004'!X11</f>
        <v>0.00464810842100707</v>
      </c>
      <c r="AC45" s="776"/>
      <c r="AD45" s="776"/>
      <c r="AE45" s="776"/>
      <c r="AF45" s="776"/>
      <c r="AG45" s="766"/>
      <c r="AH45" s="766"/>
      <c r="AI45" s="777" t="n">
        <f aca="false">E54-D54</f>
        <v>0.0267126806328267</v>
      </c>
      <c r="AJ45" s="778" t="n">
        <f aca="false">(SUM(Q19:X19)-SUM(Y19:AF19)-V19-T19)/1000/'PIB corriente base 2004'!X11</f>
        <v>0.0277942364815101</v>
      </c>
      <c r="AK45" s="778" t="n">
        <f aca="false">AJ45-AI45</f>
        <v>0.00108155584868345</v>
      </c>
      <c r="AL45" s="1" t="n">
        <f aca="false">'Exogenous tax and expenses'!AL44+1</f>
        <v>2006</v>
      </c>
      <c r="AM45" s="456" t="n">
        <f aca="false">'Exogenous tax and expenses'!AN18/1000/'PIB corriente base 2004'!X10</f>
        <v>0.0469547304071501</v>
      </c>
      <c r="AN45" s="456" t="n">
        <f aca="false">'Exogenous tax and expenses'!AO18/1000/'PIB corriente base 2004'!X10</f>
        <v>0.0657969380175761</v>
      </c>
      <c r="AO45" s="456" t="n">
        <f aca="false">'Exogenous tax and expenses'!AP18/1000/'PIB corriente base 2004'!X10</f>
        <v>0.00918087272210537</v>
      </c>
      <c r="AP45" s="456" t="n">
        <f aca="false">'Exogenous tax and expenses'!AQ18/1000/'PIB corriente base 2004'!X10</f>
        <v>0.000556280415991225</v>
      </c>
      <c r="AQ45" s="456" t="n">
        <f aca="false">'Exogenous tax and expenses'!AR18/1000/'PIB corriente base 2004'!X10</f>
        <v>0.0163229714661409</v>
      </c>
      <c r="AR45" s="456" t="n">
        <f aca="false">'Exogenous tax and expenses'!AS18/1000/'PIB corriente base 2004'!X10</f>
        <v>0.00121349464488595</v>
      </c>
      <c r="AS45" s="456" t="n">
        <f aca="false">'Exogenous tax and expenses'!AT18/1000/'PIB corriente base 2004'!X10</f>
        <v>0.0141131235333867</v>
      </c>
      <c r="AT45" s="456" t="n">
        <v>0</v>
      </c>
      <c r="AU45" s="456" t="n">
        <v>0</v>
      </c>
    </row>
    <row r="46" customFormat="false" ht="15" hidden="false" customHeight="false" outlineLevel="0" collapsed="false">
      <c r="A46" s="0" t="n">
        <f aca="false">'Cuenta Ahorro-Inversión-Financi'!AV87</f>
        <v>1999</v>
      </c>
      <c r="B46" s="1"/>
      <c r="C46" s="1"/>
      <c r="D46" s="745" t="n">
        <f aca="false">'Cuenta Ahorro-Inversión-Financi'!AW48</f>
        <v>-0.0321516368666459</v>
      </c>
      <c r="E46" s="745" t="n">
        <f aca="false">'Cuenta Ahorro-Inversión-Financi'!AX87</f>
        <v>-0.0077596880146275</v>
      </c>
      <c r="F46" s="28"/>
      <c r="G46" s="28"/>
      <c r="H46" s="28"/>
      <c r="I46" s="28"/>
      <c r="J46" s="28"/>
      <c r="K46" s="28"/>
      <c r="L46" s="28"/>
      <c r="M46" s="1"/>
      <c r="N46" s="456" t="n">
        <f aca="false">Q44+R44+T44+U44+X44</f>
        <v>0.0231949410602607</v>
      </c>
      <c r="O46" s="1"/>
      <c r="P46" s="1" t="n">
        <f aca="false">'Exogenous tax and expenses'!P45+1</f>
        <v>2008</v>
      </c>
      <c r="Q46" s="780" t="n">
        <f aca="false">'Exogenous tax and expenses'!Q20/1000/'PIB corriente base 2004'!X12</f>
        <v>0.00933824001867381</v>
      </c>
      <c r="R46" s="780" t="n">
        <f aca="false">'Exogenous tax and expenses'!R20/1000/'PIB corriente base 2004'!$X12</f>
        <v>0.000617660986798565</v>
      </c>
      <c r="S46" s="780" t="n">
        <f aca="false">'Exogenous tax and expenses'!S20/1000/'PIB corriente base 2004'!X12</f>
        <v>0.0071951192992214</v>
      </c>
      <c r="T46" s="780" t="n">
        <f aca="false">'Exogenous tax and expenses'!T20/1000/'PIB corriente base 2004'!X12</f>
        <v>0.00843202971714432</v>
      </c>
      <c r="U46" s="780" t="n">
        <f aca="false">'Exogenous tax and expenses'!U20/1000/'PIB corriente base 2004'!X12</f>
        <v>0.00048284265951637</v>
      </c>
      <c r="V46" s="780" t="n">
        <f aca="false">'Exogenous tax and expenses'!V20/1000/'PIB corriente base 2004'!X12</f>
        <v>0.0169575290688833</v>
      </c>
      <c r="W46" s="780" t="n">
        <f aca="false">'Exogenous tax and expenses'!W20/1000/'PIB corriente base 2004'!$X12</f>
        <v>0.0145730376476074</v>
      </c>
      <c r="X46" s="780" t="n">
        <f aca="false">'Exogenous tax and expenses'!X20/1000/'PIB corriente base 2004'!$X12</f>
        <v>0.00284428582324503</v>
      </c>
      <c r="Y46" s="775" t="n">
        <f aca="false">'Exogenous tax and expenses'!Y20/1000/'PIB corriente base 2004'!X12</f>
        <v>0.00110112913760037</v>
      </c>
      <c r="Z46" s="775"/>
      <c r="AA46" s="775" t="n">
        <f aca="false">'Exogenous tax and expenses'!AA20/1000/'PIB corriente base 2004'!X12</f>
        <v>0.00219840306175176</v>
      </c>
      <c r="AB46" s="775" t="n">
        <f aca="false">'Exogenous tax and expenses'!AB20/1000/'PIB corriente base 2004'!X12</f>
        <v>0.00535631443145592</v>
      </c>
      <c r="AC46" s="775" t="n">
        <f aca="false">'Exogenous tax and expenses'!AC20/1000/'PIB corriente base 2004'!X12</f>
        <v>0.00116689653702815</v>
      </c>
      <c r="AD46" s="775"/>
      <c r="AE46" s="775"/>
      <c r="AF46" s="775"/>
      <c r="AG46" s="775" t="n">
        <f aca="false">'Exogenous tax and expenses'!AG20/1000/'PIB corriente base 2004'!X11</f>
        <v>0.00124577295256966</v>
      </c>
      <c r="AH46" s="775" t="n">
        <f aca="false">'Exogenous tax and expenses'!AH20/1000/'PIB corriente base 2004'!X11</f>
        <v>0.109505207405093</v>
      </c>
      <c r="AI46" s="775" t="n">
        <f aca="false">E55-D55</f>
        <v>0.0230318111857866</v>
      </c>
      <c r="AJ46" s="778" t="n">
        <f aca="false">(SUM(Q20:X20)-SUM(Y20:AF20)-V20-T20)/1000/'PIB corriente base 2004'!X12</f>
        <v>0.0252284432672264</v>
      </c>
      <c r="AK46" s="778" t="n">
        <f aca="false">AJ46-AI46</f>
        <v>0.0021966320814398</v>
      </c>
      <c r="AL46" s="1" t="n">
        <f aca="false">'Exogenous tax and expenses'!AL45+1</f>
        <v>2007</v>
      </c>
      <c r="AM46" s="456" t="n">
        <f aca="false">'Exogenous tax and expenses'!AN19/1000/'PIB corriente base 2004'!X11</f>
        <v>0.0477768702872185</v>
      </c>
      <c r="AN46" s="456" t="n">
        <f aca="false">'Exogenous tax and expenses'!AO19/1000/'PIB corriente base 2004'!X11</f>
        <v>0.0698670042263011</v>
      </c>
      <c r="AO46" s="456" t="n">
        <f aca="false">'Exogenous tax and expenses'!AP19/1000/'PIB corriente base 2004'!X11</f>
        <v>0.00832312264618854</v>
      </c>
      <c r="AP46" s="456" t="n">
        <f aca="false">'Exogenous tax and expenses'!AQ19/1000/'PIB corriente base 2004'!X11</f>
        <v>0.000498422632844237</v>
      </c>
      <c r="AQ46" s="456" t="n">
        <f aca="false">'Exogenous tax and expenses'!AR19/1000/'PIB corriente base 2004'!X11</f>
        <v>0.0167951995322389</v>
      </c>
      <c r="AR46" s="456" t="n">
        <f aca="false">'Exogenous tax and expenses'!AS19/1000/'PIB corriente base 2004'!X11</f>
        <v>0.00118545318027817</v>
      </c>
      <c r="AS46" s="456" t="n">
        <f aca="false">'Exogenous tax and expenses'!AT19/1000/'PIB corriente base 2004'!X11</f>
        <v>0.0149072962567154</v>
      </c>
      <c r="AT46" s="456" t="n">
        <v>0</v>
      </c>
      <c r="AU46" s="456" t="n">
        <v>0</v>
      </c>
    </row>
    <row r="47" customFormat="false" ht="15" hidden="false" customHeight="false" outlineLevel="0" collapsed="false">
      <c r="A47" s="0" t="n">
        <f aca="false">'Cuenta Ahorro-Inversión-Financi'!AV88</f>
        <v>2000</v>
      </c>
      <c r="B47" s="1"/>
      <c r="C47" s="1"/>
      <c r="D47" s="746" t="n">
        <f aca="false">'Cuenta Ahorro-Inversión-Financi'!AW49</f>
        <v>-0.0337754965366008</v>
      </c>
      <c r="E47" s="746" t="n">
        <f aca="false">'Cuenta Ahorro-Inversión-Financi'!AX88</f>
        <v>-0.00673854445377408</v>
      </c>
      <c r="F47" s="456"/>
      <c r="G47" s="456"/>
      <c r="H47" s="456"/>
      <c r="I47" s="456"/>
      <c r="J47" s="456"/>
      <c r="K47" s="456"/>
      <c r="L47" s="456"/>
      <c r="M47" s="28"/>
      <c r="N47" s="456" t="n">
        <f aca="false">Q45+R45+T45+U45+X45</f>
        <v>0.0218856309592696</v>
      </c>
      <c r="O47" s="1"/>
      <c r="P47" s="1" t="n">
        <f aca="false">'Exogenous tax and expenses'!P46+1</f>
        <v>2009</v>
      </c>
      <c r="Q47" s="775" t="n">
        <f aca="false">'Exogenous tax and expenses'!Q21/1000/'PIB corriente base 2004'!X13</f>
        <v>0.00889702416448981</v>
      </c>
      <c r="R47" s="775" t="n">
        <f aca="false">'Exogenous tax and expenses'!R21/1000/'PIB corriente base 2004'!$X13</f>
        <v>0.000721273651010169</v>
      </c>
      <c r="S47" s="775" t="n">
        <f aca="false">'Exogenous tax and expenses'!S21/1000/'PIB corriente base 2004'!X13</f>
        <v>0.00721974510403148</v>
      </c>
      <c r="T47" s="775" t="n">
        <f aca="false">'Exogenous tax and expenses'!T21/1000/'PIB corriente base 2004'!X13</f>
        <v>0.00929001289471043</v>
      </c>
      <c r="U47" s="775" t="n">
        <f aca="false">'Exogenous tax and expenses'!U21/1000/'PIB corriente base 2004'!X13</f>
        <v>0.000527581984327637</v>
      </c>
      <c r="V47" s="775" t="n">
        <f aca="false">'Exogenous tax and expenses'!V21/1000/'PIB corriente base 2004'!X13</f>
        <v>0.0164764714731884</v>
      </c>
      <c r="W47" s="775" t="n">
        <f aca="false">'Exogenous tax and expenses'!W21/1000/'PIB corriente base 2004'!$X13</f>
        <v>0.0146173597980544</v>
      </c>
      <c r="X47" s="775" t="n">
        <f aca="false">'Exogenous tax and expenses'!X21/1000/'PIB corriente base 2004'!$X13</f>
        <v>0.00305021267213239</v>
      </c>
      <c r="Y47" s="776" t="n">
        <f aca="false">'Exogenous tax and expenses'!Y21/1000/'PIB corriente base 2004'!$X13</f>
        <v>0.00177774684905904</v>
      </c>
      <c r="Z47" s="776"/>
      <c r="AA47" s="776" t="n">
        <f aca="false">'Exogenous tax and expenses'!AA21/1000/'PIB corriente base 2004'!X13</f>
        <v>0.00276402623901215</v>
      </c>
      <c r="AB47" s="776" t="n">
        <f aca="false">'Exogenous tax and expenses'!AB21/1000/'PIB corriente base 2004'!X13</f>
        <v>0.00686863836330536</v>
      </c>
      <c r="AC47" s="776" t="n">
        <f aca="false">'Exogenous tax and expenses'!AC21/1000/'PIB corriente base 2004'!X13</f>
        <v>0.00167502693461996</v>
      </c>
      <c r="AD47" s="776"/>
      <c r="AE47" s="776"/>
      <c r="AF47" s="776"/>
      <c r="AG47" s="777" t="n">
        <f aca="false">'Exogenous tax and expenses'!AG21/1000/'PIB corriente base 2004'!X12</f>
        <v>0.00738237042727766</v>
      </c>
      <c r="AH47" s="777" t="n">
        <f aca="false">'Exogenous tax and expenses'!AH21/1000/'PIB corriente base 2004'!X12</f>
        <v>0.11802996012113</v>
      </c>
      <c r="AI47" s="777" t="n">
        <f aca="false">E56-D56</f>
        <v>0.0191499374710442</v>
      </c>
      <c r="AJ47" s="778" t="n">
        <f aca="false">(SUM(Q21:X21)-SUM(Y21:AF21)-V21-T21)/1000/'PIB corriente base 2004'!X13</f>
        <v>0.0219477589880494</v>
      </c>
      <c r="AK47" s="778" t="n">
        <f aca="false">AJ47-AI47</f>
        <v>0.00279782151700519</v>
      </c>
      <c r="AL47" s="1" t="n">
        <f aca="false">'Exogenous tax and expenses'!AL46+1</f>
        <v>2008</v>
      </c>
      <c r="AM47" s="456" t="n">
        <f aca="false">'Exogenous tax and expenses'!AN20/1000/'PIB corriente base 2004'!X12</f>
        <v>0.0466630564489423</v>
      </c>
      <c r="AN47" s="456" t="n">
        <f aca="false">'Exogenous tax and expenses'!AO20/1000/'PIB corriente base 2004'!X12</f>
        <v>0.0697857414354713</v>
      </c>
      <c r="AO47" s="456" t="n">
        <f aca="false">'Exogenous tax and expenses'!AP20/1000/'PIB corriente base 2004'!X12</f>
        <v>0.00843202971714432</v>
      </c>
      <c r="AP47" s="456" t="n">
        <f aca="false">'Exogenous tax and expenses'!AQ20/1000/'PIB corriente base 2004'!X12</f>
        <v>0.00048284265951637</v>
      </c>
      <c r="AQ47" s="456" t="n">
        <f aca="false">'Exogenous tax and expenses'!AR20/1000/'PIB corriente base 2004'!X12</f>
        <v>0.0169575290688833</v>
      </c>
      <c r="AR47" s="456" t="n">
        <f aca="false">'Exogenous tax and expenses'!AS20/1000/'PIB corriente base 2004'!X12</f>
        <v>0.00117837046643829</v>
      </c>
      <c r="AS47" s="456" t="n">
        <f aca="false">'Exogenous tax and expenses'!AT20/1000/'PIB corriente base 2004'!X12</f>
        <v>0.0145730376476074</v>
      </c>
      <c r="AT47" s="456" t="n">
        <f aca="false">'Exogenous tax and expenses'!AU20/1000/'PIB corriente base 2004'!X12</f>
        <v>0.000971980550364607</v>
      </c>
      <c r="AU47" s="456" t="n">
        <f aca="false">'Exogenous tax and expenses'!AV20/1000/'PIB corriente base 2004'!X12</f>
        <v>0.0854384673722807</v>
      </c>
    </row>
    <row r="48" customFormat="false" ht="15" hidden="false" customHeight="false" outlineLevel="0" collapsed="false">
      <c r="A48" s="0" t="n">
        <f aca="false">'Cuenta Ahorro-Inversión-Financi'!AV89</f>
        <v>2001</v>
      </c>
      <c r="B48" s="1"/>
      <c r="C48" s="1"/>
      <c r="D48" s="745" t="n">
        <f aca="false">'Cuenta Ahorro-Inversión-Financi'!AW50</f>
        <v>-0.0343324976529175</v>
      </c>
      <c r="E48" s="745" t="n">
        <f aca="false">'Cuenta Ahorro-Inversión-Financi'!AX89</f>
        <v>-0.0101649287372602</v>
      </c>
      <c r="F48" s="1"/>
      <c r="G48" s="456"/>
      <c r="H48" s="1"/>
      <c r="I48" s="1"/>
      <c r="J48" s="1"/>
      <c r="K48" s="1"/>
      <c r="L48" s="1"/>
      <c r="M48" s="1"/>
      <c r="N48" s="456" t="n">
        <f aca="false">Q46+R46+T46+U46+X46</f>
        <v>0.0217150592053781</v>
      </c>
      <c r="O48" s="1"/>
      <c r="P48" s="1" t="n">
        <f aca="false">'Exogenous tax and expenses'!P47+1</f>
        <v>2010</v>
      </c>
      <c r="Q48" s="780" t="n">
        <f aca="false">'Exogenous tax and expenses'!Q22/1000/'PIB corriente base 2004'!X14</f>
        <v>0.00918548780578398</v>
      </c>
      <c r="R48" s="780" t="n">
        <f aca="false">'Exogenous tax and expenses'!R22/1000/'PIB corriente base 2004'!$X14</f>
        <v>0.000880412575395823</v>
      </c>
      <c r="S48" s="780" t="n">
        <f aca="false">'Exogenous tax and expenses'!S22/1000/'PIB corriente base 2004'!X14</f>
        <v>0.00706586756938487</v>
      </c>
      <c r="T48" s="780" t="n">
        <f aca="false">'Exogenous tax and expenses'!T22/1000/'PIB corriente base 2004'!X14</f>
        <v>0.00918867167260385</v>
      </c>
      <c r="U48" s="780" t="n">
        <f aca="false">'Exogenous tax and expenses'!U22/1000/'PIB corriente base 2004'!X14</f>
        <v>0.000464277718330744</v>
      </c>
      <c r="V48" s="780" t="n">
        <f aca="false">'Exogenous tax and expenses'!V22/1000/'PIB corriente base 2004'!X14</f>
        <v>0.0161788496372926</v>
      </c>
      <c r="W48" s="780" t="n">
        <f aca="false">'Exogenous tax and expenses'!W22/1000/'PIB corriente base 2004'!$X14</f>
        <v>0.0147442218942046</v>
      </c>
      <c r="X48" s="780" t="n">
        <f aca="false">'Exogenous tax and expenses'!X22/1000/'PIB corriente base 2004'!$X14</f>
        <v>0.0029853388270838</v>
      </c>
      <c r="Y48" s="775" t="n">
        <f aca="false">'Exogenous tax and expenses'!Y22/1000/'PIB corriente base 2004'!X14</f>
        <v>0.00192822845700678</v>
      </c>
      <c r="Z48" s="775"/>
      <c r="AA48" s="775" t="n">
        <f aca="false">'Exogenous tax and expenses'!AA22/1000/'PIB corriente base 2004'!X14</f>
        <v>0.00275355246129494</v>
      </c>
      <c r="AB48" s="775" t="n">
        <f aca="false">'Exogenous tax and expenses'!AB22/1000/'PIB corriente base 2004'!X14</f>
        <v>0.00721003836197678</v>
      </c>
      <c r="AC48" s="775" t="n">
        <f aca="false">'Exogenous tax and expenses'!AC22/1000/'PIB corriente base 2004'!X14</f>
        <v>0.00129161278918117</v>
      </c>
      <c r="AD48" s="775"/>
      <c r="AE48" s="775"/>
      <c r="AF48" s="775"/>
      <c r="AG48" s="775" t="n">
        <f aca="false">'Exogenous tax and expenses'!AG22/1000/'PIB corriente base 2004'!X13</f>
        <v>0.00698335055293395</v>
      </c>
      <c r="AH48" s="775" t="n">
        <f aca="false">'Exogenous tax and expenses'!AH22/1000/'PIB corriente base 2004'!X13</f>
        <v>0.142649110356507</v>
      </c>
      <c r="AI48" s="775" t="n">
        <f aca="false">E57-D57</f>
        <v>0.0199163516462955</v>
      </c>
      <c r="AJ48" s="778" t="n">
        <f aca="false">(SUM(Q22:X22)-SUM(Y22:AF22)-V22-T22)/1000/'PIB corriente base 2004'!X14</f>
        <v>0.0221421743207241</v>
      </c>
      <c r="AK48" s="778" t="n">
        <f aca="false">AJ48-AI48</f>
        <v>0.00222582267442864</v>
      </c>
      <c r="AL48" s="1" t="n">
        <f aca="false">'Exogenous tax and expenses'!AL47+1</f>
        <v>2009</v>
      </c>
      <c r="AM48" s="456" t="n">
        <f aca="false">'Exogenous tax and expenses'!AN21/1000/'PIB corriente base 2004'!X13</f>
        <v>0.0445155485838178</v>
      </c>
      <c r="AN48" s="456" t="n">
        <f aca="false">'Exogenous tax and expenses'!AO21/1000/'PIB corriente base 2004'!X13</f>
        <v>0.0700245880724274</v>
      </c>
      <c r="AO48" s="456" t="n">
        <f aca="false">'Exogenous tax and expenses'!AP21/1000/'PIB corriente base 2004'!X13</f>
        <v>0.00929001289471043</v>
      </c>
      <c r="AP48" s="456" t="n">
        <f aca="false">'Exogenous tax and expenses'!AQ21/1000/'PIB corriente base 2004'!X13</f>
        <v>0.000527581984327637</v>
      </c>
      <c r="AQ48" s="456" t="n">
        <f aca="false">'Exogenous tax and expenses'!AR21/1000/'PIB corriente base 2004'!X13</f>
        <v>0.0164764714731884</v>
      </c>
      <c r="AR48" s="456" t="n">
        <f aca="false">'Exogenous tax and expenses'!AS21/1000/'PIB corriente base 2004'!X13</f>
        <v>0.00124193336801456</v>
      </c>
      <c r="AS48" s="456" t="n">
        <f aca="false">'Exogenous tax and expenses'!AT21/1000/'PIB corriente base 2004'!X13</f>
        <v>0.0146173597980544</v>
      </c>
      <c r="AT48" s="456" t="n">
        <f aca="false">'Exogenous tax and expenses'!AU21/1000/'PIB corriente base 2004'!X13</f>
        <v>0.00680095700317286</v>
      </c>
      <c r="AU48" s="456" t="n">
        <f aca="false">'Exogenous tax and expenses'!AV21/1000/'PIB corriente base 2004'!X13</f>
        <v>0.108734273330961</v>
      </c>
    </row>
    <row r="49" customFormat="false" ht="15" hidden="false" customHeight="false" outlineLevel="0" collapsed="false">
      <c r="A49" s="0" t="n">
        <f aca="false">'Cuenta Ahorro-Inversión-Financi'!AV90</f>
        <v>2002</v>
      </c>
      <c r="B49" s="1"/>
      <c r="C49" s="1"/>
      <c r="D49" s="746" t="n">
        <f aca="false">'Cuenta Ahorro-Inversión-Financi'!AW51</f>
        <v>-0.0297003395722639</v>
      </c>
      <c r="E49" s="746" t="n">
        <f aca="false">'Cuenta Ahorro-Inversión-Financi'!AX90</f>
        <v>-0.0114398617982835</v>
      </c>
      <c r="F49" s="1"/>
      <c r="G49" s="1"/>
      <c r="H49" s="1"/>
      <c r="I49" s="1"/>
      <c r="J49" s="1"/>
      <c r="K49" s="1"/>
      <c r="L49" s="1"/>
      <c r="M49" s="1"/>
      <c r="N49" s="456" t="n">
        <f aca="false">Q47+R47+T47+U47+X47</f>
        <v>0.0224861053666704</v>
      </c>
      <c r="O49" s="1"/>
      <c r="P49" s="1" t="n">
        <f aca="false">'Exogenous tax and expenses'!P48+1</f>
        <v>2011</v>
      </c>
      <c r="Q49" s="775" t="n">
        <f aca="false">'Exogenous tax and expenses'!Q23/1000/'PIB corriente base 2004'!X15</f>
        <v>0.00989536698334916</v>
      </c>
      <c r="R49" s="775" t="n">
        <f aca="false">'Exogenous tax and expenses'!R23/1000/'PIB corriente base 2004'!$X15</f>
        <v>0.000957125713536114</v>
      </c>
      <c r="S49" s="775" t="n">
        <f aca="false">'Exogenous tax and expenses'!S23/1000/'PIB corriente base 2004'!X15</f>
        <v>0.00698913792400185</v>
      </c>
      <c r="T49" s="775" t="n">
        <f aca="false">'Exogenous tax and expenses'!T23/1000/'PIB corriente base 2004'!X15</f>
        <v>0.00832091621647902</v>
      </c>
      <c r="U49" s="775" t="n">
        <f aca="false">'Exogenous tax and expenses'!U23/1000/'PIB corriente base 2004'!X15</f>
        <v>0.000464932901986689</v>
      </c>
      <c r="V49" s="775" t="n">
        <f aca="false">'Exogenous tax and expenses'!V23/1000/'PIB corriente base 2004'!X15</f>
        <v>0.0166034992177078</v>
      </c>
      <c r="W49" s="775" t="n">
        <f aca="false">'Exogenous tax and expenses'!W23/1000/'PIB corriente base 2004'!$X15</f>
        <v>0.0148856065446608</v>
      </c>
      <c r="X49" s="775" t="n">
        <f aca="false">'Exogenous tax and expenses'!X23/1000/'PIB corriente base 2004'!$X15</f>
        <v>0.00262273372308156</v>
      </c>
      <c r="Y49" s="776" t="n">
        <f aca="false">'Exogenous tax and expenses'!Y23/1000/'PIB corriente base 2004'!X15</f>
        <v>0.00218872405220907</v>
      </c>
      <c r="Z49" s="776" t="n">
        <f aca="false">'Exogenous tax and expenses'!Z23/1000/'PIB corriente base 2004'!$X15</f>
        <v>0.000334864926640407</v>
      </c>
      <c r="AA49" s="776" t="n">
        <f aca="false">'Exogenous tax and expenses'!AA23/1000/'PIB corriente base 2004'!X15</f>
        <v>0.00246448878022597</v>
      </c>
      <c r="AB49" s="776" t="n">
        <f aca="false">'Exogenous tax and expenses'!AB23/1000/'PIB corriente base 2004'!X15</f>
        <v>0.00805996363631594</v>
      </c>
      <c r="AC49" s="776" t="n">
        <f aca="false">'Exogenous tax and expenses'!AC23/1000/'PIB corriente base 2004'!X15</f>
        <v>0.00103133324512357</v>
      </c>
      <c r="AD49" s="776"/>
      <c r="AE49" s="776" t="n">
        <f aca="false">'Exogenous tax and expenses'!AE23/1000/'PIB corriente base 2004'!$X15</f>
        <v>0.000328908706794847</v>
      </c>
      <c r="AF49" s="776"/>
      <c r="AG49" s="777" t="n">
        <f aca="false">'Exogenous tax and expenses'!AG23/1000/'PIB corriente base 2004'!X14</f>
        <v>0.00664291998840613</v>
      </c>
      <c r="AH49" s="777" t="n">
        <f aca="false">'Exogenous tax and expenses'!AH23/1000/'PIB corriente base 2004'!X14</f>
        <v>0.12005024242359</v>
      </c>
      <c r="AI49" s="777" t="n">
        <f aca="false">E58-D58</f>
        <v>0.0194863149222671</v>
      </c>
      <c r="AJ49" s="778" t="n">
        <f aca="false">(SUM(Q23:X23)-SUM(Y23:AF23)-V23-T23)/1000/'PIB corriente base 2004'!X15</f>
        <v>0.0214066204433064</v>
      </c>
      <c r="AK49" s="778" t="n">
        <f aca="false">AJ49-AI49</f>
        <v>0.00192030552103934</v>
      </c>
      <c r="AL49" s="1" t="n">
        <f aca="false">'Exogenous tax and expenses'!AL48+1</f>
        <v>2010</v>
      </c>
      <c r="AM49" s="456" t="n">
        <f aca="false">'Exogenous tax and expenses'!AN22/1000/'PIB corriente base 2004'!X14</f>
        <v>0.0461278586573907</v>
      </c>
      <c r="AN49" s="456" t="n">
        <f aca="false">'Exogenous tax and expenses'!AO22/1000/'PIB corriente base 2004'!X14</f>
        <v>0.0700394303176041</v>
      </c>
      <c r="AO49" s="456" t="n">
        <f aca="false">'Exogenous tax and expenses'!AP22/1000/'PIB corriente base 2004'!X14</f>
        <v>0.00918867167260385</v>
      </c>
      <c r="AP49" s="456" t="n">
        <f aca="false">'Exogenous tax and expenses'!AQ22/1000/'PIB corriente base 2004'!X14</f>
        <v>0.000464277718330744</v>
      </c>
      <c r="AQ49" s="456" t="n">
        <f aca="false">'Exogenous tax and expenses'!AR22/1000/'PIB corriente base 2004'!X14</f>
        <v>0.0161788496372926</v>
      </c>
      <c r="AR49" s="456" t="n">
        <f aca="false">'Exogenous tax and expenses'!AS22/1000/'PIB corriente base 2004'!X14</f>
        <v>0.0012592686096256</v>
      </c>
      <c r="AS49" s="456" t="n">
        <f aca="false">'Exogenous tax and expenses'!AT22/1000/'PIB corriente base 2004'!X14</f>
        <v>0.0147442218942046</v>
      </c>
      <c r="AT49" s="456" t="n">
        <f aca="false">'Exogenous tax and expenses'!AU22/1000/'PIB corriente base 2004'!X14</f>
        <v>0.00524439899269864</v>
      </c>
      <c r="AU49" s="456" t="n">
        <f aca="false">'Exogenous tax and expenses'!AV22/1000/'PIB corriente base 2004'!X14</f>
        <v>0.107127494888355</v>
      </c>
    </row>
    <row r="50" customFormat="false" ht="15" hidden="false" customHeight="false" outlineLevel="0" collapsed="false">
      <c r="A50" s="0" t="n">
        <f aca="false">'Cuenta Ahorro-Inversión-Financi'!AV91</f>
        <v>2003</v>
      </c>
      <c r="B50" s="1"/>
      <c r="C50" s="1"/>
      <c r="D50" s="745" t="n">
        <f aca="false">'Cuenta Ahorro-Inversión-Financi'!AW52</f>
        <v>-0.0277579380361316</v>
      </c>
      <c r="E50" s="745" t="n">
        <f aca="false">'Cuenta Ahorro-Inversión-Financi'!AX91</f>
        <v>-0.00492707399415027</v>
      </c>
      <c r="F50" s="1"/>
      <c r="G50" s="1"/>
      <c r="H50" s="1"/>
      <c r="I50" s="1"/>
      <c r="J50" s="1"/>
      <c r="K50" s="1"/>
      <c r="L50" s="1"/>
      <c r="M50" s="1"/>
      <c r="N50" s="456" t="n">
        <f aca="false">Q48+R48+T48+U48+X48</f>
        <v>0.0227041885991982</v>
      </c>
      <c r="O50" s="1"/>
      <c r="P50" s="1" t="n">
        <f aca="false">'Exogenous tax and expenses'!P49+1</f>
        <v>2012</v>
      </c>
      <c r="Q50" s="780" t="n">
        <f aca="false">'Exogenous tax and expenses'!Q24/1000/'PIB corriente base 2004'!X16</f>
        <v>0.0104606643560655</v>
      </c>
      <c r="R50" s="780" t="n">
        <f aca="false">'Exogenous tax and expenses'!R24/1000/'PIB corriente base 2004'!$X16</f>
        <v>0.00101322490187011</v>
      </c>
      <c r="S50" s="780" t="n">
        <f aca="false">'Exogenous tax and expenses'!S24/1000/'PIB corriente base 2004'!X16</f>
        <v>0.00732161894258414</v>
      </c>
      <c r="T50" s="780" t="n">
        <f aca="false">'Exogenous tax and expenses'!T24/1000/'PIB corriente base 2004'!X16</f>
        <v>0.00977492385410648</v>
      </c>
      <c r="U50" s="780" t="n">
        <f aca="false">'Exogenous tax and expenses'!U24/1000/'PIB corriente base 2004'!X16</f>
        <v>0.000465936368934656</v>
      </c>
      <c r="V50" s="780" t="n">
        <f aca="false">'Exogenous tax and expenses'!V24/1000/'PIB corriente base 2004'!X16</f>
        <v>0.0166537766309987</v>
      </c>
      <c r="W50" s="780" t="n">
        <f aca="false">'Exogenous tax and expenses'!W24/1000/'PIB corriente base 2004'!$X16</f>
        <v>0.0155583049965991</v>
      </c>
      <c r="X50" s="780" t="n">
        <f aca="false">'Exogenous tax and expenses'!X24/1000/'PIB corriente base 2004'!$X16</f>
        <v>0.00312314975925886</v>
      </c>
      <c r="Y50" s="775" t="n">
        <f aca="false">'Exogenous tax and expenses'!Y24/1000/'PIB corriente base 2004'!X16</f>
        <v>0.00236486388288229</v>
      </c>
      <c r="Z50" s="775" t="n">
        <f aca="false">'Exogenous tax and expenses'!Z24/1000/'PIB corriente base 2004'!$X16</f>
        <v>0.000361559541561672</v>
      </c>
      <c r="AA50" s="775" t="n">
        <f aca="false">'Exogenous tax and expenses'!AA24/1000/'PIB corriente base 2004'!X16</f>
        <v>0.00253356028964366</v>
      </c>
      <c r="AB50" s="775" t="n">
        <f aca="false">'Exogenous tax and expenses'!AB24/1000/'PIB corriente base 2004'!X16</f>
        <v>0.0100862880222144</v>
      </c>
      <c r="AC50" s="775" t="n">
        <f aca="false">'Exogenous tax and expenses'!AC24/1000/'PIB corriente base 2004'!X16</f>
        <v>0.00123537014000835</v>
      </c>
      <c r="AD50" s="775"/>
      <c r="AE50" s="775" t="n">
        <f aca="false">'Exogenous tax and expenses'!AE24/1000/'PIB corriente base 2004'!$X16</f>
        <v>0</v>
      </c>
      <c r="AF50" s="775"/>
      <c r="AG50" s="775" t="n">
        <f aca="false">'Exogenous tax and expenses'!AG24/1000/'PIB corriente base 2004'!X15</f>
        <v>0.00796195266956521</v>
      </c>
      <c r="AH50" s="775" t="n">
        <f aca="false">'Exogenous tax and expenses'!AH24/1000/'PIB corriente base 2004'!X15</f>
        <v>0.112343410792063</v>
      </c>
      <c r="AI50" s="775" t="n">
        <f aca="false">E59-D59</f>
        <v>0.0205852034417702</v>
      </c>
      <c r="AJ50" s="778" t="n">
        <f aca="false">(SUM(Q24:X24)-SUM(Y24:AF24)-V24-T24)/1000/'PIB corriente base 2004'!X16</f>
        <v>0.021361257449002</v>
      </c>
      <c r="AK50" s="778" t="n">
        <f aca="false">AJ50-AI50</f>
        <v>0.000776054007231828</v>
      </c>
      <c r="AL50" s="1" t="n">
        <f aca="false">'Exogenous tax and expenses'!AL49+1</f>
        <v>2011</v>
      </c>
      <c r="AM50" s="456" t="n">
        <f aca="false">'Exogenous tax and expenses'!AN23/1000/'PIB corriente base 2004'!X15</f>
        <v>0.0498378511825775</v>
      </c>
      <c r="AN50" s="456" t="n">
        <f aca="false">'Exogenous tax and expenses'!AO23/1000/'PIB corriente base 2004'!X15</f>
        <v>0.0707825433151494</v>
      </c>
      <c r="AO50" s="456" t="n">
        <f aca="false">'Exogenous tax and expenses'!AP23/1000/'PIB corriente base 2004'!X15</f>
        <v>0.00832091621647902</v>
      </c>
      <c r="AP50" s="456" t="n">
        <f aca="false">'Exogenous tax and expenses'!AQ23/1000/'PIB corriente base 2004'!X15</f>
        <v>0.000464932901986689</v>
      </c>
      <c r="AQ50" s="456" t="n">
        <f aca="false">'Exogenous tax and expenses'!AR23/1000/'PIB corriente base 2004'!X15</f>
        <v>0.0166034992177078</v>
      </c>
      <c r="AR50" s="456" t="n">
        <f aca="false">'Exogenous tax and expenses'!AS23/1000/'PIB corriente base 2004'!X15</f>
        <v>0.00136897843168855</v>
      </c>
      <c r="AS50" s="456" t="n">
        <f aca="false">'Exogenous tax and expenses'!AT23/1000/'PIB corriente base 2004'!X15</f>
        <v>0.0148856065446608</v>
      </c>
      <c r="AT50" s="456" t="n">
        <f aca="false">'Exogenous tax and expenses'!AU23/1000/'PIB corriente base 2004'!X15</f>
        <v>0.00506588207799855</v>
      </c>
      <c r="AU50" s="456" t="n">
        <f aca="false">'Exogenous tax and expenses'!AV23/1000/'PIB corriente base 2004'!X15</f>
        <v>0.0915501575533753</v>
      </c>
    </row>
    <row r="51" customFormat="false" ht="15" hidden="false" customHeight="false" outlineLevel="0" collapsed="false">
      <c r="A51" s="0" t="n">
        <f aca="false">'Cuenta Ahorro-Inversión-Financi'!AV92</f>
        <v>2004</v>
      </c>
      <c r="B51" s="1"/>
      <c r="C51" s="1"/>
      <c r="D51" s="746" t="n">
        <f aca="false">'Cuenta Ahorro-Inversión-Financi'!AW53</f>
        <v>-0.0218853689158177</v>
      </c>
      <c r="E51" s="746" t="n">
        <f aca="false">'Cuenta Ahorro-Inversión-Financi'!AX92</f>
        <v>0.00382133245719463</v>
      </c>
      <c r="F51" s="1"/>
      <c r="G51" s="456"/>
      <c r="H51" s="1"/>
      <c r="I51" s="1"/>
      <c r="J51" s="1"/>
      <c r="K51" s="1"/>
      <c r="L51" s="1"/>
      <c r="M51" s="1"/>
      <c r="N51" s="456" t="n">
        <f aca="false">Q49+R49+T49+U49+X49</f>
        <v>0.0222610755384325</v>
      </c>
      <c r="O51" s="1"/>
      <c r="P51" s="1" t="n">
        <f aca="false">'Exogenous tax and expenses'!P50+1</f>
        <v>2013</v>
      </c>
      <c r="Q51" s="775" t="n">
        <f aca="false">'Exogenous tax and expenses'!Q25/1000/'PIB corriente base 2004'!X17</f>
        <v>0.0109238316835513</v>
      </c>
      <c r="R51" s="775" t="n">
        <f aca="false">'Exogenous tax and expenses'!R25/1000/'PIB corriente base 2004'!$X17</f>
        <v>0.000925541959737645</v>
      </c>
      <c r="S51" s="775" t="n">
        <f aca="false">'Exogenous tax and expenses'!S25/1000/'PIB corriente base 2004'!X17</f>
        <v>0.00743862164659361</v>
      </c>
      <c r="T51" s="775" t="n">
        <f aca="false">'Exogenous tax and expenses'!T25/1000/'PIB corriente base 2004'!X17</f>
        <v>0.00926148743732353</v>
      </c>
      <c r="U51" s="775" t="n">
        <f aca="false">'Exogenous tax and expenses'!U25/1000/'PIB corriente base 2004'!X17</f>
        <v>0.000397932270782329</v>
      </c>
      <c r="V51" s="775" t="n">
        <f aca="false">'Exogenous tax and expenses'!V25/1000/'PIB corriente base 2004'!X17</f>
        <v>0.0168786236987149</v>
      </c>
      <c r="W51" s="775" t="n">
        <f aca="false">'Exogenous tax and expenses'!W25/1000/'PIB corriente base 2004'!$X17</f>
        <v>0.0159148002617685</v>
      </c>
      <c r="X51" s="775" t="n">
        <f aca="false">'Exogenous tax and expenses'!X25/1000/'PIB corriente base 2004'!$X17</f>
        <v>0.00259295104693199</v>
      </c>
      <c r="Y51" s="776" t="n">
        <f aca="false">'Exogenous tax and expenses'!Y25/1000/'PIB corriente base 2004'!X17</f>
        <v>0.00210339021534986</v>
      </c>
      <c r="Z51" s="776" t="n">
        <f aca="false">'Exogenous tax and expenses'!Z25/1000/'PIB corriente base 2004'!$X17</f>
        <v>0.000374390273180509</v>
      </c>
      <c r="AA51" s="776" t="n">
        <f aca="false">'Exogenous tax and expenses'!AA25/1000/'PIB corriente base 2004'!X17</f>
        <v>0.0026450338256733</v>
      </c>
      <c r="AB51" s="776" t="n">
        <f aca="false">'Exogenous tax and expenses'!AB25/1000/'PIB corriente base 2004'!X17</f>
        <v>0.0107881371340265</v>
      </c>
      <c r="AC51" s="776" t="n">
        <f aca="false">'Exogenous tax and expenses'!AC25/1000/'PIB corriente base 2004'!X17</f>
        <v>0.00166967888999977</v>
      </c>
      <c r="AD51" s="776"/>
      <c r="AE51" s="776" t="n">
        <f aca="false">'Exogenous tax and expenses'!AE25/1000/'PIB corriente base 2004'!$X17</f>
        <v>0</v>
      </c>
      <c r="AF51" s="776"/>
      <c r="AG51" s="777" t="n">
        <f aca="false">'Exogenous tax and expenses'!AG25/1000/'PIB corriente base 2004'!X16</f>
        <v>0.0086709130018908</v>
      </c>
      <c r="AH51" s="777" t="n">
        <f aca="false">'Exogenous tax and expenses'!AH25/1000/'PIB corriente base 2004'!X16</f>
        <v>0.124898696074883</v>
      </c>
      <c r="AI51" s="777" t="n">
        <f aca="false">E60-D60</f>
        <v>0.0201474599360489</v>
      </c>
      <c r="AJ51" s="778" t="n">
        <f aca="false">(SUM(Q25:X25)-SUM(Y25:AF25)-V25-T25)/1000/'PIB corriente base 2004'!X17</f>
        <v>0.0206130485311354</v>
      </c>
      <c r="AK51" s="778" t="n">
        <f aca="false">AJ51-AI51</f>
        <v>0.000465588595086545</v>
      </c>
      <c r="AL51" s="1" t="n">
        <f aca="false">'Exogenous tax and expenses'!AL50+1</f>
        <v>2012</v>
      </c>
      <c r="AM51" s="456" t="n">
        <f aca="false">'Exogenous tax and expenses'!AN24/1000/'PIB corriente base 2004'!X16</f>
        <v>0.0524807135521576</v>
      </c>
      <c r="AN51" s="456" t="n">
        <f aca="false">'Exogenous tax and expenses'!AO24/1000/'PIB corriente base 2004'!X16</f>
        <v>0.0722148073493733</v>
      </c>
      <c r="AO51" s="456" t="n">
        <f aca="false">'Exogenous tax and expenses'!AP24/1000/'PIB corriente base 2004'!X16</f>
        <v>0.00977492385410648</v>
      </c>
      <c r="AP51" s="456" t="n">
        <f aca="false">'Exogenous tax and expenses'!AQ24/1000/'PIB corriente base 2004'!X16</f>
        <v>0.000465936368934656</v>
      </c>
      <c r="AQ51" s="456" t="n">
        <f aca="false">'Exogenous tax and expenses'!AR24/1000/'PIB corriente base 2004'!X16</f>
        <v>0.0166537766309987</v>
      </c>
      <c r="AR51" s="456" t="n">
        <f aca="false">'Exogenous tax and expenses'!AS24/1000/'PIB corriente base 2004'!X16</f>
        <v>0.00145005000924785</v>
      </c>
      <c r="AS51" s="456" t="n">
        <f aca="false">'Exogenous tax and expenses'!AT24/1000/'PIB corriente base 2004'!X16</f>
        <v>0.0155583049965991</v>
      </c>
      <c r="AT51" s="456" t="n">
        <f aca="false">'Exogenous tax and expenses'!AU24/1000/'PIB corriente base 2004'!X16</f>
        <v>0.00657689666047515</v>
      </c>
      <c r="AU51" s="456" t="n">
        <f aca="false">'Exogenous tax and expenses'!AV24/1000/'PIB corriente base 2004'!X16</f>
        <v>0.0928002255136563</v>
      </c>
    </row>
    <row r="52" customFormat="false" ht="15" hidden="false" customHeight="false" outlineLevel="0" collapsed="false">
      <c r="A52" s="0" t="n">
        <f aca="false">'Cuenta Ahorro-Inversión-Financi'!AV93</f>
        <v>2005</v>
      </c>
      <c r="B52" s="1"/>
      <c r="C52" s="1"/>
      <c r="D52" s="745" t="n">
        <f aca="false">'Cuenta Ahorro-Inversión-Financi'!AW54</f>
        <v>-0.0179040572743257</v>
      </c>
      <c r="E52" s="745" t="n">
        <f aca="false">'Cuenta Ahorro-Inversión-Financi'!AX93</f>
        <v>0.00757769102751198</v>
      </c>
      <c r="F52" s="1"/>
      <c r="G52" s="1"/>
      <c r="H52" s="1"/>
      <c r="I52" s="1"/>
      <c r="J52" s="1"/>
      <c r="K52" s="1"/>
      <c r="L52" s="1"/>
      <c r="M52" s="1"/>
      <c r="N52" s="456" t="n">
        <f aca="false">Q50+R50+T50+U50+X50</f>
        <v>0.0248378992402356</v>
      </c>
      <c r="O52" s="1"/>
      <c r="P52" s="1" t="n">
        <f aca="false">'Exogenous tax and expenses'!P51+1</f>
        <v>2014</v>
      </c>
      <c r="Q52" s="780" t="n">
        <f aca="false">'Exogenous tax and expenses'!Q26/1000/'PIB corriente base 2004'!X18</f>
        <v>0.0116387156111073</v>
      </c>
      <c r="R52" s="780" t="n">
        <f aca="false">'Exogenous tax and expenses'!R26/1000/'PIB corriente base 2004'!$X18</f>
        <v>0.000642224174604135</v>
      </c>
      <c r="S52" s="780" t="n">
        <f aca="false">'Exogenous tax and expenses'!S26/1000/'PIB corriente base 2004'!X18</f>
        <v>0.00714587954016821</v>
      </c>
      <c r="T52" s="780" t="n">
        <f aca="false">'Exogenous tax and expenses'!T26/1000/'PIB corriente base 2004'!X18</f>
        <v>0.00971593170924165</v>
      </c>
      <c r="U52" s="780" t="n">
        <f aca="false">'Exogenous tax and expenses'!U26/1000/'PIB corriente base 2004'!X18</f>
        <v>0.000433470744073636</v>
      </c>
      <c r="V52" s="780" t="n">
        <f aca="false">'Exogenous tax and expenses'!V26/1000/'PIB corriente base 2004'!X18</f>
        <v>0.0167587616547611</v>
      </c>
      <c r="W52" s="780" t="n">
        <f aca="false">'Exogenous tax and expenses'!W26/1000/'PIB corriente base 2004'!$X18</f>
        <v>0.015871302582137</v>
      </c>
      <c r="X52" s="780" t="n">
        <f aca="false">'Exogenous tax and expenses'!X26/1000/'PIB corriente base 2004'!$X18</f>
        <v>0.00265723309620876</v>
      </c>
      <c r="Y52" s="775" t="n">
        <f aca="false">'Exogenous tax and expenses'!Y26/1000/'PIB corriente base 2004'!X18</f>
        <v>0.00207832026157001</v>
      </c>
      <c r="Z52" s="775" t="n">
        <f aca="false">'Exogenous tax and expenses'!Z26/1000/'PIB corriente base 2004'!$X18</f>
        <v>0.000351652186253678</v>
      </c>
      <c r="AA52" s="775" t="n">
        <f aca="false">'Exogenous tax and expenses'!AA26/1000/'PIB corriente base 2004'!X18</f>
        <v>0.00259275780648903</v>
      </c>
      <c r="AB52" s="775" t="n">
        <f aca="false">'Exogenous tax and expenses'!AB26/1000/'PIB corriente base 2004'!X18</f>
        <v>0.0107101298626129</v>
      </c>
      <c r="AC52" s="775" t="n">
        <f aca="false">'Exogenous tax and expenses'!AC26/1000/'PIB corriente base 2004'!X18</f>
        <v>0.00180520724704594</v>
      </c>
      <c r="AD52" s="775"/>
      <c r="AE52" s="775" t="n">
        <f aca="false">'Exogenous tax and expenses'!AE26/1000/'PIB corriente base 2004'!$X18</f>
        <v>0</v>
      </c>
      <c r="AF52" s="775"/>
      <c r="AG52" s="775" t="n">
        <f aca="false">'Exogenous tax and expenses'!AG26/1000/'PIB corriente base 2004'!X17</f>
        <v>0.011463640257482</v>
      </c>
      <c r="AH52" s="775" t="n">
        <f aca="false">'Exogenous tax and expenses'!AH26/1000/'PIB corriente base 2004'!X17</f>
        <v>0.141045844987254</v>
      </c>
      <c r="AI52" s="775" t="n">
        <f aca="false">E61-D61</f>
        <v>0.0204489957358129</v>
      </c>
      <c r="AJ52" s="778" t="n">
        <f aca="false">(SUM(Q26:X26)-SUM(Y26:AF26)-V26-T26)/1000/'PIB corriente base 2004'!X18</f>
        <v>0.0208507583843275</v>
      </c>
      <c r="AK52" s="778" t="n">
        <f aca="false">AJ52-AI52</f>
        <v>0.000401762648514607</v>
      </c>
      <c r="AL52" s="1" t="n">
        <f aca="false">'Exogenous tax and expenses'!AL51+1</f>
        <v>2013</v>
      </c>
      <c r="AM52" s="456" t="n">
        <f aca="false">'Exogenous tax and expenses'!AN25/1000/'PIB corriente base 2004'!X17</f>
        <v>0.0548332603299668</v>
      </c>
      <c r="AN52" s="456" t="n">
        <f aca="false">'Exogenous tax and expenses'!AO25/1000/'PIB corriente base 2004'!X17</f>
        <v>0.0743677746168002</v>
      </c>
      <c r="AO52" s="456" t="n">
        <f aca="false">'Exogenous tax and expenses'!AP25/1000/'PIB corriente base 2004'!X17</f>
        <v>0.00926148743732353</v>
      </c>
      <c r="AP52" s="456" t="n">
        <f aca="false">'Exogenous tax and expenses'!AQ25/1000/'PIB corriente base 2004'!X17</f>
        <v>0.000397932270782329</v>
      </c>
      <c r="AQ52" s="456" t="n">
        <f aca="false">'Exogenous tax and expenses'!AR25/1000/'PIB corriente base 2004'!X17</f>
        <v>0.0168786236987149</v>
      </c>
      <c r="AR52" s="456" t="n">
        <f aca="false">'Exogenous tax and expenses'!AS25/1000/'PIB corriente base 2004'!X17</f>
        <v>0.00132093294735269</v>
      </c>
      <c r="AS52" s="456" t="n">
        <f aca="false">'Exogenous tax and expenses'!AT25/1000/'PIB corriente base 2004'!X17</f>
        <v>0.0159148002617685</v>
      </c>
      <c r="AT52" s="456" t="n">
        <f aca="false">'Exogenous tax and expenses'!AU25/1000/'PIB corriente base 2004'!X17</f>
        <v>0.00683124675183988</v>
      </c>
      <c r="AU52" s="456" t="n">
        <f aca="false">'Exogenous tax and expenses'!AV25/1000/'PIB corriente base 2004'!X17</f>
        <v>0.0983995355142567</v>
      </c>
    </row>
    <row r="53" customFormat="false" ht="15" hidden="false" customHeight="false" outlineLevel="0" collapsed="false">
      <c r="A53" s="0" t="n">
        <f aca="false">'Cuenta Ahorro-Inversión-Financi'!AV94</f>
        <v>2006</v>
      </c>
      <c r="B53" s="1"/>
      <c r="C53" s="1"/>
      <c r="D53" s="746" t="n">
        <f aca="false">'Cuenta Ahorro-Inversión-Financi'!AW55</f>
        <v>-0.0165135934957867</v>
      </c>
      <c r="E53" s="746" t="n">
        <f aca="false">'Cuenta Ahorro-Inversión-Financi'!AX94</f>
        <v>0.00917791831736937</v>
      </c>
      <c r="F53" s="1"/>
      <c r="G53" s="1"/>
      <c r="H53" s="1"/>
      <c r="I53" s="1"/>
      <c r="J53" s="1"/>
      <c r="K53" s="1"/>
      <c r="L53" s="1"/>
      <c r="M53" s="1"/>
      <c r="N53" s="456" t="n">
        <f aca="false">Q51+R51+T51+U51+X51</f>
        <v>0.0241017443983268</v>
      </c>
      <c r="O53" s="1"/>
      <c r="P53" s="1" t="n">
        <f aca="false">'Exogenous tax and expenses'!P52+1</f>
        <v>2015</v>
      </c>
      <c r="Q53" s="775" t="n">
        <f aca="false">'Exogenous tax and expenses'!Q27/1000/'PIB corriente base 2004'!X19</f>
        <v>0.0127294769340055</v>
      </c>
      <c r="R53" s="775" t="n">
        <f aca="false">'Exogenous tax and expenses'!R27/1000/'PIB corriente base 2004'!$X19</f>
        <v>0.000666603868820108</v>
      </c>
      <c r="S53" s="775" t="n">
        <f aca="false">'Exogenous tax and expenses'!S27/1000/'PIB corriente base 2004'!X19</f>
        <v>0.00726716278767824</v>
      </c>
      <c r="T53" s="775" t="n">
        <f aca="false">'Exogenous tax and expenses'!T27/1000/'PIB corriente base 2004'!X19</f>
        <v>0.00948495384244874</v>
      </c>
      <c r="U53" s="775" t="n">
        <f aca="false">'Exogenous tax and expenses'!U27/1000/'PIB corriente base 2004'!X19</f>
        <v>0.000489779941810133</v>
      </c>
      <c r="V53" s="775" t="n">
        <f aca="false">'Exogenous tax and expenses'!V27/1000/'PIB corriente base 2004'!X19</f>
        <v>0.0163707146913644</v>
      </c>
      <c r="W53" s="775" t="n">
        <f aca="false">'Exogenous tax and expenses'!W27/1000/'PIB corriente base 2004'!$X19</f>
        <v>0.0160551081025211</v>
      </c>
      <c r="X53" s="775" t="n">
        <f aca="false">'Exogenous tax and expenses'!X27/1000/'PIB corriente base 2004'!$X19</f>
        <v>0.00238471307698379</v>
      </c>
      <c r="Y53" s="776" t="n">
        <f aca="false">'Exogenous tax and expenses'!Y27/1000/'PIB corriente base 2004'!X19</f>
        <v>0.00209681091536374</v>
      </c>
      <c r="Z53" s="776" t="n">
        <f aca="false">'Exogenous tax and expenses'!Z27/1000/'PIB corriente base 2004'!$X19</f>
        <v>0.000365874491397112</v>
      </c>
      <c r="AA53" s="776" t="n">
        <f aca="false">'Exogenous tax and expenses'!AA27/1000/'PIB corriente base 2004'!X19</f>
        <v>0.00269349490539226</v>
      </c>
      <c r="AB53" s="776" t="n">
        <f aca="false">'Exogenous tax and expenses'!AB27/1000/'PIB corriente base 2004'!X19</f>
        <v>0.0114806560184775</v>
      </c>
      <c r="AC53" s="776" t="n">
        <f aca="false">'Exogenous tax and expenses'!AC27/1000/'PIB corriente base 2004'!X19</f>
        <v>0.00171424659032606</v>
      </c>
      <c r="AD53" s="776"/>
      <c r="AE53" s="776" t="n">
        <f aca="false">'Exogenous tax and expenses'!AE27/1000/'PIB corriente base 2004'!$X19</f>
        <v>0</v>
      </c>
      <c r="AF53" s="776" t="n">
        <f aca="false">'Exogenous tax and expenses'!AF27/1000/'PIB corriente base 2004'!$X19</f>
        <v>0</v>
      </c>
      <c r="AG53" s="777" t="n">
        <f aca="false">'Exogenous tax and expenses'!AG27/1000/'PIB corriente base 2004'!X18</f>
        <v>0.0116138850189942</v>
      </c>
      <c r="AH53" s="777" t="n">
        <f aca="false">'Exogenous tax and expenses'!AH27/1000/'PIB corriente base 2004'!X18</f>
        <v>0.145013423707226</v>
      </c>
      <c r="AI53" s="777" t="n">
        <f aca="false">E62-D62</f>
        <v>0.0208017262560468</v>
      </c>
      <c r="AJ53" s="778" t="n">
        <f aca="false">(SUM(Q27:X27)-SUM(Y27:AF27)-V27-T27)/1000/'PIB corriente base 2004'!X19</f>
        <v>0.0212417617908622</v>
      </c>
      <c r="AK53" s="778" t="n">
        <f aca="false">AJ53-AI53</f>
        <v>0.000440035534815374</v>
      </c>
      <c r="AL53" s="1" t="n">
        <f aca="false">'Exogenous tax and expenses'!AL52+1</f>
        <v>2014</v>
      </c>
      <c r="AM53" s="456" t="n">
        <f aca="false">'Exogenous tax and expenses'!AN26/1000/'PIB corriente base 2004'!X18</f>
        <v>0.0583249747194018</v>
      </c>
      <c r="AN53" s="456" t="n">
        <f aca="false">'Exogenous tax and expenses'!AO26/1000/'PIB corriente base 2004'!X18</f>
        <v>0.0723294509494517</v>
      </c>
      <c r="AO53" s="456" t="n">
        <f aca="false">'Exogenous tax and expenses'!AP26/1000/'PIB corriente base 2004'!X18</f>
        <v>0.00971593170924165</v>
      </c>
      <c r="AP53" s="456" t="n">
        <f aca="false">'Exogenous tax and expenses'!AQ26/1000/'PIB corriente base 2004'!X18</f>
        <v>0.000433470744073636</v>
      </c>
      <c r="AQ53" s="456" t="n">
        <f aca="false">'Exogenous tax and expenses'!AR26/1000/'PIB corriente base 2004'!X18</f>
        <v>0.0167587616547611</v>
      </c>
      <c r="AR53" s="456" t="n">
        <f aca="false">'Exogenous tax and expenses'!AS26/1000/'PIB corriente base 2004'!X18</f>
        <v>0.000930161303871556</v>
      </c>
      <c r="AS53" s="456" t="n">
        <f aca="false">'Exogenous tax and expenses'!AT26/1000/'PIB corriente base 2004'!X18</f>
        <v>0.015871302582137</v>
      </c>
      <c r="AT53" s="456" t="n">
        <f aca="false">'Exogenous tax and expenses'!AU26/1000/'PIB corriente base 2004'!X18</f>
        <v>0.00838241527111434</v>
      </c>
      <c r="AU53" s="456" t="n">
        <f aca="false">'Exogenous tax and expenses'!AV26/1000/'PIB corriente base 2004'!X18</f>
        <v>0.103135201244363</v>
      </c>
    </row>
    <row r="54" customFormat="false" ht="15" hidden="false" customHeight="false" outlineLevel="0" collapsed="false">
      <c r="A54" s="0" t="n">
        <f aca="false">'Cuenta Ahorro-Inversión-Financi'!AV95</f>
        <v>2007</v>
      </c>
      <c r="B54" s="1"/>
      <c r="C54" s="1"/>
      <c r="D54" s="745" t="n">
        <f aca="false">'Cuenta Ahorro-Inversión-Financi'!AW56</f>
        <v>-0.0158656512635353</v>
      </c>
      <c r="E54" s="745" t="n">
        <f aca="false">'Cuenta Ahorro-Inversión-Financi'!AX95</f>
        <v>0.0108470293692913</v>
      </c>
      <c r="F54" s="1"/>
      <c r="G54" s="1"/>
      <c r="H54" s="1"/>
      <c r="I54" s="1"/>
      <c r="J54" s="1"/>
      <c r="K54" s="1"/>
      <c r="L54" s="1"/>
      <c r="M54" s="1"/>
      <c r="N54" s="456" t="n">
        <f aca="false">Q52+R52+T52+U52+X52</f>
        <v>0.0250875753352355</v>
      </c>
      <c r="O54" s="1"/>
      <c r="P54" s="1" t="n">
        <f aca="false">'Exogenous tax and expenses'!P53+1</f>
        <v>2016</v>
      </c>
      <c r="Q54" s="780" t="n">
        <f aca="false">'Exogenous tax and expenses'!Q28/1000/'PIB corriente base 2004'!X20</f>
        <v>0.0105109702628087</v>
      </c>
      <c r="R54" s="780" t="n">
        <f aca="false">'Exogenous tax and expenses'!R28/1000/'PIB corriente base 2004'!$X20</f>
        <v>0.000584590024895527</v>
      </c>
      <c r="S54" s="780" t="n">
        <f aca="false">'Exogenous tax and expenses'!S28/1000/'PIB corriente base 2004'!X20</f>
        <v>0.00708050197613375</v>
      </c>
      <c r="T54" s="780" t="n">
        <f aca="false">'Exogenous tax and expenses'!T28/1000/'PIB corriente base 2004'!X20</f>
        <v>0.00919573417118446</v>
      </c>
      <c r="U54" s="780" t="n">
        <f aca="false">'Exogenous tax and expenses'!U28/1000/'PIB corriente base 2004'!X20</f>
        <v>0.00050893519641016</v>
      </c>
      <c r="V54" s="780" t="n">
        <f aca="false">'Exogenous tax and expenses'!V28/1000/'PIB corriente base 2004'!X20</f>
        <v>0.0160022515479057</v>
      </c>
      <c r="W54" s="780" t="n">
        <f aca="false">'Exogenous tax and expenses'!W28/1000/'PIB corriente base 2004'!$X20</f>
        <v>0.0153374756841884</v>
      </c>
      <c r="X54" s="780" t="n">
        <f aca="false">'Exogenous tax and expenses'!X28/1000/'PIB corriente base 2004'!$X20</f>
        <v>0.00242605893369462</v>
      </c>
      <c r="Y54" s="775" t="n">
        <f aca="false">'Exogenous tax and expenses'!Y28/1000/'PIB corriente base 2004'!X20</f>
        <v>0.00176886207484977</v>
      </c>
      <c r="Z54" s="775" t="n">
        <f aca="false">'Exogenous tax and expenses'!Z28/1000/'PIB corriente base 2004'!$X20</f>
        <v>0.000354503345784394</v>
      </c>
      <c r="AA54" s="775" t="n">
        <f aca="false">'Exogenous tax and expenses'!AA28/1000/'PIB corriente base 2004'!X20</f>
        <v>0.00272424448676778</v>
      </c>
      <c r="AB54" s="775" t="n">
        <f aca="false">'Exogenous tax and expenses'!AB28/1000/'PIB corriente base 2004'!X20</f>
        <v>0.0107438261877049</v>
      </c>
      <c r="AC54" s="775" t="n">
        <f aca="false">'Exogenous tax and expenses'!AC28/1000/'PIB corriente base 2004'!X20</f>
        <v>0.00197107261819154</v>
      </c>
      <c r="AD54" s="775"/>
      <c r="AE54" s="775" t="n">
        <f aca="false">'Exogenous tax and expenses'!AE28/1000/'PIB corriente base 2004'!$X20</f>
        <v>0.0014704867980335</v>
      </c>
      <c r="AF54" s="775" t="n">
        <f aca="false">'Exogenous tax and expenses'!AF28/1000/'PIB corriente base 2004'!$X20</f>
        <v>0.00380407762138458</v>
      </c>
      <c r="AG54" s="775" t="n">
        <f aca="false">'Exogenous tax and expenses'!AG28/1000/'PIB corriente base 2004'!X19</f>
        <v>0.0121706409992493</v>
      </c>
      <c r="AH54" s="775" t="n">
        <f aca="false">'Exogenous tax and expenses'!AH28/1000/'PIB corriente base 2004'!X19</f>
        <v>0.147011234899792</v>
      </c>
      <c r="AI54" s="775" t="n">
        <f aca="false">E63-D63</f>
        <v>0.0122869140345456</v>
      </c>
      <c r="AJ54" s="778" t="n">
        <f aca="false">(SUM(Q28:X28)-SUM(Y28:AF28)-V28-T28)/1000/'PIB corriente base 2004'!X20</f>
        <v>0.0136114589454148</v>
      </c>
      <c r="AK54" s="778" t="n">
        <f aca="false">AJ54-AI54</f>
        <v>0.0013245449108692</v>
      </c>
      <c r="AL54" s="1" t="n">
        <f aca="false">'Exogenous tax and expenses'!AL53+1</f>
        <v>2015</v>
      </c>
      <c r="AM54" s="456" t="n">
        <f aca="false">'Exogenous tax and expenses'!AN27/1000/'PIB corriente base 2004'!X19</f>
        <v>0.0640628978067638</v>
      </c>
      <c r="AN54" s="456" t="n">
        <f aca="false">'Exogenous tax and expenses'!AO27/1000/'PIB corriente base 2004'!X19</f>
        <v>0.0727307831972059</v>
      </c>
      <c r="AO54" s="456" t="n">
        <f aca="false">'Exogenous tax and expenses'!AP27/1000/'PIB corriente base 2004'!X19</f>
        <v>0.00948495384244874</v>
      </c>
      <c r="AP54" s="456" t="n">
        <f aca="false">'Exogenous tax and expenses'!AQ27/1000/'PIB corriente base 2004'!X19</f>
        <v>0.000489779941810133</v>
      </c>
      <c r="AQ54" s="456" t="n">
        <f aca="false">'Exogenous tax and expenses'!AR27/1000/'PIB corriente base 2004'!X19</f>
        <v>0.0163707146913644</v>
      </c>
      <c r="AR54" s="456" t="n">
        <f aca="false">'Exogenous tax and expenses'!AS27/1000/'PIB corriente base 2004'!X19</f>
        <v>0.000944515191679076</v>
      </c>
      <c r="AS54" s="456" t="n">
        <f aca="false">'Exogenous tax and expenses'!AT27/1000/'PIB corriente base 2004'!X19</f>
        <v>0.0160551081025211</v>
      </c>
      <c r="AT54" s="456" t="n">
        <f aca="false">'Exogenous tax and expenses'!AU27/1000/'PIB corriente base 2004'!X19</f>
        <v>0.00893120932488722</v>
      </c>
      <c r="AU54" s="456" t="n">
        <f aca="false">'Exogenous tax and expenses'!AV27/1000/'PIB corriente base 2004'!X19</f>
        <v>0.111516967830284</v>
      </c>
    </row>
    <row r="55" customFormat="false" ht="15" hidden="false" customHeight="false" outlineLevel="0" collapsed="false">
      <c r="A55" s="0" t="n">
        <f aca="false">'Cuenta Ahorro-Inversión-Financi'!AV96</f>
        <v>2008</v>
      </c>
      <c r="B55" s="1"/>
      <c r="C55" s="1"/>
      <c r="D55" s="746" t="n">
        <f aca="false">'Cuenta Ahorro-Inversión-Financi'!AW57</f>
        <v>-0.0183013371636907</v>
      </c>
      <c r="E55" s="746" t="n">
        <f aca="false">'Cuenta Ahorro-Inversión-Financi'!AY96</f>
        <v>0.00473047402209589</v>
      </c>
      <c r="F55" s="1"/>
      <c r="G55" s="456"/>
      <c r="H55" s="1"/>
      <c r="I55" s="1"/>
      <c r="J55" s="1"/>
      <c r="K55" s="1"/>
      <c r="L55" s="1"/>
      <c r="M55" s="1"/>
      <c r="N55" s="456" t="n">
        <f aca="false">Q53+R53+T53+U53+X53</f>
        <v>0.0257555276640683</v>
      </c>
      <c r="O55" s="1"/>
      <c r="P55" s="1" t="n">
        <f aca="false">'Exogenous tax and expenses'!P54+1</f>
        <v>2017</v>
      </c>
      <c r="Q55" s="775" t="n">
        <f aca="false">'Exogenous tax and expenses'!Q29/1000/'PIB corriente base 2004'!X21</f>
        <v>0.0102628562112773</v>
      </c>
      <c r="R55" s="775" t="n">
        <f aca="false">'Exogenous tax and expenses'!R29/1000/'PIB corriente base 2004'!$X21</f>
        <v>0.000684112440227953</v>
      </c>
      <c r="S55" s="775" t="n">
        <f aca="false">'Exogenous tax and expenses'!S29/1000/'PIB corriente base 2004'!X21</f>
        <v>0.00702011141307821</v>
      </c>
      <c r="T55" s="775" t="n">
        <f aca="false">'Exogenous tax and expenses'!T29/1000/'PIB corriente base 2004'!X21</f>
        <v>0.00966160001444418</v>
      </c>
      <c r="U55" s="775" t="n">
        <f aca="false">'Exogenous tax and expenses'!U29/1000/'PIB corriente base 2004'!X21</f>
        <v>0.000528483222256209</v>
      </c>
      <c r="V55" s="775" t="n">
        <f aca="false">'Exogenous tax and expenses'!V29/1000/'PIB corriente base 2004'!X21</f>
        <v>0.0162369256572215</v>
      </c>
      <c r="W55" s="775" t="n">
        <f aca="false">'Exogenous tax and expenses'!W29/1000/'PIB corriente base 2004'!$X21</f>
        <v>0.0156379005322433</v>
      </c>
      <c r="X55" s="775" t="n">
        <f aca="false">'Exogenous tax and expenses'!X29/1000/'PIB corriente base 2004'!$X21</f>
        <v>0.00276714880493468</v>
      </c>
      <c r="Y55" s="776" t="n">
        <f aca="false">'Exogenous tax and expenses'!Y29/1000/'PIB corriente base 2004'!X21</f>
        <v>0.00172129952860513</v>
      </c>
      <c r="Z55" s="776" t="n">
        <f aca="false">'Exogenous tax and expenses'!Z29/1000/'PIB corriente base 2004'!$X21</f>
        <v>0.000471364562460636</v>
      </c>
      <c r="AA55" s="776" t="n">
        <f aca="false">'Exogenous tax and expenses'!AA29/1000/'PIB corriente base 2004'!X21</f>
        <v>0.00290593948372479</v>
      </c>
      <c r="AB55" s="776" t="n">
        <f aca="false">'Exogenous tax and expenses'!AB29/1000/'PIB corriente base 2004'!X21</f>
        <v>0.00982746458674929</v>
      </c>
      <c r="AC55" s="776" t="n">
        <f aca="false">'Exogenous tax and expenses'!AC29/1000/'PIB corriente base 2004'!$X21</f>
        <v>0.00169318277702991</v>
      </c>
      <c r="AD55" s="776" t="n">
        <f aca="false">'Exogenous tax and expenses'!AD29/1000/'PIB corriente base 2004'!$X21</f>
        <v>0.000880593978403208</v>
      </c>
      <c r="AE55" s="776" t="n">
        <f aca="false">'Exogenous tax and expenses'!AE29/1000/'PIB corriente base 2004'!$X21</f>
        <v>0.00101880933409591</v>
      </c>
      <c r="AF55" s="776" t="n">
        <f aca="false">'Exogenous tax and expenses'!AF29/1000/'PIB corriente base 2004'!$X21</f>
        <v>0.00732550025557762</v>
      </c>
      <c r="AG55" s="777" t="n">
        <f aca="false">'Exogenous tax and expenses'!AG29/1000/'PIB corriente base 2004'!X20</f>
        <v>0.0134023388269381</v>
      </c>
      <c r="AH55" s="777" t="n">
        <f aca="false">'Exogenous tax and expenses'!AH29/1000/'PIB corriente base 2004'!X20</f>
        <v>0.146154069052377</v>
      </c>
      <c r="AI55" s="777" t="n">
        <f aca="false">E64-D64</f>
        <v>0.00822525984368728</v>
      </c>
      <c r="AJ55" s="778" t="n">
        <f aca="false">(SUM(Q29:X29)-SUM(Y29:AF29)-V29-T29)/1000/'PIB corriente base 2004'!X21</f>
        <v>0.0110564581173711</v>
      </c>
      <c r="AK55" s="778" t="n">
        <f aca="false">AJ55-AI55</f>
        <v>0.00283119827368383</v>
      </c>
      <c r="AL55" s="1" t="n">
        <f aca="false">'Exogenous tax and expenses'!AL54+1</f>
        <v>2016</v>
      </c>
      <c r="AM55" s="456" t="n">
        <f aca="false">'Exogenous tax and expenses'!AN28/1000/'PIB corriente base 2004'!X20</f>
        <v>0.05261287788909</v>
      </c>
      <c r="AN55" s="456" t="n">
        <f aca="false">'Exogenous tax and expenses'!AO28/1000/'PIB corriente base 2004'!X20</f>
        <v>0.0708806060447253</v>
      </c>
      <c r="AO55" s="456" t="n">
        <f aca="false">'Exogenous tax and expenses'!AP28/1000/'PIB corriente base 2004'!X20</f>
        <v>0.00919573417118446</v>
      </c>
      <c r="AP55" s="456" t="n">
        <f aca="false">'Exogenous tax and expenses'!AQ28/1000/'PIB corriente base 2004'!X20</f>
        <v>0.00050893519641016</v>
      </c>
      <c r="AQ55" s="456" t="n">
        <f aca="false">'Exogenous tax and expenses'!AR28/1000/'PIB corriente base 2004'!X20</f>
        <v>0.0160022515479057</v>
      </c>
      <c r="AR55" s="456" t="n">
        <f aca="false">'Exogenous tax and expenses'!AS28/1000/'PIB corriente base 2004'!X20</f>
        <v>0.000835306845081787</v>
      </c>
      <c r="AS55" s="456" t="n">
        <f aca="false">'Exogenous tax and expenses'!AT28/1000/'PIB corriente base 2004'!X20</f>
        <v>0.0153374756841884</v>
      </c>
      <c r="AT55" s="456" t="n">
        <f aca="false">'Exogenous tax and expenses'!AU28/1000/'PIB corriente base 2004'!X20</f>
        <v>0.00880758496959625</v>
      </c>
      <c r="AU55" s="456" t="n">
        <f aca="false">'Exogenous tax and expenses'!AV28/1000/'PIB corriente base 2004'!X20</f>
        <v>0.106388311260275</v>
      </c>
    </row>
    <row r="56" customFormat="false" ht="15" hidden="false" customHeight="false" outlineLevel="0" collapsed="false">
      <c r="A56" s="0" t="n">
        <f aca="false">'Cuenta Ahorro-Inversión-Financi'!AV97</f>
        <v>2009</v>
      </c>
      <c r="B56" s="1"/>
      <c r="C56" s="1"/>
      <c r="D56" s="745" t="n">
        <f aca="false">'Cuenta Ahorro-Inversión-Financi'!AW58</f>
        <v>-0.0156710909032578</v>
      </c>
      <c r="E56" s="745" t="n">
        <f aca="false">'Cuenta Ahorro-Inversión-Financi'!AY97</f>
        <v>0.00347884656778641</v>
      </c>
      <c r="F56" s="1"/>
      <c r="G56" s="1"/>
      <c r="H56" s="1"/>
      <c r="I56" s="1"/>
      <c r="J56" s="1"/>
      <c r="K56" s="1"/>
      <c r="L56" s="1"/>
      <c r="M56" s="1"/>
      <c r="N56" s="456" t="n">
        <f aca="false">Q54+R54+T54+U54+X54</f>
        <v>0.0232262885889935</v>
      </c>
      <c r="O56" s="456" t="n">
        <f aca="false">SUM(Q56:X56)-W56-S56</f>
        <v>0.0272682081300654</v>
      </c>
      <c r="P56" s="1" t="n">
        <v>2018</v>
      </c>
      <c r="Q56" s="785" t="n">
        <f aca="false">'Exogenous tax and expenses'!Q30/1000/'PIB corriente base 2004'!X22</f>
        <v>0</v>
      </c>
      <c r="R56" s="785" t="n">
        <f aca="false">'Exogenous tax and expenses'!R30/1000/'PIB corriente base 2004'!$X22</f>
        <v>0.000756313868057431</v>
      </c>
      <c r="S56" s="785" t="n">
        <f aca="false">'Exogenous tax and expenses'!S30/1000/'PIB corriente base 2004'!X22</f>
        <v>0.00734452401730621</v>
      </c>
      <c r="T56" s="785" t="n">
        <f aca="false">'Exogenous tax and expenses'!T30/1000/'PIB corriente base 2004'!X22</f>
        <v>0.00799150623036931</v>
      </c>
      <c r="U56" s="785" t="n">
        <f aca="false">'Exogenous tax and expenses'!U30/1000/'PIB corriente base 2004'!X22</f>
        <v>0.000469975376524547</v>
      </c>
      <c r="V56" s="785" t="n">
        <f aca="false">'Exogenous tax and expenses'!V30/1000/'PIB corriente base 2004'!X22</f>
        <v>0.0159674857167434</v>
      </c>
      <c r="W56" s="785" t="n">
        <f aca="false">'Exogenous tax and expenses'!W30/1000/'PIB corriente base 2004'!$X22</f>
        <v>0.0178786425763565</v>
      </c>
      <c r="X56" s="785" t="n">
        <f aca="false">'Exogenous tax and expenses'!X30/1000/'PIB corriente base 2004'!$X22</f>
        <v>0.00208292693837073</v>
      </c>
      <c r="Y56" s="775" t="n">
        <f aca="false">'Exogenous tax and expenses'!Y30/1000/'PIB corriente base 2004'!X22</f>
        <v>0.00147773148713019</v>
      </c>
      <c r="Z56" s="775" t="n">
        <f aca="false">'Exogenous tax and expenses'!Z30/1000/'PIB corriente base 2004'!$X22</f>
        <v>0.000430015334349855</v>
      </c>
      <c r="AA56" s="775" t="n">
        <f aca="false">'Exogenous tax and expenses'!AA30/1000/'PIB corriente base 2004'!X22</f>
        <v>0.00269794801353933</v>
      </c>
      <c r="AB56" s="775" t="n">
        <f aca="false">'Exogenous tax and expenses'!AB30/1000/'PIB corriente base 2004'!X22</f>
        <v>0.00695203916219706</v>
      </c>
      <c r="AC56" s="775" t="n">
        <f aca="false">'Exogenous tax and expenses'!AC30/1000/'PIB corriente base 2004'!$X22</f>
        <v>0.00155582043184477</v>
      </c>
      <c r="AD56" s="775" t="n">
        <f aca="false">'Exogenous tax and expenses'!AD30/1000/'PIB corriente base 2004'!$X22</f>
        <v>0.00262234557625098</v>
      </c>
      <c r="AE56" s="775" t="n">
        <f aca="false">'Exogenous tax and expenses'!AE30/1000/'PIB corriente base 2004'!$X22</f>
        <v>0.00134070786001074</v>
      </c>
      <c r="AF56" s="775" t="n">
        <f aca="false">'Exogenous tax and expenses'!AF30/1000/'PIB corriente base 2004'!$X22</f>
        <v>0.0115429938700718</v>
      </c>
      <c r="AG56" s="775"/>
      <c r="AH56" s="775"/>
      <c r="AI56" s="775" t="n">
        <f aca="false">E65-D65</f>
        <v>0.0152176113558986</v>
      </c>
      <c r="AJ56" s="778" t="n">
        <f aca="false">(SUM(Q30:X30)-SUM(Y30:AF30)-T30)/1000/'PIB corriente base 2004'!X22</f>
        <v>0.015880266757964</v>
      </c>
      <c r="AK56" s="778" t="n">
        <f aca="false">AJ56-AI56</f>
        <v>0.00066265540206541</v>
      </c>
      <c r="AL56" s="1"/>
      <c r="AM56" s="456"/>
      <c r="AN56" s="456"/>
      <c r="AO56" s="456"/>
      <c r="AP56" s="456"/>
      <c r="AQ56" s="456"/>
      <c r="AR56" s="456"/>
      <c r="AS56" s="456"/>
      <c r="AT56" s="456"/>
      <c r="AU56" s="456"/>
    </row>
    <row r="57" customFormat="false" ht="15" hidden="false" customHeight="false" outlineLevel="0" collapsed="false">
      <c r="A57" s="0" t="n">
        <f aca="false">'Cuenta Ahorro-Inversión-Financi'!AV98</f>
        <v>2010</v>
      </c>
      <c r="B57" s="1"/>
      <c r="C57" s="1"/>
      <c r="D57" s="746" t="n">
        <f aca="false">'Cuenta Ahorro-Inversión-Financi'!AW59</f>
        <v>-0.0158039957303612</v>
      </c>
      <c r="E57" s="746" t="n">
        <f aca="false">'Cuenta Ahorro-Inversión-Financi'!AY98</f>
        <v>0.00411235591593429</v>
      </c>
      <c r="F57" s="1"/>
      <c r="G57" s="1"/>
      <c r="H57" s="1"/>
      <c r="I57" s="1"/>
      <c r="J57" s="1"/>
      <c r="K57" s="1"/>
      <c r="L57" s="1"/>
      <c r="M57" s="1"/>
      <c r="N57" s="456" t="n">
        <f aca="false">Q55+R55+T55+U55+X55</f>
        <v>0.0239042006931403</v>
      </c>
      <c r="O57" s="456" t="n">
        <f aca="false">(R30+S30+U30+V30+X30)/1000/'PIB corriente base 2004'!X22</f>
        <v>0.0266212259170023</v>
      </c>
      <c r="P57" s="1"/>
      <c r="Q57" s="785"/>
      <c r="R57" s="785"/>
      <c r="S57" s="785"/>
      <c r="T57" s="785"/>
      <c r="U57" s="785"/>
      <c r="V57" s="785"/>
      <c r="W57" s="785"/>
      <c r="X57" s="785"/>
      <c r="Y57" s="775"/>
      <c r="Z57" s="775"/>
      <c r="AA57" s="775"/>
      <c r="AB57" s="775" t="n">
        <f aca="false">AC56+AB56+AA56</f>
        <v>0.0112058076075812</v>
      </c>
      <c r="AC57" s="775"/>
      <c r="AD57" s="775"/>
      <c r="AE57" s="777"/>
      <c r="AF57" s="777"/>
      <c r="AG57" s="1"/>
      <c r="AH57" s="456"/>
      <c r="AI57" s="1"/>
      <c r="AJ57" s="1"/>
      <c r="AK57" s="456"/>
      <c r="AL57" s="456"/>
      <c r="AM57" s="456"/>
      <c r="AN57" s="456"/>
      <c r="AO57" s="456"/>
      <c r="AP57" s="456"/>
      <c r="AQ57" s="456"/>
      <c r="AR57" s="456"/>
      <c r="AS57" s="456"/>
    </row>
    <row r="58" customFormat="false" ht="15" hidden="false" customHeight="false" outlineLevel="0" collapsed="false">
      <c r="A58" s="0" t="n">
        <f aca="false">'Cuenta Ahorro-Inversión-Financi'!AV99</f>
        <v>2011</v>
      </c>
      <c r="B58" s="1"/>
      <c r="C58" s="1"/>
      <c r="D58" s="745" t="n">
        <f aca="false">'Cuenta Ahorro-Inversión-Financi'!AW60</f>
        <v>-0.016223235863457</v>
      </c>
      <c r="E58" s="745" t="n">
        <f aca="false">'Cuenta Ahorro-Inversión-Financi'!AY99</f>
        <v>0.00326307905881009</v>
      </c>
      <c r="F58" s="1"/>
      <c r="G58" s="1"/>
      <c r="H58" s="1"/>
      <c r="I58" s="1"/>
      <c r="J58" s="1"/>
      <c r="K58" s="1"/>
      <c r="L58" s="1"/>
      <c r="M58" s="1"/>
      <c r="N58" s="456" t="n">
        <f aca="false">R56+T56+U56+V56+X56</f>
        <v>0.0272682081300654</v>
      </c>
      <c r="O58" s="456" t="n">
        <f aca="false">R30/1000/'PIB corriente base 2004'!X22+S30/1000/'PIB corriente base 2004'!X22+U30/1000/'PIB corriente base 2004'!X22+V30/1000/'PIB corriente base 2004'!X22+X30/1000/'PIB corriente base 2004'!X22</f>
        <v>0.0266212259170023</v>
      </c>
      <c r="Q58" s="785"/>
      <c r="R58" s="785"/>
      <c r="S58" s="785"/>
      <c r="T58" s="785" t="n">
        <f aca="false">T56*0.2896</f>
        <v>0.00231434020431495</v>
      </c>
      <c r="U58" s="785"/>
      <c r="V58" s="785"/>
      <c r="W58" s="785"/>
      <c r="X58" s="785"/>
      <c r="Y58" s="775"/>
      <c r="Z58" s="775"/>
      <c r="AA58" s="775"/>
      <c r="AB58" s="775"/>
      <c r="AC58" s="786"/>
      <c r="AD58" s="786"/>
      <c r="AE58" s="777"/>
      <c r="AF58" s="777"/>
      <c r="AG58" s="1"/>
      <c r="AH58" s="1"/>
      <c r="AI58" s="1"/>
      <c r="AJ58" s="1"/>
      <c r="AK58" s="456"/>
      <c r="AL58" s="456"/>
      <c r="AM58" s="456"/>
      <c r="AN58" s="456"/>
      <c r="AO58" s="456"/>
      <c r="AP58" s="456"/>
      <c r="AQ58" s="456"/>
      <c r="AR58" s="456"/>
      <c r="AS58" s="456"/>
    </row>
    <row r="59" customFormat="false" ht="26.25" hidden="false" customHeight="false" outlineLevel="0" collapsed="false">
      <c r="A59" s="0" t="n">
        <f aca="false">'Cuenta Ahorro-Inversión-Financi'!AV100</f>
        <v>2012</v>
      </c>
      <c r="B59" s="1"/>
      <c r="C59" s="1"/>
      <c r="D59" s="746" t="n">
        <f aca="false">'Cuenta Ahorro-Inversión-Financi'!AW61</f>
        <v>-0.0195335859314802</v>
      </c>
      <c r="E59" s="746" t="n">
        <f aca="false">'Cuenta Ahorro-Inversión-Financi'!AY100</f>
        <v>0.00105161751029002</v>
      </c>
      <c r="F59" s="604" t="s">
        <v>1050</v>
      </c>
      <c r="G59" s="604"/>
      <c r="H59" s="604"/>
      <c r="I59" s="604"/>
      <c r="J59" s="604"/>
      <c r="K59" s="604"/>
      <c r="L59" s="604" t="s">
        <v>1051</v>
      </c>
      <c r="M59" s="604"/>
      <c r="N59" s="604"/>
      <c r="O59" s="604"/>
      <c r="P59" s="604"/>
      <c r="Q59" s="604"/>
      <c r="R59" s="604"/>
      <c r="S59" s="1"/>
      <c r="T59" s="28" t="n">
        <f aca="false">T30*0.2869</f>
        <v>33397669.2680164</v>
      </c>
      <c r="U59" s="1"/>
      <c r="V59" s="455" t="s">
        <v>1052</v>
      </c>
      <c r="W59" s="1" t="s">
        <v>1053</v>
      </c>
      <c r="X59" s="1"/>
      <c r="Y59" s="1"/>
      <c r="Z59" s="1"/>
      <c r="AA59" s="1"/>
      <c r="AB59" s="1"/>
      <c r="AC59" s="1"/>
      <c r="AD59" s="1"/>
      <c r="AE59" s="456" t="n">
        <f aca="false">AVERAGE('Exogenous tax and expenses'!AG47:AG55)</f>
        <v>0.00958800130474859</v>
      </c>
      <c r="AF59" s="1"/>
      <c r="AG59" s="1"/>
      <c r="AH59" s="1"/>
      <c r="AI59" s="1" t="n">
        <f aca="false">'Exogenous tax and expenses'!AL55+1</f>
        <v>2017</v>
      </c>
      <c r="AJ59" s="1"/>
      <c r="AK59" s="456" t="n">
        <f aca="false">'Exogenous tax and expenses'!AN29/1000/'PIB corriente base 2004'!X21</f>
        <v>0.0521403951618312</v>
      </c>
      <c r="AL59" s="456" t="n">
        <f aca="false">'Exogenous tax and expenses'!AO29/1000/'PIB corriente base 2004'!X21</f>
        <v>0.0718978103197697</v>
      </c>
      <c r="AM59" s="456" t="n">
        <f aca="false">'Exogenous tax and expenses'!AP29/1000/'PIB corriente base 2004'!X21</f>
        <v>0.00966160001444418</v>
      </c>
      <c r="AN59" s="456" t="n">
        <f aca="false">'Exogenous tax and expenses'!AQ29/1000/'PIB corriente base 2004'!X21</f>
        <v>0.000528483222256209</v>
      </c>
      <c r="AO59" s="456" t="n">
        <f aca="false">'Exogenous tax and expenses'!AR29/1000/'PIB corriente base 2004'!X21</f>
        <v>0.0162369256572215</v>
      </c>
      <c r="AP59" s="456" t="n">
        <f aca="false">'Exogenous tax and expenses'!AS29/1000/'PIB corriente base 2004'!X21</f>
        <v>0.000990536787932435</v>
      </c>
      <c r="AQ59" s="456" t="n">
        <f aca="false">'Exogenous tax and expenses'!AT29/1000/'PIB corriente base 2004'!X21</f>
        <v>0.0156379005322433</v>
      </c>
      <c r="AR59" s="456" t="n">
        <f aca="false">'Exogenous tax and expenses'!AU29/1000/'PIB corriente base 2004'!X21</f>
        <v>0.0103596875406384</v>
      </c>
      <c r="AS59" s="456" t="n">
        <f aca="false">'Exogenous tax and expenses'!AV29/1000/'PIB corriente base 2004'!X21</f>
        <v>0.11297360167706</v>
      </c>
    </row>
    <row r="60" customFormat="false" ht="15" hidden="false" customHeight="false" outlineLevel="0" collapsed="false">
      <c r="A60" s="0" t="n">
        <f aca="false">'Cuenta Ahorro-Inversión-Financi'!AV101</f>
        <v>2013</v>
      </c>
      <c r="B60" s="1"/>
      <c r="C60" s="1"/>
      <c r="D60" s="745" t="n">
        <f aca="false">'Cuenta Ahorro-Inversión-Financi'!AW62</f>
        <v>-0.02109912849421</v>
      </c>
      <c r="E60" s="745" t="n">
        <f aca="false">'Cuenta Ahorro-Inversión-Financi'!AY101</f>
        <v>-0.000951668558161176</v>
      </c>
      <c r="F60" s="1" t="s">
        <v>1054</v>
      </c>
      <c r="G60" s="1" t="s">
        <v>1055</v>
      </c>
      <c r="H60" s="1" t="s">
        <v>1056</v>
      </c>
      <c r="I60" s="1" t="s">
        <v>1057</v>
      </c>
      <c r="J60" s="1" t="s">
        <v>1058</v>
      </c>
      <c r="K60" s="1" t="s">
        <v>1059</v>
      </c>
      <c r="L60" s="1" t="s">
        <v>1054</v>
      </c>
      <c r="M60" s="1" t="s">
        <v>1060</v>
      </c>
      <c r="N60" s="1" t="s">
        <v>1056</v>
      </c>
      <c r="O60" s="1" t="s">
        <v>1061</v>
      </c>
      <c r="P60" s="1" t="s">
        <v>1058</v>
      </c>
      <c r="Q60" s="1" t="s">
        <v>1059</v>
      </c>
      <c r="R60" s="731" t="n">
        <f aca="false">AVERAGE('Exogenous tax and expenses'!R46:R56)</f>
        <v>0.000768098560450325</v>
      </c>
      <c r="S60" s="731" t="n">
        <f aca="false">AVERAGE('Exogenous tax and expenses'!S46:S56)</f>
        <v>0.00718984456547109</v>
      </c>
      <c r="T60" s="731" t="n">
        <f aca="false">AVERAGE('Exogenous tax and expenses'!T46:T55)*0.2869</f>
        <v>0.00264884044328671</v>
      </c>
      <c r="U60" s="456" t="n">
        <f aca="false">AVERAGE('Exogenous tax and expenses'!U46:U56)/3</f>
        <v>0.000158610557119791</v>
      </c>
      <c r="V60" s="456" t="n">
        <f aca="false">AVERAGE('Exogenous tax and expenses'!V46:V56)</f>
        <v>0.0164622626358892</v>
      </c>
      <c r="W60" s="456" t="n">
        <f aca="false">AVERAGE('Exogenous tax and expenses'!W46:W56)</f>
        <v>0.0155521600563946</v>
      </c>
      <c r="X60" s="456" t="n">
        <f aca="false">AVERAGE('Exogenous tax and expenses'!X46:X56)</f>
        <v>0.00268515933653875</v>
      </c>
      <c r="Y60" s="456" t="n">
        <f aca="false">AVERAGE('Exogenous tax and expenses'!Y46:Y55)</f>
        <v>0.00191293753744961</v>
      </c>
      <c r="Z60" s="456" t="n">
        <f aca="false">AVERAGE(Z49:Z56)</f>
        <v>0.000380528082703533</v>
      </c>
      <c r="AA60" s="456" t="n">
        <f aca="false">AVERAGE('Exogenous tax and expenses'!AA46:AA55)</f>
        <v>0.00262755013399756</v>
      </c>
      <c r="AB60" s="456" t="n">
        <f aca="false">AB56</f>
        <v>0.00695203916219706</v>
      </c>
      <c r="AC60" s="456" t="n">
        <f aca="false">AVERAGE('Exogenous tax and expenses'!AC46:AC55)</f>
        <v>0.00152536277685544</v>
      </c>
      <c r="AD60" s="456" t="n">
        <f aca="false">AD56</f>
        <v>0.00262234557625098</v>
      </c>
      <c r="AE60" s="456"/>
      <c r="AF60" s="456" t="n">
        <f aca="false">AVERAGE('Exogenous tax and expenses'!AG47:AG55)/AVERAGE('Exogenous tax and expenses'!AH47:AH55)</f>
        <v>0.072078433514199</v>
      </c>
      <c r="AG60" s="456"/>
      <c r="AH60" s="1"/>
      <c r="AI60" s="1"/>
      <c r="AJ60" s="1"/>
      <c r="AK60" s="1"/>
      <c r="AL60" s="1"/>
      <c r="AM60" s="1"/>
      <c r="AN60" s="1"/>
      <c r="AO60" s="1"/>
      <c r="AP60" s="1"/>
      <c r="AQ60" s="1"/>
      <c r="AR60" s="1"/>
      <c r="AS60" s="1"/>
      <c r="AT60" s="1"/>
    </row>
    <row r="61" customFormat="false" ht="15" hidden="false" customHeight="false" outlineLevel="0" collapsed="false">
      <c r="B61" s="787"/>
      <c r="C61" s="1" t="n">
        <v>2014</v>
      </c>
      <c r="D61" s="746" t="n">
        <f aca="false">'Cuenta Ahorro-Inversión-Financi'!AW63</f>
        <v>-0.0217418594917814</v>
      </c>
      <c r="E61" s="746" t="n">
        <f aca="false">'Cuenta Ahorro-Inversión-Financi'!AY102</f>
        <v>-0.00129286375596846</v>
      </c>
      <c r="H61" s="788" t="n">
        <v>-0.0196925047215125</v>
      </c>
      <c r="I61" s="789"/>
      <c r="J61" s="1"/>
      <c r="K61" s="1"/>
      <c r="L61" s="456"/>
      <c r="M61" s="1"/>
      <c r="N61" s="456" t="n">
        <f aca="false">'Exogenous tax and expenses'!H61+SUM('Exogenous tax and expenses'!Q52:S52)+'Exogenous tax and expenses'!W52+'Exogenous tax and expenses'!U52+'Cuenta Ahorro-Inversión-Financi'!L30/1000/'PIB corriente base 2004'!X18-SUM('Exogenous tax and expenses'!Y52:AD52)</f>
        <v>0.00115825366281503</v>
      </c>
      <c r="O61" s="1"/>
      <c r="P61" s="1"/>
      <c r="Q61" s="1"/>
      <c r="R61" s="731"/>
      <c r="S61" s="790"/>
      <c r="T61" s="456"/>
      <c r="U61" s="456"/>
      <c r="V61" s="456"/>
      <c r="W61" s="456"/>
      <c r="X61" s="456"/>
      <c r="Y61" s="456"/>
      <c r="Z61" s="456"/>
      <c r="AA61" s="456"/>
      <c r="AB61" s="456"/>
      <c r="AC61" s="456"/>
      <c r="AD61" s="1"/>
      <c r="AE61" s="456"/>
      <c r="AF61" s="1"/>
      <c r="AG61" s="1"/>
      <c r="AH61" s="1"/>
      <c r="AI61" s="1"/>
      <c r="AJ61" s="1"/>
      <c r="AK61" s="1"/>
      <c r="AL61" s="1"/>
      <c r="AM61" s="1"/>
      <c r="AN61" s="1"/>
      <c r="AO61" s="1"/>
      <c r="AP61" s="1"/>
      <c r="AQ61" s="1"/>
      <c r="AR61" s="1"/>
    </row>
    <row r="62" customFormat="false" ht="15" hidden="false" customHeight="false" outlineLevel="0" collapsed="false">
      <c r="B62" s="787"/>
      <c r="C62" s="1" t="n">
        <f aca="false">'Exogenous tax and expenses'!C61+1</f>
        <v>2015</v>
      </c>
      <c r="D62" s="745" t="n">
        <f aca="false">'Cuenta Ahorro-Inversión-Financi'!AW64</f>
        <v>-0.02830905931782</v>
      </c>
      <c r="E62" s="745" t="n">
        <f aca="false">'Cuenta Ahorro-Inversión-Financi'!AY103</f>
        <v>-0.00750733306177321</v>
      </c>
      <c r="H62" s="788" t="n">
        <v>-0.032874367663993</v>
      </c>
      <c r="I62" s="789"/>
      <c r="J62" s="1"/>
      <c r="K62" s="1"/>
      <c r="L62" s="1"/>
      <c r="M62" s="1"/>
      <c r="N62" s="456" t="n">
        <f aca="false">'Exogenous tax and expenses'!H62+SUM('Exogenous tax and expenses'!Q53:S53)+'Exogenous tax and expenses'!W53+'Exogenous tax and expenses'!U53+'Cuenta Ahorro-Inversión-Financi'!L31/1000/'PIB corriente base 2004'!X19-SUM('Exogenous tax and expenses'!Y53:AD53)</f>
        <v>-0.0116326058731308</v>
      </c>
      <c r="O62" s="1"/>
      <c r="P62" s="1"/>
      <c r="Q62" s="1"/>
      <c r="R62" s="731"/>
      <c r="S62" s="731"/>
      <c r="T62" s="456"/>
      <c r="U62" s="456"/>
      <c r="V62" s="456"/>
      <c r="W62" s="456"/>
      <c r="X62" s="456"/>
      <c r="Y62" s="456"/>
      <c r="Z62" s="456"/>
      <c r="AA62" s="456"/>
      <c r="AB62" s="456"/>
      <c r="AC62" s="456"/>
      <c r="AD62" s="1"/>
      <c r="AE62" s="456"/>
      <c r="AF62" s="1"/>
      <c r="AG62" s="1"/>
      <c r="AH62" s="1"/>
      <c r="AI62" s="1"/>
      <c r="AJ62" s="1"/>
      <c r="AK62" s="1"/>
      <c r="AL62" s="1"/>
      <c r="AM62" s="1"/>
      <c r="AN62" s="1"/>
      <c r="AO62" s="1"/>
      <c r="AP62" s="1"/>
      <c r="AQ62" s="1"/>
      <c r="AR62" s="1"/>
    </row>
    <row r="63" customFormat="false" ht="15" hidden="false" customHeight="false" outlineLevel="0" collapsed="false">
      <c r="B63" s="787"/>
      <c r="C63" s="1" t="n">
        <f aca="false">'Exogenous tax and expenses'!C62+1</f>
        <v>2016</v>
      </c>
      <c r="D63" s="746" t="n">
        <f aca="false">'Cuenta Ahorro-Inversión-Financi'!AW65</f>
        <v>-0.0326337137303945</v>
      </c>
      <c r="E63" s="746" t="n">
        <f aca="false">'Cuenta Ahorro-Inversión-Financi'!AZ104</f>
        <v>-0.0203467996958489</v>
      </c>
      <c r="H63" s="788" t="n">
        <v>-0.0327697671041841</v>
      </c>
      <c r="I63" s="788" t="n">
        <v>-0.0328097350766333</v>
      </c>
      <c r="J63" s="1"/>
      <c r="K63" s="1"/>
      <c r="L63" s="1"/>
      <c r="M63" s="1"/>
      <c r="N63" s="456" t="n">
        <f aca="false">'Exogenous tax and expenses'!H63+SUM('Exogenous tax and expenses'!Q54:S54)+'Exogenous tax and expenses'!W54+'Exogenous tax and expenses'!U54+'Cuenta Ahorro-Inversión-Financi'!L32/1000/'PIB corriente base 2004'!X20-SUM('Exogenous tax and expenses'!Y54:AD54)</f>
        <v>-0.0138837437393512</v>
      </c>
      <c r="O63" s="456" t="n">
        <f aca="false">'Exogenous tax and expenses'!I63+SUM('Exogenous tax and expenses'!Q54:S54)+'Exogenous tax and expenses'!W54+'Exogenous tax and expenses'!U54+'Cuenta Ahorro-Inversión-Financi'!L32/1000/'PIB corriente base 2004'!X20-SUM('Exogenous tax and expenses'!Y54:AF54)</f>
        <v>-0.0191982761312185</v>
      </c>
      <c r="P63" s="1"/>
      <c r="Q63" s="1"/>
      <c r="R63" s="731"/>
      <c r="S63" s="731"/>
      <c r="T63" s="456"/>
      <c r="U63" s="456"/>
      <c r="V63" s="456"/>
      <c r="W63" s="456"/>
      <c r="X63" s="456"/>
      <c r="Y63" s="456"/>
      <c r="Z63" s="456"/>
      <c r="AA63" s="456"/>
      <c r="AB63" s="456"/>
      <c r="AC63" s="456"/>
      <c r="AD63" s="1"/>
      <c r="AE63" s="456"/>
      <c r="AF63" s="1"/>
      <c r="AG63" s="1"/>
      <c r="AH63" s="1"/>
      <c r="AI63" s="1"/>
      <c r="AJ63" s="1"/>
      <c r="AK63" s="1"/>
      <c r="AL63" s="1"/>
      <c r="AM63" s="1"/>
      <c r="AN63" s="1"/>
      <c r="AO63" s="1"/>
      <c r="AP63" s="1"/>
      <c r="AQ63" s="1"/>
      <c r="AR63" s="1"/>
    </row>
    <row r="64" customFormat="false" ht="15" hidden="false" customHeight="false" outlineLevel="0" collapsed="false">
      <c r="B64" s="787"/>
      <c r="C64" s="1" t="n">
        <f aca="false">'Exogenous tax and expenses'!C63+1</f>
        <v>2017</v>
      </c>
      <c r="D64" s="745" t="n">
        <f aca="false">'Cuenta Ahorro-Inversión-Financi'!AW66</f>
        <v>-0.0323299618518769</v>
      </c>
      <c r="E64" s="745" t="n">
        <f aca="false">'Cuenta Ahorro-Inversión-Financi'!AZ105</f>
        <v>-0.0241047020081896</v>
      </c>
      <c r="F64" s="791" t="n">
        <v>-0.0365639649224516</v>
      </c>
      <c r="G64" s="791" t="n">
        <v>-0.0371075795815644</v>
      </c>
      <c r="H64" s="788" t="n">
        <v>-0.0365702872794049</v>
      </c>
      <c r="I64" s="788" t="n">
        <v>-0.0371139019385177</v>
      </c>
      <c r="J64" s="456" t="n">
        <v>-0.0365591602545875</v>
      </c>
      <c r="K64" s="456" t="n">
        <v>-0.0371027749137004</v>
      </c>
      <c r="L64" s="456"/>
      <c r="M64" s="456"/>
      <c r="N64" s="456" t="n">
        <f aca="false">'Exogenous tax and expenses'!$H64+SUM('Exogenous tax and expenses'!Q55:S55)+'Exogenous tax and expenses'!W55+'Exogenous tax and expenses'!U55+'Cuenta Ahorro-Inversión-Financi'!L33/1000/'PIB corriente base 2004'!X21-SUM('Exogenous tax and expenses'!Y55:AD55)</f>
        <v>-0.0171695195723603</v>
      </c>
      <c r="O64" s="456" t="n">
        <f aca="false">'Exogenous tax and expenses'!I64+SUM('Exogenous tax and expenses'!Q55:S55)+'Exogenous tax and expenses'!W55+'Exogenous tax and expenses'!U55+'Cuenta Ahorro-Inversión-Financi'!L33/1000/'PIB corriente base 2004'!X21-SUM('Exogenous tax and expenses'!Y55:AF55)</f>
        <v>-0.0260574438211466</v>
      </c>
      <c r="P64" s="1"/>
      <c r="Q64" s="1"/>
      <c r="R64" s="731"/>
      <c r="S64" s="731"/>
      <c r="T64" s="456"/>
      <c r="U64" s="456"/>
      <c r="V64" s="456"/>
      <c r="W64" s="456"/>
      <c r="X64" s="456"/>
      <c r="Y64" s="456"/>
      <c r="Z64" s="456"/>
      <c r="AA64" s="456"/>
      <c r="AB64" s="456"/>
      <c r="AC64" s="456"/>
      <c r="AD64" s="1"/>
      <c r="AE64" s="456"/>
      <c r="AF64" s="1"/>
      <c r="AG64" s="1"/>
      <c r="AH64" s="1"/>
      <c r="AI64" s="1"/>
      <c r="AJ64" s="1"/>
      <c r="AK64" s="1"/>
      <c r="AL64" s="1"/>
      <c r="AM64" s="1"/>
      <c r="AN64" s="1"/>
      <c r="AO64" s="1"/>
      <c r="AP64" s="1"/>
      <c r="AQ64" s="1"/>
      <c r="AR64" s="1"/>
    </row>
    <row r="65" customFormat="false" ht="15" hidden="false" customHeight="false" outlineLevel="0" collapsed="false">
      <c r="B65" s="787"/>
      <c r="C65" s="1" t="n">
        <v>2018</v>
      </c>
      <c r="D65" s="746" t="n">
        <f aca="false">'Cuenta Ahorro-Inversión-Financi'!AW67</f>
        <v>-0.0334894091561111</v>
      </c>
      <c r="E65" s="746" t="n">
        <f aca="false">'Cuenta Ahorro-Inversión-Financi'!AZ106</f>
        <v>-0.0182717978002125</v>
      </c>
      <c r="F65" s="791" t="n">
        <v>-0.0357632291353611</v>
      </c>
      <c r="G65" s="791" t="n">
        <v>-0.0367149758741444</v>
      </c>
      <c r="H65" s="788" t="n">
        <v>-0.0358092776478131</v>
      </c>
      <c r="I65" s="788" t="n">
        <v>-0.0367610243865964</v>
      </c>
      <c r="J65" s="456" t="n">
        <v>-0.0366169480848828</v>
      </c>
      <c r="K65" s="456" t="n">
        <v>-0.0375686948236661</v>
      </c>
      <c r="L65" s="456" t="n">
        <f aca="false">'Exogenous tax and expenses'!F65+SUM('Exogenous tax and expenses'!Q56:W56)+'Cuenta Ahorro-Inversión-Financi'!L34/1000/'PIB corriente base 2004'!X22-SUM('Exogenous tax and expenses'!Y56:AD56)-T56</f>
        <v>-0.00699926064731452</v>
      </c>
      <c r="M65" s="456" t="n">
        <f aca="false">'Exogenous tax and expenses'!G65+SUM('Exogenous tax and expenses'!Q56:W56)+'Cuenta Ahorro-Inversión-Financi'!L34/1000/'PIB corriente base 2004'!X22-SUM('Exogenous tax and expenses'!Y56:AF56)-T56</f>
        <v>-0.0208347091161804</v>
      </c>
      <c r="N65" s="456" t="n">
        <f aca="false">'Exogenous tax and expenses'!H65+SUM('Exogenous tax and expenses'!Q56:W56)+'Cuenta Ahorro-Inversión-Financi'!L34/1000/'PIB corriente base 2004'!X22-SUM('Exogenous tax and expenses'!Y56:AD56)-T56</f>
        <v>-0.00704530915976653</v>
      </c>
      <c r="O65" s="456" t="n">
        <f aca="false">'Exogenous tax and expenses'!I65+SUM('Exogenous tax and expenses'!Q56:W56)+'Cuenta Ahorro-Inversión-Financi'!L34/1000/'PIB corriente base 2004'!X22-SUM('Exogenous tax and expenses'!Y56:AF56)-T56</f>
        <v>-0.0208807576286324</v>
      </c>
      <c r="P65" s="456" t="n">
        <f aca="false">'Exogenous tax and expenses'!J65+SUM('Exogenous tax and expenses'!Q56:W56)+'Cuenta Ahorro-Inversión-Financi'!L34/1000/'PIB corriente base 2004'!X22-SUM('Exogenous tax and expenses'!Y56:AD56)-T56</f>
        <v>-0.00785297959683622</v>
      </c>
      <c r="Q65" s="456" t="n">
        <f aca="false">'Exogenous tax and expenses'!K65+SUM('Exogenous tax and expenses'!Q56:W56)+'Cuenta Ahorro-Inversión-Financi'!L34/1000/'PIB corriente base 2004'!X22-SUM('Exogenous tax and expenses'!Y56:AF56)-T56</f>
        <v>-0.0216884280657021</v>
      </c>
      <c r="R65" s="731"/>
      <c r="S65" s="731"/>
      <c r="T65" s="456"/>
      <c r="U65" s="456"/>
      <c r="V65" s="456"/>
      <c r="W65" s="456"/>
      <c r="X65" s="456"/>
      <c r="Y65" s="456"/>
      <c r="Z65" s="456"/>
      <c r="AA65" s="456"/>
      <c r="AB65" s="456"/>
      <c r="AC65" s="456"/>
      <c r="AD65" s="456" t="n">
        <f aca="false">'Exogenous tax and expenses'!AF60*'Exogenous tax and expenses'!AH55</f>
        <v>0.0105345563490214</v>
      </c>
      <c r="AE65" s="456" t="n">
        <f aca="false">('Exogenous tax and expenses'!AH55+'Exogenous tax and expenses'!AD65+'Exogenous tax and expenses'!O92)</f>
        <v>0.14655824044489</v>
      </c>
      <c r="AF65" s="456" t="n">
        <f aca="false">'Exogenous tax and expenses'!AD65+'Exogenous tax and expenses'!N92</f>
        <v>0.00130417139251353</v>
      </c>
      <c r="AG65" s="456"/>
      <c r="AH65" s="1"/>
      <c r="AI65" s="1"/>
      <c r="AJ65" s="1"/>
      <c r="AK65" s="1"/>
      <c r="AL65" s="1"/>
      <c r="AM65" s="1"/>
      <c r="AN65" s="1"/>
      <c r="AO65" s="1"/>
      <c r="AP65" s="1"/>
      <c r="AQ65" s="1"/>
      <c r="AR65" s="1"/>
    </row>
    <row r="66" customFormat="false" ht="15" hidden="false" customHeight="false" outlineLevel="0" collapsed="false">
      <c r="B66" s="787" t="s">
        <v>1062</v>
      </c>
      <c r="C66" s="1" t="n">
        <f aca="false">'Exogenous tax and expenses'!C65+1</f>
        <v>2019</v>
      </c>
      <c r="D66" s="745"/>
      <c r="E66" s="745"/>
      <c r="F66" s="791" t="n">
        <v>-0.0364597829119719</v>
      </c>
      <c r="G66" s="791" t="n">
        <v>-0.0373180509241864</v>
      </c>
      <c r="H66" s="788" t="n">
        <v>-0.03652541817562</v>
      </c>
      <c r="I66" s="788" t="n">
        <v>-0.0373836861878346</v>
      </c>
      <c r="J66" s="456" t="n">
        <v>-0.0370734356016667</v>
      </c>
      <c r="K66" s="456" t="n">
        <v>-0.0379249050069468</v>
      </c>
      <c r="L66" s="456" t="n">
        <f aca="false">'Exogenous tax and expenses'!F66+$S$60+$T$60+$U$60+$V$60+$W$60-$Y$60-$AA$60-$AB$60-$AC$60-$AD$60</f>
        <v>-0.0100882998405611</v>
      </c>
      <c r="M66" s="456" t="n">
        <f aca="false">'Exogenous tax and expenses'!G66+$S$60+$T$60+$U$60+$V$60+$W$60-$Y$60-$AA$60-$AB$60-$AC$60-$AD$60-$W$60*12/15</f>
        <v>-0.0233882958978913</v>
      </c>
      <c r="N66" s="456" t="n">
        <f aca="false">'Exogenous tax and expenses'!H66+$S$60+$T$60+$U$60+$V$60+$W$60-$Y$60-$AA$60-$AB$60-$AC$60-$AD$60</f>
        <v>-0.0101539351042092</v>
      </c>
      <c r="O66" s="456" t="n">
        <f aca="false">'Exogenous tax and expenses'!I66+$S$60+$T$60+$U$60+$V$60+$W$60-$Y$60-$AA$60-$AB$60-$AC$60-$AD$60-$W$60*12/15</f>
        <v>-0.0234539311615395</v>
      </c>
      <c r="P66" s="456" t="n">
        <f aca="false">'Exogenous tax and expenses'!J66+$S$60+$T$60+$U$60+$V$60+$W$60-$Y$60-$AA$60-$AB$60-$AC$60-$AD$60</f>
        <v>-0.0107019525302559</v>
      </c>
      <c r="Q66" s="456" t="n">
        <f aca="false">'Exogenous tax and expenses'!K66+$S$60+$T$60+$U$60+$V$60+$W$60-$Y$60-$AA$60-$AB$60-$AC$60-$AD$60-$W$60*12/15</f>
        <v>-0.0239951499806517</v>
      </c>
      <c r="R66" s="731"/>
      <c r="S66" s="731"/>
      <c r="T66" s="456"/>
      <c r="U66" s="456"/>
      <c r="V66" s="456"/>
      <c r="W66" s="456"/>
      <c r="X66" s="456"/>
      <c r="Y66" s="456"/>
      <c r="Z66" s="456"/>
      <c r="AA66" s="456"/>
      <c r="AB66" s="456"/>
      <c r="AC66" s="456"/>
      <c r="AD66" s="456" t="n">
        <f aca="false">'Exogenous tax and expenses'!AF60*'Exogenous tax and expenses'!AE65</f>
        <v>0.010563688389865</v>
      </c>
      <c r="AE66" s="456" t="n">
        <f aca="false">('Exogenous tax and expenses'!AE65+'Exogenous tax and expenses'!AD66+'Exogenous tax and expenses'!O93)</f>
        <v>0.139230852428062</v>
      </c>
      <c r="AF66" s="456" t="n">
        <f aca="false">'Exogenous tax and expenses'!AD66+'Exogenous tax and expenses'!N93</f>
        <v>-0.00602738801682886</v>
      </c>
      <c r="AG66" s="456"/>
      <c r="AH66" s="1"/>
      <c r="AI66" s="1"/>
      <c r="AJ66" s="1" t="n">
        <f aca="false">'Exogenous tax and expenses'!AJ65+1</f>
        <v>1</v>
      </c>
      <c r="AK66" s="1"/>
      <c r="AL66" s="1"/>
      <c r="AM66" s="1"/>
      <c r="AN66" s="1"/>
      <c r="AO66" s="1"/>
      <c r="AP66" s="1"/>
      <c r="AQ66" s="1"/>
      <c r="AR66" s="1"/>
    </row>
    <row r="67" customFormat="false" ht="15" hidden="false" customHeight="false" outlineLevel="0" collapsed="false">
      <c r="B67" s="787"/>
      <c r="C67" s="1" t="n">
        <f aca="false">'Exogenous tax and expenses'!C66+1</f>
        <v>2020</v>
      </c>
      <c r="D67" s="745"/>
      <c r="E67" s="745"/>
      <c r="F67" s="791" t="n">
        <v>-0.0374027746313397</v>
      </c>
      <c r="G67" s="791" t="n">
        <v>-0.0385205241000064</v>
      </c>
      <c r="H67" s="788" t="n">
        <v>-0.0370199974353292</v>
      </c>
      <c r="I67" s="788" t="n">
        <v>-0.0381385600424372</v>
      </c>
      <c r="J67" s="456" t="n">
        <v>-0.0351334242059265</v>
      </c>
      <c r="K67" s="456" t="n">
        <v>-0.0362465965748468</v>
      </c>
      <c r="L67" s="456" t="n">
        <f aca="false">'Exogenous tax and expenses'!F67+$S$60+$T$60+$U$60+$V$60+$W$60-$Y$60-$AA$60-$AB$60-$AC$60-$AD$60</f>
        <v>-0.0110312915599289</v>
      </c>
      <c r="M67" s="456" t="n">
        <f aca="false">'Exogenous tax and expenses'!G67+$S$60+$T$60+$U$60+$V$60+$W$60-$Y$60-$AA$60-$AB$60-$AC$60-$AD$60-$W$60*15/15</f>
        <v>-0.0277012010849902</v>
      </c>
      <c r="N67" s="456" t="n">
        <f aca="false">'Exogenous tax and expenses'!H67+$S$60+$T$60+$U$60+$V$60+$W$60-$Y$60-$AA$60-$AB$60-$AC$60-$AD$60</f>
        <v>-0.0106485143639184</v>
      </c>
      <c r="O67" s="456" t="n">
        <f aca="false">'Exogenous tax and expenses'!I67+$S$60+$T$60+$U$60+$V$60+$W$60-$Y$60-$AA$60-$AB$60-$AC$60-$AD$60-$W$60*15/15</f>
        <v>-0.027319237027421</v>
      </c>
      <c r="P67" s="456" t="n">
        <f aca="false">'Exogenous tax and expenses'!J67+$S$60+$T$60+$U$60+$V$60+$W$60-$Y$60-$AA$60-$AB$60-$AC$60-$AD$60</f>
        <v>-0.00876194113451567</v>
      </c>
      <c r="Q67" s="456" t="n">
        <f aca="false">'Exogenous tax and expenses'!K67+$S$60+$T$60+$U$60+$V$60+$W$60-$Y$60-$AA$60-$AB$60-$AC$60-$AD$60-$W$60*15/15</f>
        <v>-0.0254272735598306</v>
      </c>
      <c r="R67" s="731"/>
      <c r="S67" s="731"/>
      <c r="T67" s="456"/>
      <c r="U67" s="456"/>
      <c r="V67" s="456"/>
      <c r="W67" s="456"/>
      <c r="X67" s="456"/>
      <c r="Y67" s="456"/>
      <c r="Z67" s="456"/>
      <c r="AA67" s="456"/>
      <c r="AB67" s="456"/>
      <c r="AC67" s="456"/>
      <c r="AD67" s="456" t="n">
        <f aca="false">'Exogenous tax and expenses'!AE66*0.0696</f>
        <v>0.00969046732899309</v>
      </c>
      <c r="AE67" s="456" t="n">
        <f aca="false">('Exogenous tax and expenses'!AE66+'Exogenous tax and expenses'!AD67+'Exogenous tax and expenses'!O94)</f>
        <v>0.124337790823183</v>
      </c>
      <c r="AF67" s="456" t="n">
        <f aca="false">'Exogenous tax and expenses'!AD67+'Exogenous tax and expenses'!N94</f>
        <v>-0.0132930616048787</v>
      </c>
      <c r="AG67" s="456"/>
      <c r="AH67" s="1"/>
      <c r="AI67" s="1"/>
      <c r="AJ67" s="1" t="n">
        <f aca="false">'Exogenous tax and expenses'!AJ66+1</f>
        <v>2</v>
      </c>
      <c r="AK67" s="1"/>
      <c r="AL67" s="1"/>
      <c r="AM67" s="1"/>
      <c r="AN67" s="1"/>
      <c r="AO67" s="1"/>
      <c r="AP67" s="1"/>
      <c r="AQ67" s="1"/>
      <c r="AR67" s="1"/>
    </row>
    <row r="68" customFormat="false" ht="15" hidden="false" customHeight="false" outlineLevel="0" collapsed="false">
      <c r="B68" s="787"/>
      <c r="C68" s="1" t="n">
        <f aca="false">'Exogenous tax and expenses'!C67+1</f>
        <v>2021</v>
      </c>
      <c r="D68" s="745"/>
      <c r="E68" s="745"/>
      <c r="F68" s="791" t="n">
        <v>-0.0442284456878788</v>
      </c>
      <c r="G68" s="791" t="n">
        <v>-0.0457647784151146</v>
      </c>
      <c r="H68" s="788" t="n">
        <v>-0.042427483321216</v>
      </c>
      <c r="I68" s="788" t="n">
        <v>-0.0439709774303386</v>
      </c>
      <c r="J68" s="456" t="n">
        <v>-0.0382079180664949</v>
      </c>
      <c r="K68" s="456" t="n">
        <v>-0.0397536319743751</v>
      </c>
      <c r="L68" s="456" t="n">
        <f aca="false">'Exogenous tax and expenses'!F68+$S$60+$T$60+$U$60+$V$60+$W$60-$Y$60-$AA$60-$AB$60-$AC$60-$AD$60</f>
        <v>-0.017856962616468</v>
      </c>
      <c r="M68" s="456" t="n">
        <f aca="false">'Exogenous tax and expenses'!G68+$S$60+$T$60+$U$60+$V$60+$W$60-$Y$60-$AA$60-$AB$60-$AC$60-$AD$60-$W$60*15/15</f>
        <v>-0.0349454554000984</v>
      </c>
      <c r="N68" s="456" t="n">
        <f aca="false">'Exogenous tax and expenses'!H68+$S$60+$T$60+$U$60+$V$60+$W$60-$Y$60-$AA$60-$AB$60-$AC$60-$AD$60</f>
        <v>-0.0160560002498052</v>
      </c>
      <c r="O68" s="456" t="n">
        <f aca="false">'Exogenous tax and expenses'!I68+$S$60+$T$60+$U$60+$V$60+$W$60-$Y$60-$AA$60-$AB$60-$AC$60-$AD$60-$W$60*15/15</f>
        <v>-0.0331516544153224</v>
      </c>
      <c r="P68" s="456" t="n">
        <f aca="false">'Exogenous tax and expenses'!J68+$S$60+$T$60+$U$60+$V$60+$W$60-$Y$60-$AA$60-$AB$60-$AC$60-$AD$60</f>
        <v>-0.0118364349950841</v>
      </c>
      <c r="Q68" s="456" t="n">
        <f aca="false">'Exogenous tax and expenses'!K68+$S$60+$T$60+$U$60+$V$60+$W$60-$Y$60-$AA$60-$AB$60-$AC$60-$AD$60-$W$60*15/15</f>
        <v>-0.0289343089593589</v>
      </c>
      <c r="R68" s="731"/>
      <c r="S68" s="731"/>
      <c r="T68" s="456"/>
      <c r="U68" s="456"/>
      <c r="V68" s="456"/>
      <c r="W68" s="456"/>
      <c r="X68" s="456"/>
      <c r="Y68" s="456"/>
      <c r="Z68" s="456"/>
      <c r="AA68" s="456"/>
      <c r="AB68" s="456"/>
      <c r="AC68" s="456"/>
      <c r="AD68" s="456" t="n">
        <f aca="false">'Exogenous tax and expenses'!AE67*0.0696</f>
        <v>0.00865391024129353</v>
      </c>
      <c r="AE68" s="456" t="n">
        <f aca="false">('Exogenous tax and expenses'!AE67+'Exogenous tax and expenses'!AD68+'Exogenous tax and expenses'!O95)</f>
        <v>0.103315719603427</v>
      </c>
      <c r="AF68" s="456" t="n">
        <f aca="false">'Exogenous tax and expenses'!AD68+'Exogenous tax and expenses'!N95</f>
        <v>-0.0189220712197561</v>
      </c>
      <c r="AG68" s="456"/>
      <c r="AH68" s="1"/>
      <c r="AI68" s="1"/>
      <c r="AJ68" s="1" t="n">
        <f aca="false">'Exogenous tax and expenses'!AJ67+1</f>
        <v>3</v>
      </c>
      <c r="AK68" s="1"/>
      <c r="AL68" s="1"/>
      <c r="AM68" s="1"/>
      <c r="AN68" s="1"/>
      <c r="AO68" s="1"/>
      <c r="AP68" s="1"/>
      <c r="AQ68" s="1"/>
      <c r="AR68" s="1"/>
    </row>
    <row r="69" customFormat="false" ht="15" hidden="false" customHeight="false" outlineLevel="0" collapsed="false">
      <c r="B69" s="787"/>
      <c r="C69" s="1" t="n">
        <f aca="false">'Exogenous tax and expenses'!C68+1</f>
        <v>2022</v>
      </c>
      <c r="D69" s="745"/>
      <c r="E69" s="745"/>
      <c r="F69" s="791" t="n">
        <v>-0.0486890568314624</v>
      </c>
      <c r="G69" s="791" t="n">
        <v>-0.0506250125633642</v>
      </c>
      <c r="H69" s="788" t="n">
        <v>-0.0461975069932162</v>
      </c>
      <c r="I69" s="788" t="n">
        <v>-0.048177018712303</v>
      </c>
      <c r="J69" s="456" t="n">
        <v>-0.0409348310713318</v>
      </c>
      <c r="K69" s="456" t="n">
        <v>-0.0428697972784954</v>
      </c>
      <c r="L69" s="456" t="n">
        <f aca="false">'Exogenous tax and expenses'!F69+$S$60+$T$60+$U$60+$V$60+$W$60-$Y$60-$AA$60-$AB$60-$AC$60-$AD$60</f>
        <v>-0.0223175737600516</v>
      </c>
      <c r="M69" s="456" t="n">
        <f aca="false">'Exogenous tax and expenses'!G69+$S$60+$T$60+$U$60+$V$60+$W$60-$Y$60-$AA$60-$AB$60-$AC$60-$AD$60-$W$60*15/15</f>
        <v>-0.039805689548348</v>
      </c>
      <c r="N69" s="456" t="n">
        <f aca="false">'Exogenous tax and expenses'!H69+$S$60+$T$60+$U$60+$V$60+$W$60-$Y$60-$AA$60-$AB$60-$AC$60-$AD$60</f>
        <v>-0.0198260239218054</v>
      </c>
      <c r="O69" s="456" t="n">
        <f aca="false">'Exogenous tax and expenses'!I69+$S$60+$T$60+$U$60+$V$60+$W$60-$Y$60-$AA$60-$AB$60-$AC$60-$AD$60-$W$60*15/15</f>
        <v>-0.0373576956972868</v>
      </c>
      <c r="P69" s="456" t="n">
        <f aca="false">'Exogenous tax and expenses'!J69+$S$60+$T$60+$U$60+$V$60+$W$60-$Y$60-$AA$60-$AB$60-$AC$60-$AD$60</f>
        <v>-0.014563347999921</v>
      </c>
      <c r="Q69" s="456" t="n">
        <f aca="false">'Exogenous tax and expenses'!K69+$S$60+$T$60+$U$60+$V$60+$W$60-$Y$60-$AA$60-$AB$60-$AC$60-$AD$60-$W$60*15/15</f>
        <v>-0.0320504742634792</v>
      </c>
      <c r="R69" s="731"/>
      <c r="S69" s="731"/>
      <c r="T69" s="456"/>
      <c r="U69" s="456"/>
      <c r="V69" s="456"/>
      <c r="W69" s="456"/>
      <c r="X69" s="456"/>
      <c r="Y69" s="456"/>
      <c r="Z69" s="456"/>
      <c r="AA69" s="456"/>
      <c r="AB69" s="456"/>
      <c r="AC69" s="456"/>
      <c r="AD69" s="456" t="n">
        <f aca="false">'Exogenous tax and expenses'!AE68*0.0696</f>
        <v>0.00719077408439851</v>
      </c>
      <c r="AE69" s="456" t="n">
        <f aca="false">('Exogenous tax and expenses'!AE68+'Exogenous tax and expenses'!AD69+'Exogenous tax and expenses'!O96)</f>
        <v>0.0757380596995979</v>
      </c>
      <c r="AF69" s="456" t="n">
        <f aca="false">'Exogenous tax and expenses'!AD69+'Exogenous tax and expenses'!N96</f>
        <v>-0.0250776599038289</v>
      </c>
      <c r="AG69" s="456"/>
      <c r="AH69" s="1"/>
      <c r="AI69" s="1"/>
      <c r="AJ69" s="1" t="n">
        <f aca="false">'Exogenous tax and expenses'!AJ68+1</f>
        <v>4</v>
      </c>
      <c r="AK69" s="1"/>
      <c r="AL69" s="1"/>
      <c r="AM69" s="1"/>
      <c r="AN69" s="1"/>
      <c r="AO69" s="1"/>
      <c r="AP69" s="1"/>
      <c r="AQ69" s="1"/>
      <c r="AR69" s="1"/>
    </row>
    <row r="70" customFormat="false" ht="15" hidden="false" customHeight="false" outlineLevel="0" collapsed="false">
      <c r="B70" s="787"/>
      <c r="C70" s="1" t="n">
        <f aca="false">'Exogenous tax and expenses'!C69+1</f>
        <v>2023</v>
      </c>
      <c r="D70" s="745"/>
      <c r="E70" s="745"/>
      <c r="F70" s="791" t="n">
        <v>-0.0504073501250018</v>
      </c>
      <c r="G70" s="791" t="n">
        <v>-0.0526642883638036</v>
      </c>
      <c r="H70" s="788" t="n">
        <v>-0.0453109280605022</v>
      </c>
      <c r="I70" s="788" t="n">
        <v>-0.0475742517066878</v>
      </c>
      <c r="J70" s="456" t="n">
        <v>-0.0401569492100004</v>
      </c>
      <c r="K70" s="456" t="n">
        <v>-0.0424059810911931</v>
      </c>
      <c r="L70" s="456" t="n">
        <f aca="false">'Exogenous tax and expenses'!F70+$S$60+$T$60+$U$60+$V$60+$W$60-$Y$60-$AA$60-$AB$60-$AC$60-$AD$60</f>
        <v>-0.024035867053591</v>
      </c>
      <c r="M70" s="456" t="n">
        <f aca="false">'Exogenous tax and expenses'!G70+$S$60+$T$60+$U$60+$V$60+$W$60-$Y$60-$AA$60-$AB$60-$AC$60-$AD$60-$W$60*15/15</f>
        <v>-0.0418449653487874</v>
      </c>
      <c r="N70" s="456" t="n">
        <f aca="false">'Exogenous tax and expenses'!H70+$S$60+$T$60+$U$60+$V$60+$W$60-$Y$60-$AA$60-$AB$60-$AC$60-$AD$60</f>
        <v>-0.0189394449890914</v>
      </c>
      <c r="O70" s="456" t="n">
        <f aca="false">'Exogenous tax and expenses'!I70+$S$60+$T$60+$U$60+$V$60+$W$60-$Y$60-$AA$60-$AB$60-$AC$60-$AD$60-$W$60*15/15</f>
        <v>-0.0367549286916716</v>
      </c>
      <c r="P70" s="456" t="n">
        <f aca="false">'Exogenous tax and expenses'!J70+$S$60+$T$60+$U$60+$V$60+$W$60-$Y$60-$AA$60-$AB$60-$AC$60-$AD$60</f>
        <v>-0.0137854661385896</v>
      </c>
      <c r="Q70" s="456" t="n">
        <f aca="false">'Exogenous tax and expenses'!K70+$S$60+$T$60+$U$60+$V$60+$W$60-$Y$60-$AA$60-$AB$60-$AC$60-$AD$60-$W$60*15/15</f>
        <v>-0.0315866580761769</v>
      </c>
      <c r="R70" s="731"/>
      <c r="S70" s="731"/>
      <c r="T70" s="456"/>
      <c r="U70" s="456"/>
      <c r="V70" s="456"/>
      <c r="W70" s="456"/>
      <c r="X70" s="456"/>
      <c r="Y70" s="456"/>
      <c r="Z70" s="456"/>
      <c r="AA70" s="456"/>
      <c r="AB70" s="456"/>
      <c r="AC70" s="456"/>
      <c r="AD70" s="456" t="n">
        <f aca="false">'Exogenous tax and expenses'!AE69*0.0696</f>
        <v>0.00527136895509202</v>
      </c>
      <c r="AE70" s="456" t="n">
        <f aca="false">('Exogenous tax and expenses'!AE69+'Exogenous tax and expenses'!AD70+'Exogenous tax and expenses'!O97)</f>
        <v>0.0482409946664625</v>
      </c>
      <c r="AF70" s="456" t="n">
        <f aca="false">'Exogenous tax and expenses'!AD70+'Exogenous tax and expenses'!N97</f>
        <v>-0.0246970650331354</v>
      </c>
      <c r="AG70" s="456"/>
      <c r="AH70" s="1"/>
      <c r="AI70" s="1"/>
      <c r="AJ70" s="1" t="n">
        <f aca="false">'Exogenous tax and expenses'!AJ69+1</f>
        <v>5</v>
      </c>
      <c r="AK70" s="1"/>
      <c r="AL70" s="1"/>
      <c r="AM70" s="1"/>
      <c r="AN70" s="1"/>
      <c r="AO70" s="1"/>
      <c r="AP70" s="1"/>
      <c r="AQ70" s="1"/>
      <c r="AR70" s="1"/>
    </row>
    <row r="71" customFormat="false" ht="15" hidden="false" customHeight="false" outlineLevel="0" collapsed="false">
      <c r="B71" s="787"/>
      <c r="C71" s="1" t="n">
        <f aca="false">'Exogenous tax and expenses'!C70+1</f>
        <v>2024</v>
      </c>
      <c r="D71" s="745"/>
      <c r="E71" s="745"/>
      <c r="F71" s="791" t="n">
        <v>-0.050906686936759</v>
      </c>
      <c r="G71" s="791" t="n">
        <v>-0.0535173174380493</v>
      </c>
      <c r="H71" s="792" t="n">
        <v>-0.0444439165166305</v>
      </c>
      <c r="I71" s="792" t="n">
        <v>-0.0470565718617647</v>
      </c>
      <c r="J71" s="456" t="n">
        <v>-0.0390795945719281</v>
      </c>
      <c r="K71" s="456" t="n">
        <v>-0.0416772566552839</v>
      </c>
      <c r="L71" s="456" t="n">
        <f aca="false">'Exogenous tax and expenses'!F71+$S$60+$T$60+$U$60+$V$60+$W$60-$Y$60-$AA$60-$AB$60-$AC$60-$AD$60</f>
        <v>-0.0245352038653482</v>
      </c>
      <c r="M71" s="456" t="n">
        <f aca="false">'Exogenous tax and expenses'!G71+$S$60+$T$60+$U$60+$V$60+$W$60-$Y$60-$AA$60-$AB$60-$AC$60-$AD$60-$W$60*15/15</f>
        <v>-0.0426979944230331</v>
      </c>
      <c r="N71" s="456" t="n">
        <f aca="false">'Exogenous tax and expenses'!H71+$S$60+$T$60+$U$60+$V$60+$W$60-$Y$60-$AA$60-$AB$60-$AC$60-$AD$60</f>
        <v>-0.0180724334452197</v>
      </c>
      <c r="O71" s="456" t="n">
        <f aca="false">'Exogenous tax and expenses'!I71+$S$60+$T$60+$U$60+$V$60+$W$60-$Y$60-$AA$60-$AB$60-$AC$60-$AD$60-$W$60*15/15</f>
        <v>-0.0362372488467485</v>
      </c>
      <c r="P71" s="456" t="n">
        <f aca="false">'Exogenous tax and expenses'!J71+$S$60+$T$60+$U$60+$V$60+$W$60-$Y$60-$AA$60-$AB$60-$AC$60-$AD$60</f>
        <v>-0.0127081115005173</v>
      </c>
      <c r="Q71" s="456" t="n">
        <f aca="false">'Exogenous tax and expenses'!K71+$S$60+$T$60+$U$60+$V$60+$W$60-$Y$60-$AA$60-$AB$60-$AC$60-$AD$60-$W$60*15/15</f>
        <v>-0.0308579336402677</v>
      </c>
      <c r="R71" s="731"/>
      <c r="S71" s="731"/>
      <c r="T71" s="456"/>
      <c r="U71" s="456"/>
      <c r="V71" s="456"/>
      <c r="W71" s="456"/>
      <c r="X71" s="456"/>
      <c r="Y71" s="456"/>
      <c r="Z71" s="456"/>
      <c r="AA71" s="456"/>
      <c r="AB71" s="456"/>
      <c r="AC71" s="456"/>
      <c r="AD71" s="456" t="n">
        <f aca="false">'Exogenous tax and expenses'!AE70*0.0696</f>
        <v>0.00335757322878579</v>
      </c>
      <c r="AE71" s="456" t="n">
        <f aca="false">('Exogenous tax and expenses'!AE70+'Exogenous tax and expenses'!AD71+'Exogenous tax and expenses'!O98)</f>
        <v>0.0202301339070209</v>
      </c>
      <c r="AF71" s="456" t="n">
        <f aca="false">'Exogenous tax and expenses'!AD71+'Exogenous tax and expenses'!N98</f>
        <v>-0.0247108607594416</v>
      </c>
      <c r="AG71" s="456"/>
      <c r="AH71" s="1"/>
      <c r="AI71" s="1"/>
      <c r="AJ71" s="1" t="n">
        <f aca="false">'Exogenous tax and expenses'!AJ70+1</f>
        <v>6</v>
      </c>
      <c r="AK71" s="1"/>
      <c r="AL71" s="1"/>
      <c r="AM71" s="1"/>
      <c r="AN71" s="1"/>
      <c r="AO71" s="1"/>
      <c r="AP71" s="1"/>
      <c r="AQ71" s="1"/>
      <c r="AR71" s="1"/>
    </row>
    <row r="72" customFormat="false" ht="15" hidden="false" customHeight="false" outlineLevel="0" collapsed="false">
      <c r="B72" s="787"/>
      <c r="C72" s="1" t="n">
        <f aca="false">'Exogenous tax and expenses'!C71+1</f>
        <v>2025</v>
      </c>
      <c r="D72" s="745"/>
      <c r="E72" s="745"/>
      <c r="F72" s="791" t="n">
        <v>-0.0505104922228994</v>
      </c>
      <c r="G72" s="791" t="n">
        <v>-0.0540459915803591</v>
      </c>
      <c r="H72" s="793" t="n">
        <v>-0.0445882514173907</v>
      </c>
      <c r="I72" s="793" t="n">
        <v>-0.0480748883190886</v>
      </c>
      <c r="J72" s="456" t="n">
        <v>-0.0378016268029787</v>
      </c>
      <c r="K72" s="456" t="n">
        <v>-0.0411955359825251</v>
      </c>
      <c r="L72" s="456" t="n">
        <f aca="false">'Exogenous tax and expenses'!F72+$S$60+$T$60+$U$60+$V$60+$W$60-$Y$60-$AA$60-$AB$60-$AC$60-$AD$60</f>
        <v>-0.0241390091514886</v>
      </c>
      <c r="M72" s="456" t="n">
        <f aca="false">'Exogenous tax and expenses'!G72+$S$60+$T$60+$U$60+$V$60+$W$60-$Y$60-$AA$60-$AB$60-$AC$60-$AD$60-$W$60*15/15</f>
        <v>-0.0432266685653429</v>
      </c>
      <c r="N72" s="456" t="n">
        <f aca="false">'Exogenous tax and expenses'!H72+$S$60+$T$60+$U$60+$V$60+$W$60-$Y$60-$AA$60-$AB$60-$AC$60-$AD$60</f>
        <v>-0.0182167683459799</v>
      </c>
      <c r="O72" s="456" t="n">
        <f aca="false">'Exogenous tax and expenses'!I72+$S$60+$T$60+$U$60+$V$60+$W$60-$Y$60-$AA$60-$AB$60-$AC$60-$AD$60-$W$60*15/15</f>
        <v>-0.0372555653040724</v>
      </c>
      <c r="P72" s="456" t="n">
        <f aca="false">'Exogenous tax and expenses'!J72+$S$60+$T$60+$U$60+$V$60+$W$60-$Y$60-$AA$60-$AB$60-$AC$60-$AD$60</f>
        <v>-0.0114301437315679</v>
      </c>
      <c r="Q72" s="456" t="n">
        <f aca="false">'Exogenous tax and expenses'!K72+$S$60+$T$60+$U$60+$V$60+$W$60-$Y$60-$AA$60-$AB$60-$AC$60-$AD$60-$W$60*15/15</f>
        <v>-0.0303762129675089</v>
      </c>
      <c r="R72" s="731"/>
      <c r="S72" s="731"/>
      <c r="T72" s="456"/>
      <c r="U72" s="456"/>
      <c r="V72" s="456"/>
      <c r="W72" s="456"/>
      <c r="X72" s="456"/>
      <c r="Y72" s="456"/>
      <c r="Z72" s="456"/>
      <c r="AA72" s="456"/>
      <c r="AB72" s="456"/>
      <c r="AC72" s="456"/>
      <c r="AD72" s="456"/>
      <c r="AE72" s="456"/>
      <c r="AF72" s="1"/>
      <c r="AG72" s="1"/>
      <c r="AH72" s="1"/>
      <c r="AI72" s="1"/>
      <c r="AJ72" s="1" t="n">
        <f aca="false">'Exogenous tax and expenses'!AJ71+1</f>
        <v>7</v>
      </c>
      <c r="AK72" s="1"/>
      <c r="AL72" s="1"/>
      <c r="AM72" s="1"/>
      <c r="AN72" s="1"/>
      <c r="AO72" s="1"/>
      <c r="AP72" s="1"/>
      <c r="AQ72" s="1"/>
      <c r="AR72" s="1"/>
    </row>
    <row r="73" customFormat="false" ht="15" hidden="false" customHeight="false" outlineLevel="0" collapsed="false">
      <c r="B73" s="787"/>
      <c r="C73" s="1" t="n">
        <f aca="false">'Exogenous tax and expenses'!C72+1</f>
        <v>2026</v>
      </c>
      <c r="D73" s="745"/>
      <c r="E73" s="745"/>
      <c r="F73" s="791" t="n">
        <v>-0.0484015639925968</v>
      </c>
      <c r="G73" s="791" t="n">
        <v>-0.0530133085532846</v>
      </c>
      <c r="H73" s="794" t="n">
        <v>-0.0424227804321389</v>
      </c>
      <c r="I73" s="794" t="n">
        <v>-0.0469408691829949</v>
      </c>
      <c r="J73" s="456" t="n">
        <v>-0.035321254646276</v>
      </c>
      <c r="K73" s="456" t="n">
        <v>-0.0396435918963606</v>
      </c>
      <c r="L73" s="456" t="n">
        <f aca="false">'Exogenous tax and expenses'!F73+$S$60+$T$60+$U$60+$V$60+$W$60-$Y$60-$AA$60-$AB$60-$AC$60-$AD$60</f>
        <v>-0.022030080921186</v>
      </c>
      <c r="M73" s="456" t="n">
        <f aca="false">'Exogenous tax and expenses'!G73+$S$60+$T$60+$U$60+$V$60+$W$60-$Y$60-$AA$60-$AB$60-$AC$60-$AD$60-$W$60*15/15</f>
        <v>-0.0421939855382684</v>
      </c>
      <c r="N73" s="456" t="n">
        <f aca="false">'Exogenous tax and expenses'!H73+$S$60+$T$60+$U$60+$V$60+$W$60-$Y$60-$AA$60-$AB$60-$AC$60-$AD$60</f>
        <v>-0.0160512973607281</v>
      </c>
      <c r="O73" s="456" t="n">
        <f aca="false">'Exogenous tax and expenses'!I73+$S$60+$T$60+$U$60+$V$60+$W$60-$Y$60-$AA$60-$AB$60-$AC$60-$AD$60-$W$60*15/15</f>
        <v>-0.0361215461679787</v>
      </c>
      <c r="P73" s="456" t="n">
        <f aca="false">'Exogenous tax and expenses'!J73+$S$60+$T$60+$U$60+$V$60+$W$60-$Y$60-$AA$60-$AB$60-$AC$60-$AD$60</f>
        <v>-0.00894977157486517</v>
      </c>
      <c r="Q73" s="456" t="n">
        <f aca="false">'Exogenous tax and expenses'!K73+$S$60+$T$60+$U$60+$V$60+$W$60-$Y$60-$AA$60-$AB$60-$AC$60-$AD$60-$W$60*15/15</f>
        <v>-0.0288242688813444</v>
      </c>
      <c r="R73" s="731"/>
      <c r="S73" s="731"/>
      <c r="T73" s="456"/>
      <c r="U73" s="456"/>
      <c r="V73" s="456"/>
      <c r="W73" s="456"/>
      <c r="X73" s="456"/>
      <c r="Y73" s="456"/>
      <c r="Z73" s="456"/>
      <c r="AA73" s="456"/>
      <c r="AB73" s="456"/>
      <c r="AC73" s="456"/>
      <c r="AD73" s="456"/>
      <c r="AE73" s="456"/>
      <c r="AF73" s="1"/>
      <c r="AG73" s="1"/>
      <c r="AH73" s="1"/>
      <c r="AI73" s="1"/>
      <c r="AJ73" s="1" t="n">
        <f aca="false">'Exogenous tax and expenses'!AJ72+1</f>
        <v>8</v>
      </c>
      <c r="AK73" s="1"/>
      <c r="AL73" s="1"/>
      <c r="AM73" s="1"/>
      <c r="AN73" s="1"/>
      <c r="AO73" s="1"/>
      <c r="AP73" s="1"/>
      <c r="AQ73" s="1"/>
      <c r="AR73" s="1"/>
    </row>
    <row r="74" customFormat="false" ht="15" hidden="false" customHeight="false" outlineLevel="0" collapsed="false">
      <c r="B74" s="787"/>
      <c r="C74" s="1" t="n">
        <f aca="false">'Exogenous tax and expenses'!C73+1</f>
        <v>2027</v>
      </c>
      <c r="D74" s="745"/>
      <c r="E74" s="745"/>
      <c r="F74" s="791" t="n">
        <v>-0.0476487149955159</v>
      </c>
      <c r="G74" s="791" t="n">
        <v>-0.0531986069125836</v>
      </c>
      <c r="H74" s="794" t="n">
        <v>-0.0399922196440846</v>
      </c>
      <c r="I74" s="794" t="n">
        <v>-0.0452069178126948</v>
      </c>
      <c r="J74" s="456" t="n">
        <v>-0.0334038545811017</v>
      </c>
      <c r="K74" s="456" t="n">
        <v>-0.0383746933900134</v>
      </c>
      <c r="L74" s="456" t="n">
        <f aca="false">'Exogenous tax and expenses'!F74+$S$60+$T$60+$U$60+$V$60+$W$60-$Y$60-$AA$60-$AB$60-$AC$60-$AD$60</f>
        <v>-0.0212772319241051</v>
      </c>
      <c r="M74" s="456" t="n">
        <f aca="false">'Exogenous tax and expenses'!G74+$S$60+$T$60+$U$60+$V$60+$W$60-$Y$60-$AA$60-$AB$60-$AC$60-$AD$60-$W$60*15/15</f>
        <v>-0.0423792838975674</v>
      </c>
      <c r="N74" s="456" t="n">
        <f aca="false">'Exogenous tax and expenses'!H74+$S$60+$T$60+$U$60+$V$60+$W$60-$Y$60-$AA$60-$AB$60-$AC$60-$AD$60</f>
        <v>-0.0136207365726738</v>
      </c>
      <c r="O74" s="456" t="n">
        <f aca="false">'Exogenous tax and expenses'!I74+$S$60+$T$60+$U$60+$V$60+$W$60-$Y$60-$AA$60-$AB$60-$AC$60-$AD$60-$W$60*15/15</f>
        <v>-0.0343875947976786</v>
      </c>
      <c r="P74" s="456" t="n">
        <f aca="false">'Exogenous tax and expenses'!J74+$S$60+$T$60+$U$60+$V$60+$W$60-$Y$60-$AA$60-$AB$60-$AC$60-$AD$60</f>
        <v>-0.00703237150969086</v>
      </c>
      <c r="Q74" s="456" t="n">
        <f aca="false">'Exogenous tax and expenses'!K74+$S$60+$T$60+$U$60+$V$60+$W$60-$Y$60-$AA$60-$AB$60-$AC$60-$AD$60-$W$60*15/15</f>
        <v>-0.0275553703749972</v>
      </c>
      <c r="R74" s="731"/>
      <c r="S74" s="731"/>
      <c r="T74" s="456"/>
      <c r="U74" s="456"/>
      <c r="V74" s="456"/>
      <c r="W74" s="456"/>
      <c r="X74" s="456"/>
      <c r="Y74" s="456"/>
      <c r="Z74" s="456"/>
      <c r="AA74" s="456"/>
      <c r="AB74" s="456"/>
      <c r="AC74" s="456"/>
      <c r="AD74" s="456"/>
      <c r="AE74" s="456"/>
      <c r="AF74" s="1"/>
      <c r="AG74" s="1"/>
      <c r="AH74" s="1"/>
      <c r="AI74" s="1"/>
      <c r="AJ74" s="1" t="n">
        <f aca="false">'Exogenous tax and expenses'!AJ73+1</f>
        <v>9</v>
      </c>
      <c r="AK74" s="1"/>
      <c r="AL74" s="1"/>
      <c r="AM74" s="1"/>
      <c r="AN74" s="1"/>
      <c r="AO74" s="1"/>
      <c r="AP74" s="1"/>
      <c r="AQ74" s="1"/>
      <c r="AR74" s="1"/>
    </row>
    <row r="75" customFormat="false" ht="15" hidden="false" customHeight="false" outlineLevel="0" collapsed="false">
      <c r="B75" s="787"/>
      <c r="C75" s="1" t="n">
        <f aca="false">'Exogenous tax and expenses'!C74+1</f>
        <v>2028</v>
      </c>
      <c r="D75" s="745"/>
      <c r="E75" s="745"/>
      <c r="F75" s="791" t="n">
        <v>-0.046184787479334</v>
      </c>
      <c r="G75" s="791" t="n">
        <v>-0.0527096862513732</v>
      </c>
      <c r="H75" s="794" t="n">
        <v>-0.0379708094815126</v>
      </c>
      <c r="I75" s="794" t="n">
        <v>-0.043978712167927</v>
      </c>
      <c r="J75" s="456" t="n">
        <v>-0.0295157159610382</v>
      </c>
      <c r="K75" s="456" t="n">
        <v>-0.0352234812025345</v>
      </c>
      <c r="L75" s="456" t="n">
        <f aca="false">'Exogenous tax and expenses'!F75+$S$60+$T$60+$U$60+$V$60+$W$60-$Y$60-$AA$60-$AB$60-$AC$60-$AD$60</f>
        <v>-0.0198133044079232</v>
      </c>
      <c r="M75" s="456" t="n">
        <f aca="false">'Exogenous tax and expenses'!G75+$S$60+$T$60+$U$60+$V$60+$W$60-$Y$60-$AA$60-$AB$60-$AC$60-$AD$60-$W$60*15/15</f>
        <v>-0.041890363236357</v>
      </c>
      <c r="N75" s="456" t="n">
        <f aca="false">'Exogenous tax and expenses'!H75+$S$60+$T$60+$U$60+$V$60+$W$60-$Y$60-$AA$60-$AB$60-$AC$60-$AD$60</f>
        <v>-0.0115993264101018</v>
      </c>
      <c r="O75" s="456" t="n">
        <f aca="false">'Exogenous tax and expenses'!I75+$S$60+$T$60+$U$60+$V$60+$W$60-$Y$60-$AA$60-$AB$60-$AC$60-$AD$60-$W$60*15/15</f>
        <v>-0.0331593891529108</v>
      </c>
      <c r="P75" s="456" t="n">
        <f aca="false">'Exogenous tax and expenses'!J75+$S$60+$T$60+$U$60+$V$60+$W$60-$Y$60-$AA$60-$AB$60-$AC$60-$AD$60</f>
        <v>-0.00314423288962737</v>
      </c>
      <c r="Q75" s="456" t="n">
        <f aca="false">'Exogenous tax and expenses'!K75+$S$60+$T$60+$U$60+$V$60+$W$60-$Y$60-$AA$60-$AB$60-$AC$60-$AD$60-$W$60*15/15</f>
        <v>-0.0244041581875183</v>
      </c>
      <c r="R75" s="731"/>
      <c r="S75" s="731"/>
      <c r="T75" s="456"/>
      <c r="U75" s="456"/>
      <c r="V75" s="456"/>
      <c r="W75" s="456"/>
      <c r="X75" s="456"/>
      <c r="Y75" s="456"/>
      <c r="Z75" s="456"/>
      <c r="AA75" s="456"/>
      <c r="AB75" s="1"/>
      <c r="AC75" s="1"/>
      <c r="AD75" s="456"/>
      <c r="AE75" s="456"/>
      <c r="AF75" s="1"/>
      <c r="AG75" s="1"/>
      <c r="AH75" s="1"/>
      <c r="AI75" s="1"/>
      <c r="AJ75" s="1" t="n">
        <f aca="false">'Exogenous tax and expenses'!AJ74+1</f>
        <v>10</v>
      </c>
      <c r="AK75" s="1"/>
      <c r="AL75" s="1"/>
      <c r="AM75" s="1"/>
      <c r="AN75" s="1"/>
      <c r="AO75" s="1"/>
      <c r="AP75" s="1"/>
      <c r="AQ75" s="1"/>
      <c r="AR75" s="1"/>
    </row>
    <row r="76" customFormat="false" ht="15" hidden="false" customHeight="false" outlineLevel="0" collapsed="false">
      <c r="B76" s="787"/>
      <c r="C76" s="1" t="n">
        <f aca="false">'Exogenous tax and expenses'!C75+1</f>
        <v>2029</v>
      </c>
      <c r="D76" s="745"/>
      <c r="E76" s="745"/>
      <c r="F76" s="791" t="n">
        <v>-0.0456204435045278</v>
      </c>
      <c r="G76" s="791" t="n">
        <v>-0.0530743350173051</v>
      </c>
      <c r="H76" s="793" t="n">
        <v>-0.0354169951134668</v>
      </c>
      <c r="I76" s="793" t="n">
        <v>-0.0422243976792777</v>
      </c>
      <c r="J76" s="456" t="n">
        <v>-0.0266181950354649</v>
      </c>
      <c r="K76" s="456" t="n">
        <v>-0.0330400987657799</v>
      </c>
      <c r="L76" s="456" t="n">
        <f aca="false">'Exogenous tax and expenses'!F76+$S$60+$T$60+$U$60+$V$60+$W$60-$Y$60-$AA$60-$AB$60-$AC$60-$AD$60</f>
        <v>-0.019248960433117</v>
      </c>
      <c r="M76" s="456" t="n">
        <f aca="false">'Exogenous tax and expenses'!G76+$S$60+$T$60+$U$60+$V$60+$W$60-$Y$60-$AA$60-$AB$60-$AC$60-$AD$60-$W$60*15/15</f>
        <v>-0.0422550120022889</v>
      </c>
      <c r="N76" s="456" t="n">
        <f aca="false">'Exogenous tax and expenses'!H76+$S$60+$T$60+$U$60+$V$60+$W$60-$Y$60-$AA$60-$AB$60-$AC$60-$AD$60</f>
        <v>-0.00904551204205596</v>
      </c>
      <c r="O76" s="456" t="n">
        <f aca="false">'Exogenous tax and expenses'!I76+$S$60+$T$60+$U$60+$V$60+$W$60-$Y$60-$AA$60-$AB$60-$AC$60-$AD$60-$W$60*15/15</f>
        <v>-0.0314050746642615</v>
      </c>
      <c r="P76" s="456" t="n">
        <f aca="false">'Exogenous tax and expenses'!J76+$S$60+$T$60+$U$60+$V$60+$W$60-$Y$60-$AA$60-$AB$60-$AC$60-$AD$60</f>
        <v>-0.000246711964054065</v>
      </c>
      <c r="Q76" s="456" t="n">
        <f aca="false">'Exogenous tax and expenses'!K76+$S$60+$T$60+$U$60+$V$60+$W$60-$Y$60-$AA$60-$AB$60-$AC$60-$AD$60-$W$60*15/15</f>
        <v>-0.0222207757507637</v>
      </c>
      <c r="R76" s="731"/>
      <c r="S76" s="731"/>
      <c r="T76" s="456"/>
      <c r="U76" s="456"/>
      <c r="V76" s="456"/>
      <c r="W76" s="456"/>
      <c r="X76" s="456"/>
      <c r="Y76" s="456"/>
      <c r="Z76" s="456"/>
      <c r="AA76" s="456"/>
      <c r="AB76" s="1"/>
      <c r="AC76" s="1"/>
      <c r="AD76" s="456"/>
      <c r="AE76" s="456"/>
      <c r="AF76" s="1"/>
      <c r="AG76" s="1"/>
      <c r="AH76" s="1"/>
      <c r="AI76" s="1"/>
      <c r="AJ76" s="1" t="n">
        <f aca="false">'Exogenous tax and expenses'!AJ75+1</f>
        <v>11</v>
      </c>
      <c r="AK76" s="1"/>
      <c r="AL76" s="1"/>
      <c r="AM76" s="1"/>
      <c r="AN76" s="1"/>
      <c r="AO76" s="1"/>
      <c r="AP76" s="1"/>
      <c r="AQ76" s="1"/>
      <c r="AR76" s="1"/>
    </row>
    <row r="77" customFormat="false" ht="15" hidden="false" customHeight="false" outlineLevel="0" collapsed="false">
      <c r="B77" s="787"/>
      <c r="C77" s="1" t="n">
        <f aca="false">'Exogenous tax and expenses'!C76+1</f>
        <v>2030</v>
      </c>
      <c r="D77" s="745"/>
      <c r="E77" s="745"/>
      <c r="F77" s="791" t="n">
        <v>-0.0438814780865699</v>
      </c>
      <c r="G77" s="791" t="n">
        <v>-0.0520641051896001</v>
      </c>
      <c r="H77" s="794" t="n">
        <v>-0.0345191330852008</v>
      </c>
      <c r="I77" s="794" t="n">
        <v>-0.041969000655287</v>
      </c>
      <c r="J77" s="456" t="n">
        <v>-0.0245477014714796</v>
      </c>
      <c r="K77" s="456" t="n">
        <v>-0.031536543906288</v>
      </c>
      <c r="L77" s="456" t="n">
        <f aca="false">'Exogenous tax and expenses'!F77+$S$60+$T$60+$U$60+$V$60+$W$60-$Y$60-$AA$60-$AB$60-$AC$60-$AD$60</f>
        <v>-0.0175099950151591</v>
      </c>
      <c r="M77" s="456" t="n">
        <f aca="false">'Exogenous tax and expenses'!G77+$S$60+$T$60+$U$60+$V$60+$W$60-$Y$60-$AA$60-$AB$60-$AC$60-$AD$60-$W$60*15/15</f>
        <v>-0.0412447821745839</v>
      </c>
      <c r="N77" s="456" t="n">
        <f aca="false">'Exogenous tax and expenses'!H77+$S$60+$T$60+$U$60+$V$60+$W$60-$Y$60-$AA$60-$AB$60-$AC$60-$AD$60</f>
        <v>-0.00814765001378997</v>
      </c>
      <c r="O77" s="456" t="n">
        <f aca="false">'Exogenous tax and expenses'!I77+$S$60+$T$60+$U$60+$V$60+$W$60-$Y$60-$AA$60-$AB$60-$AC$60-$AD$60-$W$60*15/15</f>
        <v>-0.0311496776402708</v>
      </c>
      <c r="P77" s="456" t="n">
        <f aca="false">'Exogenous tax and expenses'!J77+$S$60+$T$60+$U$60+$V$60+$W$60-$Y$60-$AA$60-$AB$60-$AC$60-$AD$60</f>
        <v>0.00182378159993123</v>
      </c>
      <c r="Q77" s="456" t="n">
        <f aca="false">'Exogenous tax and expenses'!K77+$S$60+$T$60+$U$60+$V$60+$W$60-$Y$60-$AA$60-$AB$60-$AC$60-$AD$60-$W$60*15/15</f>
        <v>-0.0207172208912718</v>
      </c>
      <c r="R77" s="731"/>
      <c r="S77" s="731"/>
      <c r="T77" s="456"/>
      <c r="U77" s="456"/>
      <c r="V77" s="456"/>
      <c r="W77" s="456"/>
      <c r="X77" s="456"/>
      <c r="Y77" s="456"/>
      <c r="Z77" s="456"/>
      <c r="AA77" s="456"/>
      <c r="AB77" s="1"/>
      <c r="AC77" s="1"/>
      <c r="AD77" s="456"/>
      <c r="AE77" s="456"/>
      <c r="AF77" s="1"/>
      <c r="AG77" s="1"/>
      <c r="AH77" s="1"/>
      <c r="AI77" s="1"/>
      <c r="AJ77" s="1" t="n">
        <f aca="false">'Exogenous tax and expenses'!AJ76+1</f>
        <v>12</v>
      </c>
      <c r="AK77" s="1"/>
      <c r="AL77" s="1"/>
      <c r="AM77" s="1"/>
      <c r="AN77" s="1"/>
      <c r="AO77" s="1"/>
      <c r="AP77" s="1"/>
      <c r="AQ77" s="1"/>
      <c r="AR77" s="1"/>
    </row>
    <row r="78" customFormat="false" ht="15" hidden="false" customHeight="false" outlineLevel="0" collapsed="false">
      <c r="B78" s="787"/>
      <c r="C78" s="1" t="n">
        <f aca="false">'Exogenous tax and expenses'!C77+1</f>
        <v>2031</v>
      </c>
      <c r="D78" s="745"/>
      <c r="E78" s="745"/>
      <c r="F78" s="791" t="n">
        <v>-0.0422021175356963</v>
      </c>
      <c r="G78" s="791" t="n">
        <v>-0.051262233711489</v>
      </c>
      <c r="H78" s="794" t="n">
        <v>-0.0333171939982712</v>
      </c>
      <c r="I78" s="794" t="n">
        <v>-0.0414278853690342</v>
      </c>
      <c r="J78" s="456" t="n">
        <v>-0.0226332281483615</v>
      </c>
      <c r="K78" s="456" t="n">
        <v>-0.0299696096209201</v>
      </c>
      <c r="L78" s="456" t="n">
        <f aca="false">'Exogenous tax and expenses'!F78+$S$60+$T$60+$U$60+$V$60+$W$60-$Y$60-$AA$60-$AB$60-$AC$60-$AD$60</f>
        <v>-0.0158306344642855</v>
      </c>
      <c r="M78" s="456" t="n">
        <f aca="false">'Exogenous tax and expenses'!G78+$S$60+$T$60+$U$60+$V$60+$W$60-$Y$60-$AA$60-$AB$60-$AC$60-$AD$60-$W$60*15/15</f>
        <v>-0.0404429106964728</v>
      </c>
      <c r="N78" s="456" t="n">
        <f aca="false">'Exogenous tax and expenses'!H78+$S$60+$T$60+$U$60+$V$60+$W$60-$Y$60-$AA$60-$AB$60-$AC$60-$AD$60</f>
        <v>-0.00694571092686036</v>
      </c>
      <c r="O78" s="456" t="n">
        <f aca="false">'Exogenous tax and expenses'!I78+$S$60+$T$60+$U$60+$V$60+$W$60-$Y$60-$AA$60-$AB$60-$AC$60-$AD$60-$W$60*15/15</f>
        <v>-0.030608562354018</v>
      </c>
      <c r="P78" s="456" t="n">
        <f aca="false">'Exogenous tax and expenses'!J78+$S$60+$T$60+$U$60+$V$60+$W$60-$Y$60-$AA$60-$AB$60-$AC$60-$AD$60</f>
        <v>0.00373825492304934</v>
      </c>
      <c r="Q78" s="456" t="n">
        <f aca="false">'Exogenous tax and expenses'!K78+$S$60+$T$60+$U$60+$V$60+$W$60-$Y$60-$AA$60-$AB$60-$AC$60-$AD$60-$W$60*15/15</f>
        <v>-0.0191502866059039</v>
      </c>
      <c r="R78" s="731"/>
      <c r="S78" s="731"/>
      <c r="T78" s="456"/>
      <c r="U78" s="456"/>
      <c r="V78" s="456"/>
      <c r="W78" s="456"/>
      <c r="X78" s="456"/>
      <c r="Y78" s="456"/>
      <c r="Z78" s="456"/>
      <c r="AA78" s="456"/>
      <c r="AB78" s="1"/>
      <c r="AC78" s="1"/>
      <c r="AD78" s="456"/>
      <c r="AE78" s="456"/>
      <c r="AF78" s="1"/>
      <c r="AG78" s="1"/>
      <c r="AH78" s="1"/>
      <c r="AI78" s="1"/>
      <c r="AJ78" s="1" t="n">
        <f aca="false">'Exogenous tax and expenses'!AJ77+1</f>
        <v>13</v>
      </c>
      <c r="AK78" s="1"/>
      <c r="AL78" s="1"/>
      <c r="AM78" s="1"/>
      <c r="AN78" s="1"/>
      <c r="AO78" s="1"/>
      <c r="AP78" s="1"/>
      <c r="AQ78" s="1"/>
      <c r="AR78" s="1"/>
    </row>
    <row r="79" customFormat="false" ht="15" hidden="false" customHeight="false" outlineLevel="0" collapsed="false">
      <c r="B79" s="787"/>
      <c r="C79" s="1" t="n">
        <f aca="false">'Exogenous tax and expenses'!C78+1</f>
        <v>2032</v>
      </c>
      <c r="D79" s="745"/>
      <c r="E79" s="745"/>
      <c r="F79" s="791" t="n">
        <v>-0.0419216642600713</v>
      </c>
      <c r="G79" s="791" t="n">
        <v>-0.0519903598044479</v>
      </c>
      <c r="H79" s="794" t="n">
        <v>-0.0321882102681267</v>
      </c>
      <c r="I79" s="794" t="n">
        <v>-0.0408469016297929</v>
      </c>
      <c r="J79" s="456" t="n">
        <v>-0.0200823143773977</v>
      </c>
      <c r="K79" s="456" t="n">
        <v>-0.0279793830167304</v>
      </c>
      <c r="L79" s="456" t="n">
        <f aca="false">'Exogenous tax and expenses'!F79+$S$60+$T$60+$U$60+$V$60+$W$60-$Y$60-$AA$60-$AB$60-$AC$60-$AD$60</f>
        <v>-0.0155501811886605</v>
      </c>
      <c r="M79" s="456" t="n">
        <f aca="false">'Exogenous tax and expenses'!G79+$S$60+$T$60+$U$60+$V$60+$W$60-$Y$60-$AA$60-$AB$60-$AC$60-$AD$60-$W$60*15/15</f>
        <v>-0.0411710367894317</v>
      </c>
      <c r="N79" s="456" t="n">
        <f aca="false">'Exogenous tax and expenses'!H79+$S$60+$T$60+$U$60+$V$60+$W$60-$Y$60-$AA$60-$AB$60-$AC$60-$AD$60</f>
        <v>-0.00581672719671587</v>
      </c>
      <c r="O79" s="456" t="n">
        <f aca="false">'Exogenous tax and expenses'!I79+$S$60+$T$60+$U$60+$V$60+$W$60-$Y$60-$AA$60-$AB$60-$AC$60-$AD$60-$W$60*15/15</f>
        <v>-0.0300275786147767</v>
      </c>
      <c r="P79" s="456" t="n">
        <f aca="false">'Exogenous tax and expenses'!J79+$S$60+$T$60+$U$60+$V$60+$W$60-$Y$60-$AA$60-$AB$60-$AC$60-$AD$60</f>
        <v>0.00628916869401313</v>
      </c>
      <c r="Q79" s="456" t="n">
        <f aca="false">'Exogenous tax and expenses'!K79+$S$60+$T$60+$U$60+$V$60+$W$60-$Y$60-$AA$60-$AB$60-$AC$60-$AD$60-$W$60*15/15</f>
        <v>-0.0171600600017142</v>
      </c>
      <c r="R79" s="731"/>
      <c r="S79" s="731"/>
      <c r="T79" s="456"/>
      <c r="U79" s="456"/>
      <c r="V79" s="456"/>
      <c r="W79" s="456"/>
      <c r="X79" s="456"/>
      <c r="Y79" s="456"/>
      <c r="Z79" s="456"/>
      <c r="AA79" s="456"/>
      <c r="AB79" s="1"/>
      <c r="AC79" s="1"/>
      <c r="AD79" s="456"/>
      <c r="AE79" s="456"/>
      <c r="AF79" s="1"/>
      <c r="AG79" s="1"/>
      <c r="AH79" s="1"/>
      <c r="AI79" s="1"/>
      <c r="AJ79" s="1" t="n">
        <f aca="false">'Exogenous tax and expenses'!AJ78+1</f>
        <v>14</v>
      </c>
      <c r="AK79" s="1"/>
      <c r="AL79" s="1"/>
      <c r="AM79" s="1"/>
      <c r="AN79" s="1"/>
      <c r="AO79" s="1"/>
      <c r="AP79" s="1"/>
      <c r="AQ79" s="1"/>
      <c r="AR79" s="1"/>
    </row>
    <row r="80" customFormat="false" ht="15" hidden="false" customHeight="false" outlineLevel="0" collapsed="false">
      <c r="B80" s="787"/>
      <c r="C80" s="1" t="n">
        <f aca="false">'Exogenous tax and expenses'!C79+1</f>
        <v>2033</v>
      </c>
      <c r="D80" s="745"/>
      <c r="E80" s="745"/>
      <c r="F80" s="791" t="n">
        <v>-0.04194909984817</v>
      </c>
      <c r="G80" s="791" t="n">
        <v>-0.052964695698324</v>
      </c>
      <c r="H80" s="793" t="n">
        <v>-0.0300661356040712</v>
      </c>
      <c r="I80" s="793" t="n">
        <v>-0.0393694443616711</v>
      </c>
      <c r="J80" s="456" t="n">
        <v>-0.0176098652333081</v>
      </c>
      <c r="K80" s="456" t="n">
        <v>-0.0259948497518033</v>
      </c>
      <c r="L80" s="456" t="n">
        <f aca="false">'Exogenous tax and expenses'!F80+$S$60+$T$60+$U$60+$V$60+$W$60-$Y$60-$AA$60-$AB$60-$AC$60-$AD$60</f>
        <v>-0.0155776167767592</v>
      </c>
      <c r="M80" s="456" t="n">
        <f aca="false">'Exogenous tax and expenses'!G80+$S$60+$T$60+$U$60+$V$60+$W$60-$Y$60-$AA$60-$AB$60-$AC$60-$AD$60-$W$60*15/15</f>
        <v>-0.0421453726833078</v>
      </c>
      <c r="N80" s="456" t="n">
        <f aca="false">'Exogenous tax and expenses'!H80+$S$60+$T$60+$U$60+$V$60+$W$60-$Y$60-$AA$60-$AB$60-$AC$60-$AD$60</f>
        <v>-0.00369465253266037</v>
      </c>
      <c r="O80" s="456" t="n">
        <f aca="false">'Exogenous tax and expenses'!I80+$S$60+$T$60+$U$60+$V$60+$W$60-$Y$60-$AA$60-$AB$60-$AC$60-$AD$60-$W$60*15/15</f>
        <v>-0.0285501213466549</v>
      </c>
      <c r="P80" s="456" t="n">
        <f aca="false">'Exogenous tax and expenses'!J80+$S$60+$T$60+$U$60+$V$60+$W$60-$Y$60-$AA$60-$AB$60-$AC$60-$AD$60</f>
        <v>0.00876161783810273</v>
      </c>
      <c r="Q80" s="456" t="n">
        <f aca="false">'Exogenous tax and expenses'!K80+$S$60+$T$60+$U$60+$V$60+$W$60-$Y$60-$AA$60-$AB$60-$AC$60-$AD$60-$W$60*15/15</f>
        <v>-0.0151755267367871</v>
      </c>
      <c r="R80" s="731"/>
      <c r="S80" s="731"/>
      <c r="T80" s="456"/>
      <c r="U80" s="456"/>
      <c r="V80" s="456"/>
      <c r="W80" s="456"/>
      <c r="X80" s="456"/>
      <c r="Y80" s="456"/>
      <c r="Z80" s="456"/>
      <c r="AA80" s="456"/>
      <c r="AB80" s="1"/>
      <c r="AC80" s="1"/>
      <c r="AD80" s="456"/>
      <c r="AE80" s="456"/>
      <c r="AF80" s="1"/>
      <c r="AG80" s="1"/>
      <c r="AH80" s="1"/>
      <c r="AI80" s="1"/>
      <c r="AJ80" s="1" t="n">
        <f aca="false">'Exogenous tax and expenses'!AJ79+1</f>
        <v>15</v>
      </c>
      <c r="AK80" s="1"/>
      <c r="AL80" s="1"/>
      <c r="AM80" s="1"/>
      <c r="AN80" s="1"/>
      <c r="AO80" s="1"/>
      <c r="AP80" s="1"/>
      <c r="AQ80" s="1"/>
      <c r="AR80" s="1"/>
    </row>
    <row r="81" customFormat="false" ht="15" hidden="false" customHeight="false" outlineLevel="0" collapsed="false">
      <c r="B81" s="787"/>
      <c r="C81" s="1" t="n">
        <f aca="false">'Exogenous tax and expenses'!C80+1</f>
        <v>2034</v>
      </c>
      <c r="D81" s="745"/>
      <c r="E81" s="745"/>
      <c r="F81" s="791" t="n">
        <v>-0.0421801515075573</v>
      </c>
      <c r="G81" s="791" t="n">
        <v>-0.0539274495272783</v>
      </c>
      <c r="H81" s="794" t="n">
        <v>-0.0298195971005515</v>
      </c>
      <c r="I81" s="794" t="n">
        <v>-0.0395717874382454</v>
      </c>
      <c r="J81" s="456" t="n">
        <v>-0.0150221021373978</v>
      </c>
      <c r="K81" s="456" t="n">
        <v>-0.0238262091607523</v>
      </c>
      <c r="L81" s="456" t="n">
        <f aca="false">'Exogenous tax and expenses'!F81+$S$60+$T$60+$U$60+$V$60+$W$60-$Y$60-$AA$60-$AB$60-$AC$60-$AD$60</f>
        <v>-0.0158086684361465</v>
      </c>
      <c r="M81" s="456" t="n">
        <f aca="false">'Exogenous tax and expenses'!G81+$S$60+$T$60+$U$60+$V$60+$W$60-$Y$60-$AA$60-$AB$60-$AC$60-$AD$60-$W$60*15/15</f>
        <v>-0.0431081265122621</v>
      </c>
      <c r="N81" s="456" t="n">
        <f aca="false">'Exogenous tax and expenses'!H81+$S$60+$T$60+$U$60+$V$60+$W$60-$Y$60-$AA$60-$AB$60-$AC$60-$AD$60</f>
        <v>-0.00344811402914067</v>
      </c>
      <c r="O81" s="456" t="n">
        <f aca="false">'Exogenous tax and expenses'!I81+$S$60+$T$60+$U$60+$V$60+$W$60-$Y$60-$AA$60-$AB$60-$AC$60-$AD$60-$W$60*15/15</f>
        <v>-0.0287524644232292</v>
      </c>
      <c r="P81" s="456" t="n">
        <f aca="false">'Exogenous tax and expenses'!J81+$S$60+$T$60+$U$60+$V$60+$W$60-$Y$60-$AA$60-$AB$60-$AC$60-$AD$60</f>
        <v>0.011349380934013</v>
      </c>
      <c r="Q81" s="456" t="n">
        <f aca="false">'Exogenous tax and expenses'!K81+$S$60+$T$60+$U$60+$V$60+$W$60-$Y$60-$AA$60-$AB$60-$AC$60-$AD$60-$W$60*15/15</f>
        <v>-0.0130068861457361</v>
      </c>
      <c r="R81" s="731"/>
      <c r="S81" s="731"/>
      <c r="T81" s="456"/>
      <c r="U81" s="456"/>
      <c r="V81" s="456"/>
      <c r="W81" s="456"/>
      <c r="X81" s="456"/>
      <c r="Y81" s="456"/>
      <c r="Z81" s="456"/>
      <c r="AA81" s="456"/>
      <c r="AB81" s="1"/>
      <c r="AC81" s="1"/>
      <c r="AD81" s="456"/>
      <c r="AE81" s="456"/>
      <c r="AF81" s="1"/>
      <c r="AG81" s="1"/>
      <c r="AH81" s="1"/>
      <c r="AI81" s="1"/>
      <c r="AJ81" s="1" t="n">
        <f aca="false">'Exogenous tax and expenses'!AJ80+1</f>
        <v>16</v>
      </c>
      <c r="AK81" s="1"/>
      <c r="AL81" s="1"/>
      <c r="AM81" s="1"/>
      <c r="AN81" s="1"/>
      <c r="AO81" s="1"/>
      <c r="AP81" s="1"/>
      <c r="AQ81" s="1"/>
      <c r="AR81" s="1"/>
    </row>
    <row r="82" customFormat="false" ht="15" hidden="false" customHeight="false" outlineLevel="0" collapsed="false">
      <c r="B82" s="787"/>
      <c r="C82" s="1" t="n">
        <f aca="false">'Exogenous tax and expenses'!C81+1</f>
        <v>2035</v>
      </c>
      <c r="D82" s="745"/>
      <c r="E82" s="745"/>
      <c r="F82" s="791" t="n">
        <v>-0.0417418231827249</v>
      </c>
      <c r="G82" s="791" t="n">
        <v>-0.0539656481962422</v>
      </c>
      <c r="H82" s="794" t="n">
        <v>-0.0285733811918621</v>
      </c>
      <c r="I82" s="794" t="n">
        <v>-0.0388000482226595</v>
      </c>
      <c r="J82" s="456" t="n">
        <v>-0.0134966496159459</v>
      </c>
      <c r="K82" s="456" t="n">
        <v>-0.0227509091684266</v>
      </c>
      <c r="L82" s="456" t="n">
        <f aca="false">'Exogenous tax and expenses'!F82+$S$60+$T$60+$U$60+$V$60+$W$60-$Y$60-$AA$60-$AB$60-$AC$60-$AD$60</f>
        <v>-0.0153703401113141</v>
      </c>
      <c r="M82" s="456" t="n">
        <f aca="false">'Exogenous tax and expenses'!G82+$S$60+$T$60+$U$60+$V$60+$W$60-$Y$60-$AA$60-$AB$60-$AC$60-$AD$60-$W$60*15/15</f>
        <v>-0.043146325181226</v>
      </c>
      <c r="N82" s="456" t="n">
        <f aca="false">'Exogenous tax and expenses'!H82+$S$60+$T$60+$U$60+$V$60+$W$60-$Y$60-$AA$60-$AB$60-$AC$60-$AD$60</f>
        <v>-0.00220189812045127</v>
      </c>
      <c r="O82" s="456" t="n">
        <f aca="false">'Exogenous tax and expenses'!I82+$S$60+$T$60+$U$60+$V$60+$W$60-$Y$60-$AA$60-$AB$60-$AC$60-$AD$60-$W$60*15/15</f>
        <v>-0.0279807252076433</v>
      </c>
      <c r="P82" s="456" t="n">
        <f aca="false">'Exogenous tax and expenses'!J82+$S$60+$T$60+$U$60+$V$60+$W$60-$Y$60-$AA$60-$AB$60-$AC$60-$AD$60</f>
        <v>0.0128748334554649</v>
      </c>
      <c r="Q82" s="456" t="n">
        <f aca="false">'Exogenous tax and expenses'!K82+$S$60+$T$60+$U$60+$V$60+$W$60-$Y$60-$AA$60-$AB$60-$AC$60-$AD$60-$W$60*15/15</f>
        <v>-0.0119315861534104</v>
      </c>
      <c r="R82" s="731"/>
      <c r="S82" s="731"/>
      <c r="T82" s="456"/>
      <c r="U82" s="456"/>
      <c r="V82" s="456"/>
      <c r="W82" s="456"/>
      <c r="X82" s="456"/>
      <c r="Y82" s="456"/>
      <c r="Z82" s="456"/>
      <c r="AA82" s="456"/>
      <c r="AB82" s="1"/>
      <c r="AC82" s="1"/>
      <c r="AD82" s="456"/>
      <c r="AE82" s="456"/>
      <c r="AF82" s="1"/>
      <c r="AG82" s="1"/>
      <c r="AH82" s="1"/>
      <c r="AI82" s="1"/>
      <c r="AJ82" s="1" t="n">
        <f aca="false">'Exogenous tax and expenses'!AJ81+1</f>
        <v>17</v>
      </c>
      <c r="AK82" s="1"/>
      <c r="AL82" s="1"/>
      <c r="AM82" s="1"/>
      <c r="AN82" s="1"/>
      <c r="AO82" s="1"/>
      <c r="AP82" s="1"/>
      <c r="AQ82" s="1"/>
      <c r="AR82" s="1"/>
    </row>
    <row r="83" customFormat="false" ht="15" hidden="false" customHeight="false" outlineLevel="0" collapsed="false">
      <c r="B83" s="787"/>
      <c r="C83" s="1" t="n">
        <f aca="false">'Exogenous tax and expenses'!C82+1</f>
        <v>2036</v>
      </c>
      <c r="D83" s="745"/>
      <c r="E83" s="745"/>
      <c r="F83" s="791" t="n">
        <v>-0.0400038295292974</v>
      </c>
      <c r="G83" s="791" t="n">
        <v>-0.0529851188785839</v>
      </c>
      <c r="H83" s="794" t="n">
        <v>-0.0263210887091171</v>
      </c>
      <c r="I83" s="794" t="n">
        <v>-0.0371315757823591</v>
      </c>
      <c r="J83" s="456" t="n">
        <v>-0.0115070173819503</v>
      </c>
      <c r="K83" s="456" t="n">
        <v>-0.0211108669343906</v>
      </c>
      <c r="L83" s="456" t="n">
        <f aca="false">'Exogenous tax and expenses'!F83+$S$60+$T$60+$U$60+$V$60+$W$60-$Y$60-$AA$60-$AB$60-$AC$60-$AD$60</f>
        <v>-0.0136323464578866</v>
      </c>
      <c r="M83" s="456" t="n">
        <f aca="false">'Exogenous tax and expenses'!G83+$S$60+$T$60+$U$60+$V$60+$W$60-$Y$60-$AA$60-$AB$60-$AC$60-$AD$60-$W$60*15/15</f>
        <v>-0.0421657958635677</v>
      </c>
      <c r="N83" s="456" t="n">
        <f aca="false">'Exogenous tax and expenses'!H83+$S$60+$T$60+$U$60+$V$60+$W$60-$Y$60-$AA$60-$AB$60-$AC$60-$AD$60</f>
        <v>5.03943622937311E-005</v>
      </c>
      <c r="O83" s="456" t="n">
        <f aca="false">'Exogenous tax and expenses'!I83+$S$60+$T$60+$U$60+$V$60+$W$60-$Y$60-$AA$60-$AB$60-$AC$60-$AD$60-$W$60*15/15</f>
        <v>-0.0263122527673429</v>
      </c>
      <c r="P83" s="456" t="n">
        <f aca="false">'Exogenous tax and expenses'!J83+$S$60+$T$60+$U$60+$V$60+$W$60-$Y$60-$AA$60-$AB$60-$AC$60-$AD$60</f>
        <v>0.0148644656894605</v>
      </c>
      <c r="Q83" s="456" t="n">
        <f aca="false">'Exogenous tax and expenses'!K83+$S$60+$T$60+$U$60+$V$60+$W$60-$Y$60-$AA$60-$AB$60-$AC$60-$AD$60-$W$60*15/15</f>
        <v>-0.0102915439193744</v>
      </c>
      <c r="R83" s="731"/>
      <c r="S83" s="731"/>
      <c r="T83" s="456"/>
      <c r="U83" s="456"/>
      <c r="V83" s="456"/>
      <c r="W83" s="456"/>
      <c r="X83" s="456"/>
      <c r="Y83" s="456"/>
      <c r="Z83" s="456"/>
      <c r="AA83" s="456"/>
      <c r="AB83" s="1"/>
      <c r="AC83" s="1"/>
      <c r="AD83" s="456"/>
      <c r="AE83" s="456"/>
      <c r="AF83" s="1"/>
      <c r="AG83" s="1"/>
      <c r="AH83" s="1"/>
      <c r="AI83" s="1"/>
      <c r="AJ83" s="1" t="n">
        <f aca="false">'Exogenous tax and expenses'!AJ82+1</f>
        <v>18</v>
      </c>
      <c r="AK83" s="1"/>
      <c r="AL83" s="1"/>
      <c r="AM83" s="1"/>
      <c r="AN83" s="1"/>
      <c r="AO83" s="1"/>
      <c r="AP83" s="1"/>
      <c r="AQ83" s="1"/>
      <c r="AR83" s="1"/>
    </row>
    <row r="84" customFormat="false" ht="15" hidden="false" customHeight="false" outlineLevel="0" collapsed="false">
      <c r="B84" s="787"/>
      <c r="C84" s="1" t="n">
        <f aca="false">'Exogenous tax and expenses'!C83+1</f>
        <v>2037</v>
      </c>
      <c r="D84" s="745"/>
      <c r="E84" s="745"/>
      <c r="F84" s="791" t="n">
        <v>-0.0392013714099152</v>
      </c>
      <c r="G84" s="791" t="n">
        <v>-0.0529202194242223</v>
      </c>
      <c r="H84" s="793" t="n">
        <v>-0.0253456234180949</v>
      </c>
      <c r="I84" s="793" t="n">
        <v>-0.0367379142764194</v>
      </c>
      <c r="J84" s="456" t="n">
        <v>-0.0105673047826973</v>
      </c>
      <c r="K84" s="456" t="n">
        <v>-0.0207541969088217</v>
      </c>
      <c r="L84" s="456" t="n">
        <f aca="false">'Exogenous tax and expenses'!F84+$S$60+$T$60+$U$60+$V$60+$W$60-$Y$60-$AA$60-$AB$60-$AC$60-$AD$60</f>
        <v>-0.0128298883385044</v>
      </c>
      <c r="M84" s="456" t="n">
        <f aca="false">'Exogenous tax and expenses'!G84+$S$60+$T$60+$U$60+$V$60+$W$60-$Y$60-$AA$60-$AB$60-$AC$60-$AD$60-$W$60*15/15</f>
        <v>-0.0421008964092061</v>
      </c>
      <c r="N84" s="456" t="n">
        <f aca="false">'Exogenous tax and expenses'!H84+$S$60+$T$60+$U$60+$V$60+$W$60-$Y$60-$AA$60-$AB$60-$AC$60-$AD$60</f>
        <v>0.00102585965331593</v>
      </c>
      <c r="O84" s="456" t="n">
        <f aca="false">'Exogenous tax and expenses'!I84+$S$60+$T$60+$U$60+$V$60+$W$60-$Y$60-$AA$60-$AB$60-$AC$60-$AD$60-$W$60*15/15</f>
        <v>-0.0259185912614032</v>
      </c>
      <c r="P84" s="456" t="n">
        <f aca="false">'Exogenous tax and expenses'!J84+$S$60+$T$60+$U$60+$V$60+$W$60-$Y$60-$AA$60-$AB$60-$AC$60-$AD$60</f>
        <v>0.0158041782887135</v>
      </c>
      <c r="Q84" s="456" t="n">
        <f aca="false">'Exogenous tax and expenses'!K84+$S$60+$T$60+$U$60+$V$60+$W$60-$Y$60-$AA$60-$AB$60-$AC$60-$AD$60-$W$60*15/15</f>
        <v>-0.00993487389380552</v>
      </c>
      <c r="R84" s="731"/>
      <c r="S84" s="731"/>
      <c r="T84" s="456"/>
      <c r="U84" s="456"/>
      <c r="V84" s="456"/>
      <c r="W84" s="456"/>
      <c r="X84" s="456"/>
      <c r="Y84" s="456"/>
      <c r="Z84" s="456"/>
      <c r="AA84" s="456"/>
      <c r="AB84" s="1"/>
      <c r="AC84" s="1"/>
      <c r="AD84" s="456"/>
      <c r="AE84" s="456"/>
      <c r="AF84" s="1"/>
      <c r="AG84" s="1"/>
      <c r="AH84" s="1"/>
      <c r="AI84" s="1"/>
      <c r="AJ84" s="1" t="n">
        <f aca="false">'Exogenous tax and expenses'!AJ83+1</f>
        <v>19</v>
      </c>
      <c r="AK84" s="1"/>
      <c r="AL84" s="1"/>
      <c r="AM84" s="1"/>
      <c r="AN84" s="1"/>
      <c r="AO84" s="1"/>
      <c r="AP84" s="1"/>
      <c r="AQ84" s="1"/>
      <c r="AR84" s="1"/>
    </row>
    <row r="85" customFormat="false" ht="15" hidden="false" customHeight="false" outlineLevel="0" collapsed="false">
      <c r="B85" s="787"/>
      <c r="C85" s="1" t="n">
        <f aca="false">'Exogenous tax and expenses'!C84+1</f>
        <v>2038</v>
      </c>
      <c r="D85" s="745"/>
      <c r="E85" s="745"/>
      <c r="F85" s="791" t="n">
        <v>-0.038468064793562</v>
      </c>
      <c r="G85" s="791" t="n">
        <v>-0.0530794876045198</v>
      </c>
      <c r="H85" s="794" t="n">
        <v>-0.0236714695925401</v>
      </c>
      <c r="I85" s="794" t="n">
        <v>-0.035453684387902</v>
      </c>
      <c r="J85" s="456" t="n">
        <v>-0.00931348641028586</v>
      </c>
      <c r="K85" s="456" t="n">
        <v>-0.0198855511235327</v>
      </c>
      <c r="L85" s="456" t="n">
        <f aca="false">'Exogenous tax and expenses'!F85+$S$60+$T$60+$U$60+$V$60+$W$60-$Y$60-$AA$60-$AB$60-$AC$60-$AD$60</f>
        <v>-0.0120965817221512</v>
      </c>
      <c r="M85" s="456" t="n">
        <f aca="false">'Exogenous tax and expenses'!G85+$S$60+$T$60+$U$60+$V$60+$W$60-$Y$60-$AA$60-$AB$60-$AC$60-$AD$60-$W$60*15/15</f>
        <v>-0.0422601645895036</v>
      </c>
      <c r="N85" s="456" t="n">
        <f aca="false">'Exogenous tax and expenses'!H85+$S$60+$T$60+$U$60+$V$60+$W$60-$Y$60-$AA$60-$AB$60-$AC$60-$AD$60</f>
        <v>0.00270001347887073</v>
      </c>
      <c r="O85" s="456" t="n">
        <f aca="false">'Exogenous tax and expenses'!I85+$S$60+$T$60+$U$60+$V$60+$W$60-$Y$60-$AA$60-$AB$60-$AC$60-$AD$60-$W$60*15/15</f>
        <v>-0.0246343613728858</v>
      </c>
      <c r="P85" s="456" t="n">
        <f aca="false">'Exogenous tax and expenses'!J85+$S$60+$T$60+$U$60+$V$60+$W$60-$Y$60-$AA$60-$AB$60-$AC$60-$AD$60</f>
        <v>0.017057996661125</v>
      </c>
      <c r="Q85" s="456" t="n">
        <f aca="false">'Exogenous tax and expenses'!K85+$S$60+$T$60+$U$60+$V$60+$W$60-$Y$60-$AA$60-$AB$60-$AC$60-$AD$60-$W$60*15/15</f>
        <v>-0.00906622810851651</v>
      </c>
      <c r="R85" s="731"/>
      <c r="S85" s="731"/>
      <c r="T85" s="456"/>
      <c r="U85" s="456"/>
      <c r="V85" s="456"/>
      <c r="W85" s="456"/>
      <c r="X85" s="456"/>
      <c r="Y85" s="456"/>
      <c r="Z85" s="456"/>
      <c r="AA85" s="456"/>
      <c r="AB85" s="1"/>
      <c r="AC85" s="1"/>
      <c r="AD85" s="456"/>
      <c r="AE85" s="456"/>
      <c r="AF85" s="1"/>
      <c r="AG85" s="1"/>
      <c r="AH85" s="1"/>
      <c r="AI85" s="1"/>
      <c r="AJ85" s="1" t="n">
        <f aca="false">'Exogenous tax and expenses'!AJ84+1</f>
        <v>20</v>
      </c>
      <c r="AK85" s="1"/>
      <c r="AL85" s="1"/>
      <c r="AM85" s="1"/>
      <c r="AN85" s="1"/>
      <c r="AO85" s="1"/>
      <c r="AP85" s="1"/>
      <c r="AQ85" s="1"/>
      <c r="AR85" s="1"/>
    </row>
    <row r="86" customFormat="false" ht="15" hidden="false" customHeight="false" outlineLevel="0" collapsed="false">
      <c r="B86" s="787"/>
      <c r="C86" s="1" t="n">
        <f aca="false">'Exogenous tax and expenses'!C85+1</f>
        <v>2039</v>
      </c>
      <c r="D86" s="745"/>
      <c r="E86" s="745"/>
      <c r="F86" s="791" t="n">
        <v>-0.0382512064777153</v>
      </c>
      <c r="G86" s="791" t="n">
        <v>-0.0534935229911094</v>
      </c>
      <c r="H86" s="794" t="n">
        <v>-0.0238122476575823</v>
      </c>
      <c r="I86" s="794" t="n">
        <v>-0.0361437402192002</v>
      </c>
      <c r="J86" s="456" t="n">
        <v>-0.00850137634154165</v>
      </c>
      <c r="K86" s="456" t="n">
        <v>-0.0195672655974706</v>
      </c>
      <c r="L86" s="456" t="n">
        <f aca="false">'Exogenous tax and expenses'!F86+$S$60+$T$60+$U$60+$V$60+$W$60-$Y$60-$AA$60-$AB$60-$AC$60-$AD$60</f>
        <v>-0.0118797234063045</v>
      </c>
      <c r="M86" s="456" t="n">
        <f aca="false">'Exogenous tax and expenses'!G86+$S$60+$T$60+$U$60+$V$60+$W$60-$Y$60-$AA$60-$AB$60-$AC$60-$AD$60-$W$60*15/15</f>
        <v>-0.0426741999760932</v>
      </c>
      <c r="N86" s="456" t="n">
        <f aca="false">'Exogenous tax and expenses'!H86+$S$60+$T$60+$U$60+$V$60+$W$60-$Y$60-$AA$60-$AB$60-$AC$60-$AD$60</f>
        <v>0.00255923541382853</v>
      </c>
      <c r="O86" s="456" t="n">
        <f aca="false">'Exogenous tax and expenses'!I86+$S$60+$T$60+$U$60+$V$60+$W$60-$Y$60-$AA$60-$AB$60-$AC$60-$AD$60-$W$60*15/15</f>
        <v>-0.025324417204184</v>
      </c>
      <c r="P86" s="456" t="n">
        <f aca="false">'Exogenous tax and expenses'!J86+$S$60+$T$60+$U$60+$V$60+$W$60-$Y$60-$AA$60-$AB$60-$AC$60-$AD$60</f>
        <v>0.0178701067298692</v>
      </c>
      <c r="Q86" s="456" t="n">
        <f aca="false">'Exogenous tax and expenses'!K86+$S$60+$T$60+$U$60+$V$60+$W$60-$Y$60-$AA$60-$AB$60-$AC$60-$AD$60-$W$60*15/15</f>
        <v>-0.00874794258245441</v>
      </c>
      <c r="R86" s="731"/>
      <c r="S86" s="731"/>
      <c r="T86" s="456"/>
      <c r="U86" s="456"/>
      <c r="V86" s="456"/>
      <c r="W86" s="456"/>
      <c r="X86" s="456"/>
      <c r="Y86" s="456"/>
      <c r="Z86" s="456"/>
      <c r="AA86" s="456"/>
      <c r="AB86" s="1"/>
      <c r="AC86" s="1"/>
      <c r="AD86" s="456"/>
      <c r="AE86" s="456"/>
      <c r="AF86" s="1"/>
      <c r="AG86" s="1"/>
      <c r="AH86" s="1"/>
      <c r="AI86" s="1"/>
      <c r="AJ86" s="1" t="n">
        <f aca="false">'Exogenous tax and expenses'!AJ85+1</f>
        <v>21</v>
      </c>
      <c r="AK86" s="1"/>
      <c r="AL86" s="1"/>
      <c r="AM86" s="1"/>
      <c r="AN86" s="1"/>
      <c r="AO86" s="1"/>
      <c r="AP86" s="1"/>
      <c r="AQ86" s="1"/>
      <c r="AR86" s="1"/>
    </row>
    <row r="87" customFormat="false" ht="15" hidden="false" customHeight="false" outlineLevel="0" collapsed="false">
      <c r="B87" s="787"/>
      <c r="C87" s="1" t="n">
        <f aca="false">'Exogenous tax and expenses'!C86+1</f>
        <v>2040</v>
      </c>
      <c r="D87" s="745"/>
      <c r="E87" s="745"/>
      <c r="F87" s="791" t="n">
        <v>-0.0384084072361359</v>
      </c>
      <c r="G87" s="791" t="n">
        <v>-0.0544746023276238</v>
      </c>
      <c r="H87" s="794" t="n">
        <v>-0.024353860174388</v>
      </c>
      <c r="I87" s="794" t="n">
        <v>-0.0371344033242403</v>
      </c>
      <c r="J87" s="456" t="n">
        <v>-0.00744178368923299</v>
      </c>
      <c r="K87" s="456" t="n">
        <v>-0.0188542663989452</v>
      </c>
      <c r="L87" s="456" t="n">
        <f aca="false">'Exogenous tax and expenses'!F87+$S$60+$T$60+$U$60+$V$60+$W$60-$Y$60-$AA$60-$AB$60-$AC$60-$AD$60</f>
        <v>-0.0120369241647251</v>
      </c>
      <c r="M87" s="456" t="n">
        <f aca="false">'Exogenous tax and expenses'!G87+$S$60+$T$60+$U$60+$V$60+$W$60-$Y$60-$AA$60-$AB$60-$AC$60-$AD$60-$W$60*15/15</f>
        <v>-0.0436552793126076</v>
      </c>
      <c r="N87" s="456" t="n">
        <f aca="false">'Exogenous tax and expenses'!H87+$S$60+$T$60+$U$60+$V$60+$W$60-$Y$60-$AA$60-$AB$60-$AC$60-$AD$60</f>
        <v>0.00201762289702283</v>
      </c>
      <c r="O87" s="456" t="n">
        <f aca="false">'Exogenous tax and expenses'!I87+$S$60+$T$60+$U$60+$V$60+$W$60-$Y$60-$AA$60-$AB$60-$AC$60-$AD$60-$W$60*15/15</f>
        <v>-0.0263150803092241</v>
      </c>
      <c r="P87" s="456" t="n">
        <f aca="false">'Exogenous tax and expenses'!J87+$S$60+$T$60+$U$60+$V$60+$W$60-$Y$60-$AA$60-$AB$60-$AC$60-$AD$60</f>
        <v>0.0189296993821778</v>
      </c>
      <c r="Q87" s="456" t="n">
        <f aca="false">'Exogenous tax and expenses'!K87+$S$60+$T$60+$U$60+$V$60+$W$60-$Y$60-$AA$60-$AB$60-$AC$60-$AD$60-$W$60*15/15</f>
        <v>-0.00803494338392901</v>
      </c>
      <c r="R87" s="731"/>
      <c r="S87" s="731"/>
      <c r="T87" s="456"/>
      <c r="U87" s="456"/>
      <c r="V87" s="456"/>
      <c r="W87" s="456"/>
      <c r="X87" s="456"/>
      <c r="Y87" s="456"/>
      <c r="Z87" s="456"/>
      <c r="AA87" s="456"/>
      <c r="AB87" s="1"/>
      <c r="AC87" s="1"/>
      <c r="AD87" s="456"/>
      <c r="AE87" s="456"/>
      <c r="AF87" s="1"/>
      <c r="AG87" s="1"/>
      <c r="AH87" s="1"/>
      <c r="AI87" s="1"/>
      <c r="AJ87" s="1" t="n">
        <f aca="false">'Exogenous tax and expenses'!AJ86+1</f>
        <v>22</v>
      </c>
      <c r="AK87" s="1"/>
      <c r="AL87" s="1"/>
      <c r="AM87" s="1"/>
      <c r="AN87" s="1"/>
      <c r="AO87" s="1"/>
      <c r="AP87" s="1"/>
      <c r="AQ87" s="1"/>
      <c r="AR87" s="1"/>
    </row>
    <row r="88" customFormat="false" ht="15" hidden="false" customHeight="false" outlineLevel="0" collapsed="false">
      <c r="A88" s="0" t="n">
        <f aca="false">'Cuenta Ahorro-Inversión-Financi'!AV102</f>
        <v>2014</v>
      </c>
      <c r="B88" s="539"/>
      <c r="C88" s="1" t="n">
        <v>2014</v>
      </c>
      <c r="D88" s="746" t="n">
        <f aca="false">D61</f>
        <v>-0.0217418594917814</v>
      </c>
      <c r="E88" s="746" t="n">
        <f aca="false">E61</f>
        <v>-0.00129286375596846</v>
      </c>
      <c r="F88" s="1"/>
      <c r="G88" s="1"/>
      <c r="H88" s="795" t="n">
        <v>-0.0208</v>
      </c>
      <c r="I88" s="796"/>
      <c r="J88" s="1"/>
      <c r="K88" s="1"/>
      <c r="L88" s="1"/>
      <c r="M88" s="1"/>
      <c r="N88" s="456" t="n">
        <f aca="false">'Exogenous tax and expenses'!H88+SUM('Exogenous tax and expenses'!Q52:S52)+'Exogenous tax and expenses'!W52+'Exogenous tax and expenses'!U52+'Cuenta Ahorro-Inversión-Financi'!L30/1000/'PIB corriente base 2004'!X18-SUM('Exogenous tax and expenses'!Y52:AC52)-'Cuenta Ahorro-Inversión-Financi'!CH31/1000/'PIB corriente base 2004'!X18</f>
        <v>-0.0183808955030112</v>
      </c>
      <c r="O88" s="1"/>
      <c r="P88" s="1"/>
      <c r="Q88" s="731" t="n">
        <f aca="false">AVERAGE('Exogenous tax and expenses'!Q46:Q55)</f>
        <v>0.0103842634031112</v>
      </c>
      <c r="R88" s="1"/>
      <c r="S88" s="731" t="n">
        <v>0.002</v>
      </c>
      <c r="T88" s="456" t="s">
        <v>1063</v>
      </c>
      <c r="U88" s="456"/>
      <c r="V88" s="456"/>
      <c r="W88" s="456"/>
      <c r="X88" s="456"/>
      <c r="Y88" s="456"/>
      <c r="Z88" s="456"/>
      <c r="AA88" s="456"/>
      <c r="AB88" s="1"/>
      <c r="AC88" s="1"/>
      <c r="AD88" s="1"/>
      <c r="AE88" s="1"/>
      <c r="AF88" s="1"/>
      <c r="AG88" s="1"/>
      <c r="AH88" s="1" t="n">
        <f aca="false">'Exogenous tax and expenses'!AJ87+1</f>
        <v>23</v>
      </c>
      <c r="AI88" s="1"/>
      <c r="AJ88" s="1"/>
      <c r="AK88" s="1"/>
      <c r="AL88" s="1"/>
      <c r="AM88" s="1"/>
      <c r="AN88" s="1"/>
      <c r="AO88" s="1"/>
      <c r="AP88" s="1"/>
      <c r="AQ88" s="1"/>
      <c r="AR88" s="1"/>
    </row>
    <row r="89" customFormat="false" ht="15" hidden="false" customHeight="false" outlineLevel="0" collapsed="false">
      <c r="A89" s="0" t="n">
        <f aca="false">'Cuenta Ahorro-Inversión-Financi'!AV103</f>
        <v>2015</v>
      </c>
      <c r="B89" s="539"/>
      <c r="C89" s="1" t="n">
        <f aca="false">'Exogenous tax and expenses'!C88+1</f>
        <v>2015</v>
      </c>
      <c r="D89" s="745" t="n">
        <f aca="false">D62</f>
        <v>-0.02830905931782</v>
      </c>
      <c r="E89" s="745" t="n">
        <f aca="false">E62</f>
        <v>-0.00750733306177321</v>
      </c>
      <c r="F89" s="1"/>
      <c r="G89" s="1"/>
      <c r="H89" s="795" t="n">
        <v>-0.0328</v>
      </c>
      <c r="I89" s="796"/>
      <c r="J89" s="1"/>
      <c r="K89" s="1"/>
      <c r="L89" s="1"/>
      <c r="M89" s="1"/>
      <c r="N89" s="456" t="n">
        <f aca="false">'Exogenous tax and expenses'!H89+SUM('Exogenous tax and expenses'!Q53:S53)+'Exogenous tax and expenses'!W53+'Exogenous tax and expenses'!U53+'Cuenta Ahorro-Inversión-Financi'!L31/1000/'PIB corriente base 2004'!X19-SUM('Exogenous tax and expenses'!Y53:AF53)</f>
        <v>-0.0115582382091379</v>
      </c>
      <c r="O89" s="1"/>
      <c r="P89" s="1"/>
      <c r="Q89" s="1"/>
      <c r="R89" s="731"/>
      <c r="S89" s="731"/>
      <c r="T89" s="456"/>
      <c r="U89" s="456"/>
      <c r="V89" s="456"/>
      <c r="W89" s="456"/>
      <c r="X89" s="456"/>
      <c r="Y89" s="456"/>
      <c r="Z89" s="456"/>
      <c r="AA89" s="456"/>
      <c r="AB89" s="1"/>
      <c r="AC89" s="1"/>
      <c r="AD89" s="1"/>
      <c r="AE89" s="1"/>
      <c r="AF89" s="1"/>
      <c r="AG89" s="1"/>
      <c r="AH89" s="1" t="n">
        <f aca="false">'Exogenous tax and expenses'!AH88+1</f>
        <v>24</v>
      </c>
      <c r="AI89" s="1"/>
      <c r="AJ89" s="1"/>
      <c r="AK89" s="1"/>
      <c r="AL89" s="1"/>
      <c r="AM89" s="1"/>
      <c r="AN89" s="1"/>
      <c r="AO89" s="1"/>
      <c r="AP89" s="1"/>
      <c r="AQ89" s="1"/>
      <c r="AR89" s="1"/>
    </row>
    <row r="90" customFormat="false" ht="15" hidden="false" customHeight="false" outlineLevel="0" collapsed="false">
      <c r="A90" s="0" t="n">
        <f aca="false">'Cuenta Ahorro-Inversión-Financi'!AV104</f>
        <v>2016</v>
      </c>
      <c r="B90" s="539"/>
      <c r="C90" s="1" t="n">
        <f aca="false">'Exogenous tax and expenses'!C89+1</f>
        <v>2016</v>
      </c>
      <c r="D90" s="746" t="n">
        <f aca="false">D63</f>
        <v>-0.0326337137303945</v>
      </c>
      <c r="E90" s="746" t="n">
        <f aca="false">E63</f>
        <v>-0.0203467996958489</v>
      </c>
      <c r="F90" s="1"/>
      <c r="G90" s="1"/>
      <c r="H90" s="795" t="n">
        <v>-0.0317</v>
      </c>
      <c r="I90" s="795" t="n">
        <v>-0.0317</v>
      </c>
      <c r="J90" s="1"/>
      <c r="K90" s="1"/>
      <c r="L90" s="1"/>
      <c r="M90" s="1"/>
      <c r="N90" s="456" t="n">
        <f aca="false">'Exogenous tax and expenses'!H90+SUM('Exogenous tax and expenses'!Q54:S54)+'Exogenous tax and expenses'!W54+'Exogenous tax and expenses'!U54+'Cuenta Ahorro-Inversión-Financi'!L32/1000/'PIB corriente base 2004'!X20-SUM('Exogenous tax and expenses'!Y54:AC54)</f>
        <v>-0.0128139766351671</v>
      </c>
      <c r="O90" s="1"/>
      <c r="P90" s="1"/>
      <c r="Q90" s="1"/>
      <c r="R90" s="731"/>
      <c r="S90" s="731"/>
      <c r="T90" s="456"/>
      <c r="U90" s="456"/>
      <c r="V90" s="456"/>
      <c r="W90" s="456"/>
      <c r="X90" s="456"/>
      <c r="Y90" s="456"/>
      <c r="Z90" s="456"/>
      <c r="AA90" s="456"/>
      <c r="AB90" s="1"/>
      <c r="AC90" s="1"/>
      <c r="AD90" s="1"/>
      <c r="AE90" s="1"/>
      <c r="AF90" s="1"/>
      <c r="AG90" s="1"/>
      <c r="AH90" s="1"/>
      <c r="AI90" s="1"/>
      <c r="AJ90" s="1"/>
      <c r="AK90" s="1"/>
      <c r="AL90" s="1"/>
      <c r="AM90" s="1"/>
      <c r="AN90" s="1"/>
      <c r="AO90" s="1"/>
      <c r="AP90" s="1"/>
      <c r="AQ90" s="1"/>
      <c r="AR90" s="1"/>
    </row>
    <row r="91" customFormat="false" ht="15" hidden="false" customHeight="false" outlineLevel="0" collapsed="false">
      <c r="A91" s="0" t="n">
        <f aca="false">'Cuenta Ahorro-Inversión-Financi'!AV105</f>
        <v>2017</v>
      </c>
      <c r="B91" s="539"/>
      <c r="C91" s="1" t="n">
        <f aca="false">'Exogenous tax and expenses'!C90+1</f>
        <v>2017</v>
      </c>
      <c r="D91" s="745" t="n">
        <f aca="false">D64</f>
        <v>-0.0323299618518769</v>
      </c>
      <c r="E91" s="745" t="n">
        <f aca="false">E64</f>
        <v>-0.0241047020081896</v>
      </c>
      <c r="F91" s="797" t="n">
        <v>-0.0364</v>
      </c>
      <c r="G91" s="797" t="n">
        <v>-0.0369</v>
      </c>
      <c r="H91" s="795" t="n">
        <v>-0.0363</v>
      </c>
      <c r="I91" s="795" t="n">
        <v>-0.0368</v>
      </c>
      <c r="J91" s="797" t="n">
        <v>-0.0362</v>
      </c>
      <c r="K91" s="797" t="n">
        <v>-0.0366</v>
      </c>
      <c r="L91" s="456" t="n">
        <f aca="false">'Exogenous tax and expenses'!F91+SUM('Exogenous tax and expenses'!Q55:S55)+'Exogenous tax and expenses'!W55+'Exogenous tax and expenses'!U55+('Cuenta Ahorro-Inversión-Financi'!L33-'Cuenta Ahorro-Inversión-Financi'!CH33)/1000/'PIB corriente base 2004'!X21-SUM('Exogenous tax and expenses'!Y55:AC55)</f>
        <v>-0.0288520423850263</v>
      </c>
      <c r="M91" s="456" t="n">
        <f aca="false">'Exogenous tax and expenses'!G91+SUM('Exogenous tax and expenses'!Q55:S55)+'Exogenous tax and expenses'!W55+'Exogenous tax and expenses'!U55+('Cuenta Ahorro-Inversión-Financi'!L33-'Cuenta Ahorro-Inversión-Financi'!CH33)/1000/'PIB corriente base 2004'!X21-SUM('Exogenous tax and expenses'!Y55:AC55)</f>
        <v>-0.0293520423850263</v>
      </c>
      <c r="N91" s="456" t="n">
        <f aca="false">'Exogenous tax and expenses'!H91+SUM('Exogenous tax and expenses'!Q55:S55)+'Exogenous tax and expenses'!W55+'Exogenous tax and expenses'!U55+('Cuenta Ahorro-Inversión-Financi'!L33-'Cuenta Ahorro-Inversión-Financi'!CH33)/1000/'PIB corriente base 2004'!X21-SUM('Exogenous tax and expenses'!Y55:AC55)</f>
        <v>-0.0287520423850263</v>
      </c>
      <c r="O91" s="456" t="n">
        <f aca="false">'Exogenous tax and expenses'!I91+SUM('Exogenous tax and expenses'!Q55:S55)+'Exogenous tax and expenses'!W55+'Exogenous tax and expenses'!U55+('Cuenta Ahorro-Inversión-Financi'!L33-'Cuenta Ahorro-Inversión-Financi'!CH33)/1000/'PIB corriente base 2004'!X21-SUM('Exogenous tax and expenses'!Y55:AC55)</f>
        <v>-0.0292520423850263</v>
      </c>
      <c r="P91" s="456" t="n">
        <f aca="false">'Exogenous tax and expenses'!J91+SUM('Exogenous tax and expenses'!Q55:S55)+'Exogenous tax and expenses'!W55+'Exogenous tax and expenses'!U55+('Cuenta Ahorro-Inversión-Financi'!L33-'Cuenta Ahorro-Inversión-Financi'!CH33)/1000/'PIB corriente base 2004'!X21-SUM('Exogenous tax and expenses'!Y55:AC55)</f>
        <v>-0.0286520423850263</v>
      </c>
      <c r="Q91" s="456" t="n">
        <f aca="false">'Exogenous tax and expenses'!K91+SUM('Exogenous tax and expenses'!Q55:S55)+'Exogenous tax and expenses'!W55+'Exogenous tax and expenses'!U55+('Cuenta Ahorro-Inversión-Financi'!L33-'Cuenta Ahorro-Inversión-Financi'!CH33)/1000/'PIB corriente base 2004'!X21-SUM('Exogenous tax and expenses'!Y55:AC55)</f>
        <v>-0.0290520423850263</v>
      </c>
      <c r="R91" s="731"/>
      <c r="S91" s="731"/>
      <c r="T91" s="456"/>
      <c r="U91" s="456"/>
      <c r="V91" s="456"/>
      <c r="W91" s="456"/>
      <c r="X91" s="456"/>
      <c r="Y91" s="456"/>
      <c r="Z91" s="456"/>
      <c r="AA91" s="456"/>
      <c r="AB91" s="1"/>
      <c r="AC91" s="1"/>
      <c r="AD91" s="1"/>
      <c r="AE91" s="1"/>
      <c r="AF91" s="1"/>
      <c r="AG91" s="1"/>
      <c r="AH91" s="1"/>
      <c r="AI91" s="1"/>
      <c r="AJ91" s="1"/>
      <c r="AK91" s="1"/>
      <c r="AL91" s="1"/>
      <c r="AM91" s="1"/>
      <c r="AN91" s="1"/>
      <c r="AO91" s="1"/>
      <c r="AP91" s="1"/>
      <c r="AQ91" s="1"/>
      <c r="AR91" s="1"/>
    </row>
    <row r="92" customFormat="false" ht="15" hidden="false" customHeight="false" outlineLevel="0" collapsed="false">
      <c r="A92" s="0" t="n">
        <f aca="false">'Cuenta Ahorro-Inversión-Financi'!AV106</f>
        <v>2018</v>
      </c>
      <c r="B92" s="539"/>
      <c r="C92" s="1" t="n">
        <v>2018</v>
      </c>
      <c r="D92" s="746" t="n">
        <f aca="false">D65</f>
        <v>-0.0334894091561111</v>
      </c>
      <c r="E92" s="746" t="n">
        <f aca="false">E65</f>
        <v>-0.0182717978002125</v>
      </c>
      <c r="F92" s="797" t="n">
        <v>-0.0368</v>
      </c>
      <c r="G92" s="797" t="n">
        <v>-0.0377</v>
      </c>
      <c r="H92" s="795" t="n">
        <v>-0.0357</v>
      </c>
      <c r="I92" s="795" t="n">
        <v>-0.0366</v>
      </c>
      <c r="J92" s="797" t="n">
        <v>-0.0345</v>
      </c>
      <c r="K92" s="797" t="n">
        <v>-0.0354</v>
      </c>
      <c r="L92" s="456" t="n">
        <f aca="false">'Exogenous tax and expenses'!F92+SUM('Exogenous tax and expenses'!R92:V92)-SUM('Exogenous tax and expenses'!X92:AA92)</f>
        <v>-0.0103303849565079</v>
      </c>
      <c r="M92" s="456" t="n">
        <f aca="false">'Exogenous tax and expenses'!G92+SUM('Exogenous tax and expenses'!R92:V92)-SUM('Exogenous tax and expenses'!X92:AA92)</f>
        <v>-0.0112303849565079</v>
      </c>
      <c r="N92" s="456" t="n">
        <f aca="false">'Exogenous tax and expenses'!H92+SUM('Exogenous tax and expenses'!R92:V92)-SUM('Exogenous tax and expenses'!X92:AA92)</f>
        <v>-0.00923038495650787</v>
      </c>
      <c r="O92" s="456" t="n">
        <f aca="false">'Exogenous tax and expenses'!I92+SUM('Exogenous tax and expenses'!R92:V92)-SUM('Exogenous tax and expenses'!X92:AA92)</f>
        <v>-0.0101303849565079</v>
      </c>
      <c r="P92" s="456" t="n">
        <f aca="false">'Exogenous tax and expenses'!J92+SUM('Exogenous tax and expenses'!R92:V92)-SUM('Exogenous tax and expenses'!X92:AA92)</f>
        <v>-0.00803038495650787</v>
      </c>
      <c r="Q92" s="456" t="n">
        <f aca="false">'Exogenous tax and expenses'!K92+SUM('Exogenous tax and expenses'!R92:V92)-SUM('Exogenous tax and expenses'!X92:AA92)</f>
        <v>-0.00893038495650787</v>
      </c>
      <c r="R92" s="456" t="n">
        <f aca="false">'Exogenous tax and expenses'!S60</f>
        <v>0.00718984456547109</v>
      </c>
      <c r="S92" s="456" t="n">
        <f aca="false">'Exogenous tax and expenses'!T60</f>
        <v>0.00264884044328671</v>
      </c>
      <c r="T92" s="790" t="n">
        <f aca="false">'Exogenous tax and expenses'!U60</f>
        <v>0.000158610557119791</v>
      </c>
      <c r="U92" s="456" t="n">
        <f aca="false">'Exogenous tax and expenses'!V60*0.77*8/12+'Exogenous tax and expenses'!V60*4/12</f>
        <v>0.0139380490317196</v>
      </c>
      <c r="V92" s="790" t="n">
        <f aca="false">'Exogenous tax and expenses'!W60</f>
        <v>0.0155521600563946</v>
      </c>
      <c r="W92" s="790"/>
      <c r="X92" s="790" t="n">
        <f aca="false">'Exogenous tax and expenses'!Y60</f>
        <v>0.00191293753744961</v>
      </c>
      <c r="Y92" s="456" t="n">
        <f aca="false">'Exogenous tax and expenses'!AA60</f>
        <v>0.00262755013399756</v>
      </c>
      <c r="Z92" s="456" t="n">
        <f aca="false">'Exogenous tax and expenses'!AB60</f>
        <v>0.00695203916219706</v>
      </c>
      <c r="AA92" s="456" t="n">
        <f aca="false">'Exogenous tax and expenses'!AC60</f>
        <v>0.00152536277685544</v>
      </c>
      <c r="AB92" s="1"/>
      <c r="AC92" s="1"/>
      <c r="AD92" s="1"/>
      <c r="AE92" s="1"/>
      <c r="AF92" s="1"/>
      <c r="AG92" s="1"/>
      <c r="AH92" s="1"/>
      <c r="AI92" s="1"/>
      <c r="AJ92" s="1"/>
      <c r="AK92" s="1"/>
      <c r="AL92" s="1"/>
      <c r="AM92" s="1"/>
      <c r="AN92" s="1"/>
      <c r="AO92" s="1"/>
      <c r="AP92" s="1"/>
      <c r="AQ92" s="1"/>
      <c r="AR92" s="1"/>
    </row>
    <row r="93" customFormat="false" ht="15" hidden="false" customHeight="false" outlineLevel="0" collapsed="false">
      <c r="B93" s="539" t="s">
        <v>1064</v>
      </c>
      <c r="C93" s="1" t="n">
        <f aca="false">'Exogenous tax and expenses'!C92+1</f>
        <v>2019</v>
      </c>
      <c r="D93" s="1"/>
      <c r="E93" s="1"/>
      <c r="F93" s="797" t="n">
        <v>-0.0422</v>
      </c>
      <c r="G93" s="797" t="n">
        <v>-0.0435</v>
      </c>
      <c r="H93" s="795" t="n">
        <v>-0.039</v>
      </c>
      <c r="I93" s="795" t="n">
        <v>-0.0403</v>
      </c>
      <c r="J93" s="797" t="n">
        <v>-0.0365</v>
      </c>
      <c r="K93" s="797" t="n">
        <v>-0.0378</v>
      </c>
      <c r="L93" s="456" t="n">
        <f aca="false">'Exogenous tax and expenses'!F93+SUM('Exogenous tax and expenses'!R93:V93)-SUM('Exogenous tax and expenses'!X93:AA93)</f>
        <v>-0.0197910764066939</v>
      </c>
      <c r="M93" s="456" t="n">
        <f aca="false">'Exogenous tax and expenses'!G93+SUM('Exogenous tax and expenses'!R93:V93)-SUM('Exogenous tax and expenses'!X93:AA93)</f>
        <v>-0.0210910764066939</v>
      </c>
      <c r="N93" s="456" t="n">
        <f aca="false">'Exogenous tax and expenses'!H93+SUM('Exogenous tax and expenses'!R93:V93)-SUM('Exogenous tax and expenses'!X93:AA93)</f>
        <v>-0.0165910764066939</v>
      </c>
      <c r="O93" s="456" t="n">
        <f aca="false">'Exogenous tax and expenses'!I93+SUM('Exogenous tax and expenses'!R93:V93)-SUM('Exogenous tax and expenses'!X93:AA93)</f>
        <v>-0.0178910764066939</v>
      </c>
      <c r="P93" s="456" t="n">
        <f aca="false">'Exogenous tax and expenses'!J93+SUM('Exogenous tax and expenses'!R93:V93)-SUM('Exogenous tax and expenses'!X93:AA93)</f>
        <v>-0.0140910764066939</v>
      </c>
      <c r="Q93" s="456" t="n">
        <f aca="false">'Exogenous tax and expenses'!K93+SUM('Exogenous tax and expenses'!R93:V93)-SUM('Exogenous tax and expenses'!X93:AA93)</f>
        <v>-0.0153910764066939</v>
      </c>
      <c r="R93" s="456" t="n">
        <f aca="false">'Exogenous tax and expenses'!R92</f>
        <v>0.00718984456547109</v>
      </c>
      <c r="S93" s="456" t="n">
        <f aca="false">'Exogenous tax and expenses'!S92</f>
        <v>0.00264884044328671</v>
      </c>
      <c r="T93" s="790" t="n">
        <f aca="false">'Exogenous tax and expenses'!T92</f>
        <v>0.000158610557119791</v>
      </c>
      <c r="U93" s="456" t="n">
        <f aca="false">'Exogenous tax and expenses'!V60*0.6</f>
        <v>0.00987735758153355</v>
      </c>
      <c r="V93" s="790" t="n">
        <f aca="false">'Exogenous tax and expenses'!V92</f>
        <v>0.0155521600563946</v>
      </c>
      <c r="W93" s="790"/>
      <c r="X93" s="790" t="n">
        <f aca="false">'Exogenous tax and expenses'!X92</f>
        <v>0.00191293753744961</v>
      </c>
      <c r="Y93" s="456" t="n">
        <f aca="false">'Exogenous tax and expenses'!Y92</f>
        <v>0.00262755013399756</v>
      </c>
      <c r="Z93" s="456" t="n">
        <f aca="false">'Exogenous tax and expenses'!Z92</f>
        <v>0.00695203916219706</v>
      </c>
      <c r="AA93" s="456" t="n">
        <f aca="false">'Exogenous tax and expenses'!AA92</f>
        <v>0.00152536277685544</v>
      </c>
      <c r="AB93" s="1"/>
      <c r="AC93" s="1"/>
      <c r="AD93" s="1"/>
      <c r="AE93" s="1"/>
      <c r="AF93" s="1"/>
      <c r="AG93" s="1"/>
      <c r="AH93" s="1"/>
      <c r="AI93" s="1"/>
      <c r="AJ93" s="1"/>
      <c r="AK93" s="1"/>
      <c r="AL93" s="1"/>
      <c r="AM93" s="1"/>
      <c r="AN93" s="1"/>
      <c r="AO93" s="1"/>
      <c r="AP93" s="1"/>
      <c r="AQ93" s="1"/>
      <c r="AR93" s="1"/>
    </row>
    <row r="94" customFormat="false" ht="15" hidden="false" customHeight="false" outlineLevel="0" collapsed="false">
      <c r="B94" s="539"/>
      <c r="C94" s="1" t="n">
        <f aca="false">'Exogenous tax and expenses'!C93+1</f>
        <v>2020</v>
      </c>
      <c r="D94" s="1"/>
      <c r="E94" s="1"/>
      <c r="F94" s="797" t="n">
        <v>-0.046</v>
      </c>
      <c r="G94" s="797" t="n">
        <v>-0.0477</v>
      </c>
      <c r="H94" s="795" t="n">
        <v>-0.0421</v>
      </c>
      <c r="I94" s="795" t="n">
        <v>-0.0437</v>
      </c>
      <c r="J94" s="797" t="n">
        <v>-0.0388</v>
      </c>
      <c r="K94" s="797" t="n">
        <v>-0.0404</v>
      </c>
      <c r="L94" s="456" t="n">
        <f aca="false">'Exogenous tax and expenses'!F94+SUM('Exogenous tax and expenses'!R94:V94)-SUM('Exogenous tax and expenses'!X94:AA94)</f>
        <v>-0.0268835289338717</v>
      </c>
      <c r="M94" s="456" t="n">
        <f aca="false">'Exogenous tax and expenses'!G94+SUM('Exogenous tax and expenses'!R94:V94)-SUM('Exogenous tax and expenses'!X94:AA94)</f>
        <v>-0.0285835289338717</v>
      </c>
      <c r="N94" s="456" t="n">
        <f aca="false">'Exogenous tax and expenses'!H94+SUM('Exogenous tax and expenses'!R94:V94)-SUM('Exogenous tax and expenses'!X94:AA94)</f>
        <v>-0.0229835289338717</v>
      </c>
      <c r="O94" s="456" t="n">
        <f aca="false">'Exogenous tax and expenses'!I94+SUM('Exogenous tax and expenses'!R94:V94)-SUM('Exogenous tax and expenses'!X94:AA94)</f>
        <v>-0.0245835289338717</v>
      </c>
      <c r="P94" s="456" t="n">
        <f aca="false">'Exogenous tax and expenses'!J94+SUM('Exogenous tax and expenses'!R94:V94)-SUM('Exogenous tax and expenses'!X94:AA94)</f>
        <v>-0.0196835289338717</v>
      </c>
      <c r="Q94" s="456" t="n">
        <f aca="false">'Exogenous tax and expenses'!K94+SUM('Exogenous tax and expenses'!R94:V94)-SUM('Exogenous tax and expenses'!X94:AA94)</f>
        <v>-0.0212835289338717</v>
      </c>
      <c r="R94" s="456" t="n">
        <f aca="false">'Exogenous tax and expenses'!R93</f>
        <v>0.00718984456547109</v>
      </c>
      <c r="S94" s="456" t="n">
        <f aca="false">'Exogenous tax and expenses'!S93</f>
        <v>0.00264884044328671</v>
      </c>
      <c r="T94" s="790" t="n">
        <f aca="false">'Exogenous tax and expenses'!T93</f>
        <v>0.000158610557119791</v>
      </c>
      <c r="U94" s="456" t="n">
        <f aca="false">'Exogenous tax and expenses'!V60*0.4</f>
        <v>0.0065849050543557</v>
      </c>
      <c r="V94" s="790" t="n">
        <f aca="false">'Exogenous tax and expenses'!V93</f>
        <v>0.0155521600563946</v>
      </c>
      <c r="W94" s="790"/>
      <c r="X94" s="790" t="n">
        <f aca="false">'Exogenous tax and expenses'!X93</f>
        <v>0.00191293753744961</v>
      </c>
      <c r="Y94" s="456" t="n">
        <f aca="false">'Exogenous tax and expenses'!Y93</f>
        <v>0.00262755013399756</v>
      </c>
      <c r="Z94" s="456" t="n">
        <f aca="false">'Exogenous tax and expenses'!Z93</f>
        <v>0.00695203916219706</v>
      </c>
      <c r="AA94" s="456" t="n">
        <f aca="false">'Exogenous tax and expenses'!AA93</f>
        <v>0.00152536277685544</v>
      </c>
      <c r="AB94" s="456"/>
      <c r="AC94" s="456"/>
      <c r="AD94" s="1"/>
      <c r="AE94" s="1"/>
      <c r="AF94" s="1"/>
      <c r="AG94" s="1"/>
      <c r="AH94" s="1"/>
      <c r="AI94" s="1"/>
      <c r="AJ94" s="1"/>
      <c r="AK94" s="1"/>
      <c r="AL94" s="1"/>
      <c r="AM94" s="1"/>
      <c r="AN94" s="1"/>
      <c r="AO94" s="1"/>
      <c r="AP94" s="1"/>
      <c r="AQ94" s="1"/>
      <c r="AR94" s="1"/>
    </row>
    <row r="95" customFormat="false" ht="15" hidden="false" customHeight="false" outlineLevel="0" collapsed="false">
      <c r="B95" s="539"/>
      <c r="C95" s="1" t="n">
        <f aca="false">'Exogenous tax and expenses'!C94+1</f>
        <v>2021</v>
      </c>
      <c r="D95" s="1"/>
      <c r="E95" s="1"/>
      <c r="F95" s="797" t="n">
        <v>-0.0475</v>
      </c>
      <c r="G95" s="797" t="n">
        <v>-0.0496</v>
      </c>
      <c r="H95" s="795" t="n">
        <v>-0.0434</v>
      </c>
      <c r="I95" s="795" t="n">
        <v>-0.0455</v>
      </c>
      <c r="J95" s="797" t="n">
        <v>-0.039</v>
      </c>
      <c r="K95" s="797" t="n">
        <v>-0.041</v>
      </c>
      <c r="L95" s="456" t="n">
        <f aca="false">'Exogenous tax and expenses'!F95+SUM('Exogenous tax and expenses'!R95:V95)-SUM('Exogenous tax and expenses'!X95:AA95)</f>
        <v>-0.0316759814610496</v>
      </c>
      <c r="M95" s="456" t="n">
        <f aca="false">'Exogenous tax and expenses'!G95+SUM('Exogenous tax and expenses'!R95:V95)-SUM('Exogenous tax and expenses'!X95:AA95)</f>
        <v>-0.0337759814610496</v>
      </c>
      <c r="N95" s="456" t="n">
        <f aca="false">'Exogenous tax and expenses'!H95+SUM('Exogenous tax and expenses'!R95:V95)-SUM('Exogenous tax and expenses'!X95:AA95)</f>
        <v>-0.0275759814610496</v>
      </c>
      <c r="O95" s="456" t="n">
        <f aca="false">'Exogenous tax and expenses'!I95+SUM('Exogenous tax and expenses'!R95:V95)-SUM('Exogenous tax and expenses'!X95:AA95)</f>
        <v>-0.0296759814610496</v>
      </c>
      <c r="P95" s="456" t="n">
        <f aca="false">'Exogenous tax and expenses'!J95+SUM('Exogenous tax and expenses'!R95:V95)-SUM('Exogenous tax and expenses'!X95:AA95)</f>
        <v>-0.0231759814610496</v>
      </c>
      <c r="Q95" s="456" t="n">
        <f aca="false">'Exogenous tax and expenses'!K95+SUM('Exogenous tax and expenses'!R95:V95)-SUM('Exogenous tax and expenses'!X95:AA95)</f>
        <v>-0.0251759814610496</v>
      </c>
      <c r="R95" s="456" t="n">
        <f aca="false">'Exogenous tax and expenses'!R94</f>
        <v>0.00718984456547109</v>
      </c>
      <c r="S95" s="456" t="n">
        <f aca="false">'Exogenous tax and expenses'!S94</f>
        <v>0.00264884044328671</v>
      </c>
      <c r="T95" s="790" t="n">
        <f aca="false">'Exogenous tax and expenses'!T94</f>
        <v>0.000158610557119791</v>
      </c>
      <c r="U95" s="456" t="n">
        <f aca="false">'Exogenous tax and expenses'!V60*0.2</f>
        <v>0.00329245252717785</v>
      </c>
      <c r="V95" s="790" t="n">
        <f aca="false">'Exogenous tax and expenses'!V94</f>
        <v>0.0155521600563946</v>
      </c>
      <c r="W95" s="790"/>
      <c r="X95" s="790" t="n">
        <f aca="false">'Exogenous tax and expenses'!X94</f>
        <v>0.00191293753744961</v>
      </c>
      <c r="Y95" s="456" t="n">
        <f aca="false">'Exogenous tax and expenses'!Y94</f>
        <v>0.00262755013399756</v>
      </c>
      <c r="Z95" s="456" t="n">
        <f aca="false">'Exogenous tax and expenses'!Z94</f>
        <v>0.00695203916219706</v>
      </c>
      <c r="AA95" s="456" t="n">
        <f aca="false">'Exogenous tax and expenses'!AA94</f>
        <v>0.00152536277685544</v>
      </c>
      <c r="AB95" s="456"/>
      <c r="AC95" s="456"/>
      <c r="AD95" s="1"/>
      <c r="AE95" s="1"/>
      <c r="AF95" s="1"/>
      <c r="AG95" s="1"/>
      <c r="AH95" s="1"/>
      <c r="AI95" s="1"/>
      <c r="AJ95" s="1"/>
      <c r="AK95" s="1"/>
      <c r="AL95" s="1"/>
      <c r="AM95" s="1"/>
      <c r="AN95" s="1"/>
      <c r="AO95" s="1"/>
      <c r="AP95" s="1"/>
      <c r="AQ95" s="1"/>
      <c r="AR95" s="1"/>
    </row>
    <row r="96" customFormat="false" ht="15" hidden="false" customHeight="false" outlineLevel="0" collapsed="false">
      <c r="B96" s="539"/>
      <c r="C96" s="1" t="n">
        <f aca="false">'Exogenous tax and expenses'!C95+1</f>
        <v>2022</v>
      </c>
      <c r="D96" s="1"/>
      <c r="E96" s="1"/>
      <c r="F96" s="797" t="n">
        <v>-0.0492</v>
      </c>
      <c r="G96" s="797" t="n">
        <v>-0.0518</v>
      </c>
      <c r="H96" s="795" t="n">
        <v>-0.0448</v>
      </c>
      <c r="I96" s="795" t="n">
        <v>-0.0473</v>
      </c>
      <c r="J96" s="797" t="n">
        <v>-0.0401</v>
      </c>
      <c r="K96" s="797" t="n">
        <v>-0.0425</v>
      </c>
      <c r="L96" s="456" t="n">
        <f aca="false">'Exogenous tax and expenses'!F96+SUM('Exogenous tax and expenses'!R96:V96)-SUM('Exogenous tax and expenses'!X96:AA96)</f>
        <v>-0.0366684339882274</v>
      </c>
      <c r="M96" s="456" t="n">
        <f aca="false">'Exogenous tax and expenses'!G96+SUM('Exogenous tax and expenses'!R96:V96)-SUM('Exogenous tax and expenses'!X96:AA96)</f>
        <v>-0.0392684339882274</v>
      </c>
      <c r="N96" s="456" t="n">
        <f aca="false">'Exogenous tax and expenses'!H96+SUM('Exogenous tax and expenses'!R96:V96)-SUM('Exogenous tax and expenses'!X96:AA96)</f>
        <v>-0.0322684339882274</v>
      </c>
      <c r="O96" s="456" t="n">
        <f aca="false">'Exogenous tax and expenses'!I96+SUM('Exogenous tax and expenses'!R96:V96)-SUM('Exogenous tax and expenses'!X96:AA96)</f>
        <v>-0.0347684339882274</v>
      </c>
      <c r="P96" s="456" t="n">
        <f aca="false">'Exogenous tax and expenses'!J96+SUM('Exogenous tax and expenses'!R96:V96)-SUM('Exogenous tax and expenses'!X96:AA96)</f>
        <v>-0.0275684339882274</v>
      </c>
      <c r="Q96" s="456" t="n">
        <f aca="false">'Exogenous tax and expenses'!K96+SUM('Exogenous tax and expenses'!R96:V96)-SUM('Exogenous tax and expenses'!X96:AA96)</f>
        <v>-0.0299684339882274</v>
      </c>
      <c r="R96" s="456" t="n">
        <f aca="false">'Exogenous tax and expenses'!R95</f>
        <v>0.00718984456547109</v>
      </c>
      <c r="S96" s="456" t="n">
        <f aca="false">'Exogenous tax and expenses'!S95</f>
        <v>0.00264884044328671</v>
      </c>
      <c r="T96" s="790" t="n">
        <f aca="false">'Exogenous tax and expenses'!T95</f>
        <v>0.000158610557119791</v>
      </c>
      <c r="U96" s="456" t="n">
        <v>0</v>
      </c>
      <c r="V96" s="790" t="n">
        <f aca="false">'Exogenous tax and expenses'!V95</f>
        <v>0.0155521600563946</v>
      </c>
      <c r="W96" s="790"/>
      <c r="X96" s="790" t="n">
        <f aca="false">'Exogenous tax and expenses'!X95</f>
        <v>0.00191293753744961</v>
      </c>
      <c r="Y96" s="456" t="n">
        <f aca="false">'Exogenous tax and expenses'!Y95</f>
        <v>0.00262755013399756</v>
      </c>
      <c r="Z96" s="456" t="n">
        <f aca="false">'Exogenous tax and expenses'!Z95</f>
        <v>0.00695203916219706</v>
      </c>
      <c r="AA96" s="456" t="n">
        <f aca="false">'Exogenous tax and expenses'!AA95</f>
        <v>0.00152536277685544</v>
      </c>
      <c r="AB96" s="456"/>
      <c r="AC96" s="456"/>
      <c r="AD96" s="1"/>
      <c r="AE96" s="1"/>
      <c r="AF96" s="1"/>
      <c r="AG96" s="1"/>
      <c r="AH96" s="1"/>
      <c r="AI96" s="1"/>
      <c r="AJ96" s="1"/>
      <c r="AK96" s="1"/>
      <c r="AL96" s="1"/>
      <c r="AM96" s="1"/>
      <c r="AN96" s="1"/>
      <c r="AO96" s="1"/>
      <c r="AP96" s="1"/>
      <c r="AQ96" s="1"/>
      <c r="AR96" s="1"/>
    </row>
    <row r="97" customFormat="false" ht="15" hidden="false" customHeight="false" outlineLevel="0" collapsed="false">
      <c r="B97" s="539"/>
      <c r="C97" s="1" t="n">
        <f aca="false">'Exogenous tax and expenses'!C96+1</f>
        <v>2023</v>
      </c>
      <c r="D97" s="1"/>
      <c r="E97" s="1"/>
      <c r="F97" s="797" t="n">
        <v>-0.0483</v>
      </c>
      <c r="G97" s="797" t="n">
        <v>-0.0513</v>
      </c>
      <c r="H97" s="795" t="n">
        <v>-0.0425</v>
      </c>
      <c r="I97" s="795" t="n">
        <v>-0.0453</v>
      </c>
      <c r="J97" s="797" t="n">
        <v>-0.037</v>
      </c>
      <c r="K97" s="797" t="n">
        <v>-0.0396</v>
      </c>
      <c r="L97" s="456" t="n">
        <f aca="false">'Exogenous tax and expenses'!F97+SUM('Exogenous tax and expenses'!R97:V97)-SUM('Exogenous tax and expenses'!X97:AA97)</f>
        <v>-0.0357684339882274</v>
      </c>
      <c r="M97" s="456" t="n">
        <f aca="false">'Exogenous tax and expenses'!G97+SUM('Exogenous tax and expenses'!R97:V97)-SUM('Exogenous tax and expenses'!X97:AA97)</f>
        <v>-0.0387684339882274</v>
      </c>
      <c r="N97" s="456" t="n">
        <f aca="false">'Exogenous tax and expenses'!H97+SUM('Exogenous tax and expenses'!R97:V97)-SUM('Exogenous tax and expenses'!X97:AA97)</f>
        <v>-0.0299684339882274</v>
      </c>
      <c r="O97" s="456" t="n">
        <f aca="false">'Exogenous tax and expenses'!I97+SUM('Exogenous tax and expenses'!R97:V97)-SUM('Exogenous tax and expenses'!X97:AA97)</f>
        <v>-0.0327684339882274</v>
      </c>
      <c r="P97" s="456" t="n">
        <f aca="false">'Exogenous tax and expenses'!J97+SUM('Exogenous tax and expenses'!R97:V97)-SUM('Exogenous tax and expenses'!X97:AA97)</f>
        <v>-0.0244684339882274</v>
      </c>
      <c r="Q97" s="456" t="n">
        <f aca="false">'Exogenous tax and expenses'!K97+SUM('Exogenous tax and expenses'!R97:V97)-SUM('Exogenous tax and expenses'!X97:AA97)</f>
        <v>-0.0270684339882274</v>
      </c>
      <c r="R97" s="456" t="n">
        <f aca="false">'Exogenous tax and expenses'!R96</f>
        <v>0.00718984456547109</v>
      </c>
      <c r="S97" s="456" t="n">
        <f aca="false">'Exogenous tax and expenses'!S96</f>
        <v>0.00264884044328671</v>
      </c>
      <c r="T97" s="790" t="n">
        <f aca="false">'Exogenous tax and expenses'!T96</f>
        <v>0.000158610557119791</v>
      </c>
      <c r="U97" s="456" t="n">
        <f aca="false">'Exogenous tax and expenses'!U96</f>
        <v>0</v>
      </c>
      <c r="V97" s="790" t="n">
        <f aca="false">'Exogenous tax and expenses'!V96</f>
        <v>0.0155521600563946</v>
      </c>
      <c r="W97" s="790"/>
      <c r="X97" s="790" t="n">
        <f aca="false">'Exogenous tax and expenses'!X96</f>
        <v>0.00191293753744961</v>
      </c>
      <c r="Y97" s="456" t="n">
        <f aca="false">'Exogenous tax and expenses'!Y96</f>
        <v>0.00262755013399756</v>
      </c>
      <c r="Z97" s="456" t="n">
        <f aca="false">'Exogenous tax and expenses'!Z96</f>
        <v>0.00695203916219706</v>
      </c>
      <c r="AA97" s="456" t="n">
        <f aca="false">'Exogenous tax and expenses'!AA96</f>
        <v>0.00152536277685544</v>
      </c>
      <c r="AB97" s="456"/>
      <c r="AC97" s="456"/>
      <c r="AD97" s="1"/>
      <c r="AE97" s="1"/>
      <c r="AF97" s="1"/>
      <c r="AG97" s="1"/>
      <c r="AH97" s="1"/>
      <c r="AI97" s="1"/>
      <c r="AJ97" s="1"/>
      <c r="AK97" s="1"/>
      <c r="AL97" s="1"/>
      <c r="AM97" s="1"/>
      <c r="AN97" s="1"/>
      <c r="AO97" s="1"/>
      <c r="AP97" s="1"/>
      <c r="AQ97" s="1"/>
      <c r="AR97" s="1"/>
    </row>
    <row r="98" customFormat="false" ht="15" hidden="false" customHeight="false" outlineLevel="0" collapsed="false">
      <c r="B98" s="539"/>
      <c r="C98" s="1" t="n">
        <f aca="false">'Exogenous tax and expenses'!C97+1</f>
        <v>2024</v>
      </c>
      <c r="D98" s="1"/>
      <c r="E98" s="1"/>
      <c r="F98" s="797" t="n">
        <v>-0.0477</v>
      </c>
      <c r="G98" s="797" t="n">
        <v>-0.0512</v>
      </c>
      <c r="H98" s="798" t="n">
        <v>-0.0406</v>
      </c>
      <c r="I98" s="798" t="n">
        <v>-0.0439</v>
      </c>
      <c r="J98" s="797" t="n">
        <v>-0.0332</v>
      </c>
      <c r="K98" s="797" t="n">
        <v>-0.0362</v>
      </c>
      <c r="L98" s="456" t="n">
        <f aca="false">'Exogenous tax and expenses'!F98+SUM('Exogenous tax and expenses'!R98:V98)-SUM('Exogenous tax and expenses'!X98:AA98)</f>
        <v>-0.0351684339882274</v>
      </c>
      <c r="M98" s="456" t="n">
        <f aca="false">'Exogenous tax and expenses'!G98+SUM('Exogenous tax and expenses'!R98:V98)-SUM('Exogenous tax and expenses'!X98:AA98)</f>
        <v>-0.0386684339882274</v>
      </c>
      <c r="N98" s="456" t="n">
        <f aca="false">'Exogenous tax and expenses'!H98+SUM('Exogenous tax and expenses'!R98:V98)-SUM('Exogenous tax and expenses'!X98:AA98)</f>
        <v>-0.0280684339882274</v>
      </c>
      <c r="O98" s="456" t="n">
        <f aca="false">'Exogenous tax and expenses'!I98+SUM('Exogenous tax and expenses'!R98:V98)-SUM('Exogenous tax and expenses'!X98:AA98)</f>
        <v>-0.0313684339882274</v>
      </c>
      <c r="P98" s="456" t="n">
        <f aca="false">'Exogenous tax and expenses'!J98+SUM('Exogenous tax and expenses'!R98:V98)-SUM('Exogenous tax and expenses'!X98:AA98)</f>
        <v>-0.0206684339882274</v>
      </c>
      <c r="Q98" s="456" t="n">
        <f aca="false">'Exogenous tax and expenses'!K98+SUM('Exogenous tax and expenses'!R98:V98)-SUM('Exogenous tax and expenses'!X98:AA98)</f>
        <v>-0.0236684339882274</v>
      </c>
      <c r="R98" s="456" t="n">
        <f aca="false">'Exogenous tax and expenses'!R97</f>
        <v>0.00718984456547109</v>
      </c>
      <c r="S98" s="456" t="n">
        <f aca="false">'Exogenous tax and expenses'!S97</f>
        <v>0.00264884044328671</v>
      </c>
      <c r="T98" s="790" t="n">
        <f aca="false">'Exogenous tax and expenses'!T97</f>
        <v>0.000158610557119791</v>
      </c>
      <c r="U98" s="456" t="n">
        <f aca="false">'Exogenous tax and expenses'!U97</f>
        <v>0</v>
      </c>
      <c r="V98" s="790" t="n">
        <f aca="false">'Exogenous tax and expenses'!V97</f>
        <v>0.0155521600563946</v>
      </c>
      <c r="W98" s="790"/>
      <c r="X98" s="790" t="n">
        <f aca="false">'Exogenous tax and expenses'!X97</f>
        <v>0.00191293753744961</v>
      </c>
      <c r="Y98" s="456" t="n">
        <f aca="false">'Exogenous tax and expenses'!Y97</f>
        <v>0.00262755013399756</v>
      </c>
      <c r="Z98" s="456" t="n">
        <f aca="false">'Exogenous tax and expenses'!Z97</f>
        <v>0.00695203916219706</v>
      </c>
      <c r="AA98" s="456" t="n">
        <f aca="false">'Exogenous tax and expenses'!AA97</f>
        <v>0.00152536277685544</v>
      </c>
      <c r="AB98" s="456"/>
      <c r="AC98" s="456"/>
      <c r="AD98" s="1"/>
      <c r="AE98" s="1"/>
      <c r="AF98" s="1"/>
      <c r="AG98" s="1"/>
      <c r="AH98" s="1"/>
      <c r="AI98" s="1"/>
      <c r="AJ98" s="1"/>
      <c r="AK98" s="1"/>
      <c r="AL98" s="1"/>
      <c r="AM98" s="1"/>
      <c r="AN98" s="1"/>
      <c r="AO98" s="1"/>
      <c r="AP98" s="1"/>
      <c r="AQ98" s="1"/>
      <c r="AR98" s="1"/>
    </row>
    <row r="99" customFormat="false" ht="15" hidden="false" customHeight="false" outlineLevel="0" collapsed="false">
      <c r="B99" s="539"/>
      <c r="C99" s="1" t="n">
        <f aca="false">'Exogenous tax and expenses'!C98+1</f>
        <v>2025</v>
      </c>
      <c r="D99" s="1"/>
      <c r="E99" s="1"/>
      <c r="F99" s="797" t="n">
        <v>-0.0471</v>
      </c>
      <c r="G99" s="797" t="n">
        <v>-0.0518</v>
      </c>
      <c r="H99" s="799" t="n">
        <v>-0.0395</v>
      </c>
      <c r="I99" s="799" t="n">
        <v>-0.0438</v>
      </c>
      <c r="J99" s="797" t="n">
        <v>-0.0307</v>
      </c>
      <c r="K99" s="797" t="n">
        <v>-0.0347</v>
      </c>
      <c r="L99" s="456" t="n">
        <f aca="false">'Exogenous tax and expenses'!F99+SUM('Exogenous tax and expenses'!R99:V99)-SUM('Exogenous tax and expenses'!X99:AA99)</f>
        <v>-0.0345684339882274</v>
      </c>
      <c r="M99" s="456" t="n">
        <f aca="false">'Exogenous tax and expenses'!G99+SUM('Exogenous tax and expenses'!R99:V99)-SUM('Exogenous tax and expenses'!X99:AA99)</f>
        <v>-0.0392684339882274</v>
      </c>
      <c r="N99" s="456" t="n">
        <f aca="false">'Exogenous tax and expenses'!H99+SUM('Exogenous tax and expenses'!R99:V99)-SUM('Exogenous tax and expenses'!X99:AA99)</f>
        <v>-0.0269684339882274</v>
      </c>
      <c r="O99" s="456" t="n">
        <f aca="false">'Exogenous tax and expenses'!I99+SUM('Exogenous tax and expenses'!R99:V99)-SUM('Exogenous tax and expenses'!X99:AA99)</f>
        <v>-0.0312684339882274</v>
      </c>
      <c r="P99" s="456" t="n">
        <f aca="false">'Exogenous tax and expenses'!J99+SUM('Exogenous tax and expenses'!R99:V99)-SUM('Exogenous tax and expenses'!X99:AA99)</f>
        <v>-0.0181684339882274</v>
      </c>
      <c r="Q99" s="456" t="n">
        <f aca="false">'Exogenous tax and expenses'!K99+SUM('Exogenous tax and expenses'!R99:V99)-SUM('Exogenous tax and expenses'!X99:AA99)</f>
        <v>-0.0221684339882274</v>
      </c>
      <c r="R99" s="456" t="n">
        <f aca="false">'Exogenous tax and expenses'!R98</f>
        <v>0.00718984456547109</v>
      </c>
      <c r="S99" s="456" t="n">
        <f aca="false">'Exogenous tax and expenses'!S98</f>
        <v>0.00264884044328671</v>
      </c>
      <c r="T99" s="790" t="n">
        <f aca="false">'Exogenous tax and expenses'!T98</f>
        <v>0.000158610557119791</v>
      </c>
      <c r="U99" s="456" t="n">
        <f aca="false">'Exogenous tax and expenses'!U98</f>
        <v>0</v>
      </c>
      <c r="V99" s="790" t="n">
        <f aca="false">'Exogenous tax and expenses'!V98</f>
        <v>0.0155521600563946</v>
      </c>
      <c r="W99" s="790"/>
      <c r="X99" s="790" t="n">
        <f aca="false">'Exogenous tax and expenses'!X98</f>
        <v>0.00191293753744961</v>
      </c>
      <c r="Y99" s="456" t="n">
        <f aca="false">'Exogenous tax and expenses'!Y98</f>
        <v>0.00262755013399756</v>
      </c>
      <c r="Z99" s="456" t="n">
        <f aca="false">'Exogenous tax and expenses'!Z98</f>
        <v>0.00695203916219706</v>
      </c>
      <c r="AA99" s="456" t="n">
        <f aca="false">'Exogenous tax and expenses'!AA98</f>
        <v>0.00152536277685544</v>
      </c>
      <c r="AB99" s="456"/>
      <c r="AC99" s="456"/>
      <c r="AD99" s="1"/>
      <c r="AE99" s="1"/>
      <c r="AF99" s="1"/>
      <c r="AG99" s="1"/>
      <c r="AH99" s="1"/>
      <c r="AI99" s="1"/>
      <c r="AJ99" s="1"/>
      <c r="AK99" s="1"/>
      <c r="AL99" s="1"/>
      <c r="AM99" s="1"/>
      <c r="AN99" s="1"/>
      <c r="AO99" s="1"/>
      <c r="AP99" s="1"/>
      <c r="AQ99" s="1"/>
      <c r="AR99" s="1"/>
    </row>
    <row r="100" customFormat="false" ht="15" hidden="false" customHeight="false" outlineLevel="0" collapsed="false">
      <c r="B100" s="539"/>
      <c r="C100" s="1" t="n">
        <f aca="false">'Exogenous tax and expenses'!C99+1</f>
        <v>2026</v>
      </c>
      <c r="D100" s="1"/>
      <c r="E100" s="1"/>
      <c r="F100" s="797" t="n">
        <v>-0.0471</v>
      </c>
      <c r="G100" s="797" t="n">
        <v>-0.0531</v>
      </c>
      <c r="H100" s="800" t="n">
        <v>-0.0373</v>
      </c>
      <c r="I100" s="800" t="n">
        <v>-0.0429</v>
      </c>
      <c r="J100" s="797" t="n">
        <v>-0.0289</v>
      </c>
      <c r="K100" s="797" t="n">
        <v>-0.0339</v>
      </c>
      <c r="L100" s="456" t="n">
        <f aca="false">'Exogenous tax and expenses'!F100+SUM('Exogenous tax and expenses'!R100:V100)-SUM('Exogenous tax and expenses'!X100:AA100)</f>
        <v>-0.0345684339882274</v>
      </c>
      <c r="M100" s="456" t="n">
        <f aca="false">'Exogenous tax and expenses'!G100+SUM('Exogenous tax and expenses'!R100:V100)-SUM('Exogenous tax and expenses'!X100:AA100)</f>
        <v>-0.0405684339882274</v>
      </c>
      <c r="N100" s="456" t="n">
        <f aca="false">'Exogenous tax and expenses'!H100+SUM('Exogenous tax and expenses'!R100:V100)-SUM('Exogenous tax and expenses'!X100:AA100)</f>
        <v>-0.0247684339882274</v>
      </c>
      <c r="O100" s="456" t="n">
        <f aca="false">'Exogenous tax and expenses'!I100+SUM('Exogenous tax and expenses'!R100:V100)-SUM('Exogenous tax and expenses'!X100:AA100)</f>
        <v>-0.0303684339882274</v>
      </c>
      <c r="P100" s="456" t="n">
        <f aca="false">'Exogenous tax and expenses'!J100+SUM('Exogenous tax and expenses'!R100:V100)-SUM('Exogenous tax and expenses'!X100:AA100)</f>
        <v>-0.0163684339882274</v>
      </c>
      <c r="Q100" s="456" t="n">
        <f aca="false">'Exogenous tax and expenses'!K100+SUM('Exogenous tax and expenses'!R100:V100)-SUM('Exogenous tax and expenses'!X100:AA100)</f>
        <v>-0.0213684339882274</v>
      </c>
      <c r="R100" s="456" t="n">
        <f aca="false">'Exogenous tax and expenses'!R99</f>
        <v>0.00718984456547109</v>
      </c>
      <c r="S100" s="456" t="n">
        <f aca="false">'Exogenous tax and expenses'!S99</f>
        <v>0.00264884044328671</v>
      </c>
      <c r="T100" s="790" t="n">
        <f aca="false">'Exogenous tax and expenses'!T99</f>
        <v>0.000158610557119791</v>
      </c>
      <c r="U100" s="456" t="n">
        <f aca="false">'Exogenous tax and expenses'!U99</f>
        <v>0</v>
      </c>
      <c r="V100" s="790" t="n">
        <f aca="false">'Exogenous tax and expenses'!V99</f>
        <v>0.0155521600563946</v>
      </c>
      <c r="W100" s="790"/>
      <c r="X100" s="790" t="n">
        <f aca="false">'Exogenous tax and expenses'!X99</f>
        <v>0.00191293753744961</v>
      </c>
      <c r="Y100" s="456" t="n">
        <f aca="false">'Exogenous tax and expenses'!Y99</f>
        <v>0.00262755013399756</v>
      </c>
      <c r="Z100" s="456" t="n">
        <f aca="false">'Exogenous tax and expenses'!Z99</f>
        <v>0.00695203916219706</v>
      </c>
      <c r="AA100" s="456" t="n">
        <f aca="false">'Exogenous tax and expenses'!AA99</f>
        <v>0.00152536277685544</v>
      </c>
      <c r="AB100" s="456"/>
      <c r="AC100" s="456"/>
      <c r="AD100" s="1"/>
      <c r="AE100" s="1"/>
      <c r="AF100" s="1"/>
      <c r="AG100" s="1"/>
      <c r="AH100" s="1"/>
      <c r="AI100" s="1"/>
      <c r="AJ100" s="1"/>
      <c r="AK100" s="1"/>
      <c r="AL100" s="1"/>
      <c r="AM100" s="1"/>
      <c r="AN100" s="1"/>
      <c r="AO100" s="1"/>
      <c r="AP100" s="1"/>
      <c r="AQ100" s="1"/>
      <c r="AR100" s="1"/>
    </row>
    <row r="101" customFormat="false" ht="15" hidden="false" customHeight="false" outlineLevel="0" collapsed="false">
      <c r="B101" s="539"/>
      <c r="C101" s="1" t="n">
        <f aca="false">'Exogenous tax and expenses'!C100+1</f>
        <v>2027</v>
      </c>
      <c r="D101" s="1"/>
      <c r="E101" s="1"/>
      <c r="F101" s="797" t="n">
        <v>-0.046</v>
      </c>
      <c r="G101" s="797" t="n">
        <v>-0.0533</v>
      </c>
      <c r="H101" s="800" t="n">
        <v>-0.0354</v>
      </c>
      <c r="I101" s="800" t="n">
        <v>-0.0422</v>
      </c>
      <c r="J101" s="797" t="n">
        <v>-0.0258</v>
      </c>
      <c r="K101" s="797" t="n">
        <v>-0.0318</v>
      </c>
      <c r="L101" s="456" t="n">
        <f aca="false">'Exogenous tax and expenses'!F101+SUM('Exogenous tax and expenses'!R101:V101)-SUM('Exogenous tax and expenses'!X101:AA101)</f>
        <v>-0.0334684339882274</v>
      </c>
      <c r="M101" s="456" t="n">
        <f aca="false">'Exogenous tax and expenses'!G101+SUM('Exogenous tax and expenses'!R101:V101)-SUM('Exogenous tax and expenses'!X101:AA101)</f>
        <v>-0.0407684339882274</v>
      </c>
      <c r="N101" s="456" t="n">
        <f aca="false">'Exogenous tax and expenses'!H101+SUM('Exogenous tax and expenses'!R101:V101)-SUM('Exogenous tax and expenses'!X101:AA101)</f>
        <v>-0.0228684339882274</v>
      </c>
      <c r="O101" s="456" t="n">
        <f aca="false">'Exogenous tax and expenses'!I101+SUM('Exogenous tax and expenses'!R101:V101)-SUM('Exogenous tax and expenses'!X101:AA101)</f>
        <v>-0.0296684339882274</v>
      </c>
      <c r="P101" s="456" t="n">
        <f aca="false">'Exogenous tax and expenses'!J101+SUM('Exogenous tax and expenses'!R101:V101)-SUM('Exogenous tax and expenses'!X101:AA101)</f>
        <v>-0.0132684339882274</v>
      </c>
      <c r="Q101" s="456" t="n">
        <f aca="false">'Exogenous tax and expenses'!K101+SUM('Exogenous tax and expenses'!R101:V101)-SUM('Exogenous tax and expenses'!X101:AA101)</f>
        <v>-0.0192684339882274</v>
      </c>
      <c r="R101" s="456" t="n">
        <f aca="false">'Exogenous tax and expenses'!R100</f>
        <v>0.00718984456547109</v>
      </c>
      <c r="S101" s="456" t="n">
        <f aca="false">'Exogenous tax and expenses'!S100</f>
        <v>0.00264884044328671</v>
      </c>
      <c r="T101" s="790" t="n">
        <f aca="false">'Exogenous tax and expenses'!T100</f>
        <v>0.000158610557119791</v>
      </c>
      <c r="U101" s="456" t="n">
        <f aca="false">'Exogenous tax and expenses'!U100</f>
        <v>0</v>
      </c>
      <c r="V101" s="790" t="n">
        <f aca="false">'Exogenous tax and expenses'!V100</f>
        <v>0.0155521600563946</v>
      </c>
      <c r="W101" s="790"/>
      <c r="X101" s="790" t="n">
        <f aca="false">'Exogenous tax and expenses'!X100</f>
        <v>0.00191293753744961</v>
      </c>
      <c r="Y101" s="456" t="n">
        <f aca="false">'Exogenous tax and expenses'!Y100</f>
        <v>0.00262755013399756</v>
      </c>
      <c r="Z101" s="456" t="n">
        <f aca="false">'Exogenous tax and expenses'!Z100</f>
        <v>0.00695203916219706</v>
      </c>
      <c r="AA101" s="456" t="n">
        <f aca="false">'Exogenous tax and expenses'!AA100</f>
        <v>0.00152536277685544</v>
      </c>
      <c r="AB101" s="456"/>
      <c r="AC101" s="456"/>
      <c r="AD101" s="1"/>
      <c r="AE101" s="1"/>
      <c r="AF101" s="1"/>
      <c r="AG101" s="1"/>
      <c r="AH101" s="1"/>
      <c r="AI101" s="1"/>
      <c r="AJ101" s="1"/>
      <c r="AK101" s="1"/>
      <c r="AL101" s="1"/>
      <c r="AM101" s="1"/>
      <c r="AN101" s="1"/>
      <c r="AO101" s="1"/>
      <c r="AP101" s="1"/>
      <c r="AQ101" s="1"/>
      <c r="AR101" s="1"/>
    </row>
    <row r="102" customFormat="false" ht="15" hidden="false" customHeight="false" outlineLevel="0" collapsed="false">
      <c r="B102" s="539"/>
      <c r="C102" s="1" t="n">
        <f aca="false">'Exogenous tax and expenses'!C101+1</f>
        <v>2028</v>
      </c>
      <c r="D102" s="1"/>
      <c r="E102" s="1"/>
      <c r="F102" s="797" t="n">
        <v>-0.0451</v>
      </c>
      <c r="G102" s="797" t="n">
        <v>-0.0538</v>
      </c>
      <c r="H102" s="800" t="n">
        <v>-0.0331</v>
      </c>
      <c r="I102" s="800" t="n">
        <v>-0.041</v>
      </c>
      <c r="J102" s="797" t="n">
        <v>-0.0227</v>
      </c>
      <c r="K102" s="797" t="n">
        <v>-0.0297</v>
      </c>
      <c r="L102" s="456" t="n">
        <f aca="false">'Exogenous tax and expenses'!F102+SUM('Exogenous tax and expenses'!R102:V102)-SUM('Exogenous tax and expenses'!X102:AA102)</f>
        <v>-0.031043071211372</v>
      </c>
      <c r="M102" s="456" t="n">
        <f aca="false">'Exogenous tax and expenses'!G102+SUM('Exogenous tax and expenses'!R102:V102)-SUM('Exogenous tax and expenses'!X102:AA102)</f>
        <v>-0.039743071211372</v>
      </c>
      <c r="N102" s="456" t="n">
        <f aca="false">'Exogenous tax and expenses'!H102+SUM('Exogenous tax and expenses'!R102:V102)-SUM('Exogenous tax and expenses'!X102:AA102)</f>
        <v>-0.019043071211372</v>
      </c>
      <c r="O102" s="456" t="n">
        <f aca="false">'Exogenous tax and expenses'!I102+SUM('Exogenous tax and expenses'!R102:V102)-SUM('Exogenous tax and expenses'!X102:AA102)</f>
        <v>-0.026943071211372</v>
      </c>
      <c r="P102" s="456" t="n">
        <f aca="false">'Exogenous tax and expenses'!J102+SUM('Exogenous tax and expenses'!R102:V102)-SUM('Exogenous tax and expenses'!X102:AA102)</f>
        <v>-0.008643071211372</v>
      </c>
      <c r="Q102" s="456" t="n">
        <f aca="false">'Exogenous tax and expenses'!K102+SUM('Exogenous tax and expenses'!R102:V102)-SUM('Exogenous tax and expenses'!X102:AA102)</f>
        <v>-0.015643071211372</v>
      </c>
      <c r="R102" s="456" t="n">
        <f aca="false">'Exogenous tax and expenses'!R101</f>
        <v>0.00718984456547109</v>
      </c>
      <c r="S102" s="456" t="n">
        <f aca="false">'Exogenous tax and expenses'!S101</f>
        <v>0.00264884044328671</v>
      </c>
      <c r="T102" s="790" t="n">
        <f aca="false">'Exogenous tax and expenses'!T101</f>
        <v>0.000158610557119791</v>
      </c>
      <c r="U102" s="456" t="n">
        <f aca="false">'Exogenous tax and expenses'!U101</f>
        <v>0</v>
      </c>
      <c r="V102" s="790" t="n">
        <f aca="false">'Exogenous tax and expenses'!V101</f>
        <v>0.0155521600563946</v>
      </c>
      <c r="W102" s="790"/>
      <c r="X102" s="790" t="n">
        <f aca="false">'Exogenous tax and expenses'!X101</f>
        <v>0.00191293753744961</v>
      </c>
      <c r="Y102" s="456" t="n">
        <f aca="false">'Exogenous tax and expenses'!Y101</f>
        <v>0.00262755013399756</v>
      </c>
      <c r="Z102" s="456" t="n">
        <f aca="false">'Exogenous tax and expenses'!Z101</f>
        <v>0.00695203916219706</v>
      </c>
      <c r="AA102" s="1" t="n">
        <v>0</v>
      </c>
      <c r="AB102" s="456"/>
      <c r="AC102" s="456"/>
      <c r="AD102" s="1"/>
      <c r="AE102" s="1"/>
      <c r="AF102" s="1"/>
      <c r="AG102" s="1"/>
      <c r="AH102" s="1"/>
      <c r="AI102" s="1"/>
      <c r="AJ102" s="1"/>
      <c r="AK102" s="1"/>
      <c r="AL102" s="1"/>
      <c r="AM102" s="1"/>
      <c r="AN102" s="1"/>
      <c r="AO102" s="1"/>
      <c r="AP102" s="1"/>
      <c r="AQ102" s="1"/>
      <c r="AR102" s="1"/>
    </row>
    <row r="103" customFormat="false" ht="15" hidden="false" customHeight="false" outlineLevel="0" collapsed="false">
      <c r="B103" s="539"/>
      <c r="C103" s="1" t="n">
        <f aca="false">'Exogenous tax and expenses'!C102+1</f>
        <v>2029</v>
      </c>
      <c r="D103" s="1"/>
      <c r="E103" s="1"/>
      <c r="F103" s="797" t="n">
        <v>-0.0433</v>
      </c>
      <c r="G103" s="797" t="n">
        <v>-0.0531</v>
      </c>
      <c r="H103" s="799" t="n">
        <v>-0.0315</v>
      </c>
      <c r="I103" s="799" t="n">
        <v>-0.0404</v>
      </c>
      <c r="J103" s="797" t="n">
        <v>-0.02</v>
      </c>
      <c r="K103" s="797" t="n">
        <v>-0.0278</v>
      </c>
      <c r="L103" s="456" t="n">
        <f aca="false">'Exogenous tax and expenses'!F103+SUM('Exogenous tax and expenses'!R103:V103)-SUM('Exogenous tax and expenses'!X103:AA103)</f>
        <v>-0.029243071211372</v>
      </c>
      <c r="M103" s="456" t="n">
        <f aca="false">'Exogenous tax and expenses'!G103+SUM('Exogenous tax and expenses'!R103:V103)-SUM('Exogenous tax and expenses'!X103:AA103)</f>
        <v>-0.039043071211372</v>
      </c>
      <c r="N103" s="456" t="n">
        <f aca="false">'Exogenous tax and expenses'!H103+SUM('Exogenous tax and expenses'!R103:V103)-SUM('Exogenous tax and expenses'!X103:AA103)</f>
        <v>-0.017443071211372</v>
      </c>
      <c r="O103" s="456" t="n">
        <f aca="false">'Exogenous tax and expenses'!I103+SUM('Exogenous tax and expenses'!R103:V103)-SUM('Exogenous tax and expenses'!X103:AA103)</f>
        <v>-0.026343071211372</v>
      </c>
      <c r="P103" s="456" t="n">
        <f aca="false">'Exogenous tax and expenses'!J103+SUM('Exogenous tax and expenses'!R103:V103)-SUM('Exogenous tax and expenses'!X103:AA103)</f>
        <v>-0.005943071211372</v>
      </c>
      <c r="Q103" s="456" t="n">
        <f aca="false">'Exogenous tax and expenses'!K103+SUM('Exogenous tax and expenses'!R103:V103)-SUM('Exogenous tax and expenses'!X103:AA103)</f>
        <v>-0.013743071211372</v>
      </c>
      <c r="R103" s="456" t="n">
        <f aca="false">'Exogenous tax and expenses'!R102</f>
        <v>0.00718984456547109</v>
      </c>
      <c r="S103" s="456" t="n">
        <f aca="false">'Exogenous tax and expenses'!S102</f>
        <v>0.00264884044328671</v>
      </c>
      <c r="T103" s="790" t="n">
        <f aca="false">'Exogenous tax and expenses'!T102</f>
        <v>0.000158610557119791</v>
      </c>
      <c r="U103" s="456" t="n">
        <f aca="false">'Exogenous tax and expenses'!U102</f>
        <v>0</v>
      </c>
      <c r="V103" s="790" t="n">
        <f aca="false">'Exogenous tax and expenses'!V102</f>
        <v>0.0155521600563946</v>
      </c>
      <c r="W103" s="790"/>
      <c r="X103" s="790" t="n">
        <f aca="false">'Exogenous tax and expenses'!X102</f>
        <v>0.00191293753744961</v>
      </c>
      <c r="Y103" s="456" t="n">
        <f aca="false">'Exogenous tax and expenses'!Y102</f>
        <v>0.00262755013399756</v>
      </c>
      <c r="Z103" s="456" t="n">
        <f aca="false">'Exogenous tax and expenses'!Z102</f>
        <v>0.00695203916219706</v>
      </c>
      <c r="AA103" s="1" t="n">
        <v>0</v>
      </c>
      <c r="AB103" s="456"/>
      <c r="AC103" s="456"/>
      <c r="AD103" s="1"/>
      <c r="AE103" s="1"/>
      <c r="AF103" s="1"/>
      <c r="AG103" s="1"/>
      <c r="AH103" s="1"/>
      <c r="AI103" s="1"/>
      <c r="AJ103" s="1"/>
      <c r="AK103" s="1"/>
      <c r="AL103" s="1"/>
      <c r="AM103" s="1"/>
      <c r="AN103" s="1"/>
      <c r="AO103" s="1"/>
      <c r="AP103" s="1"/>
      <c r="AQ103" s="1"/>
      <c r="AR103" s="1"/>
    </row>
    <row r="104" customFormat="false" ht="15" hidden="false" customHeight="false" outlineLevel="0" collapsed="false">
      <c r="B104" s="539"/>
      <c r="C104" s="1" t="n">
        <f aca="false">'Exogenous tax and expenses'!C103+1</f>
        <v>2030</v>
      </c>
      <c r="D104" s="1"/>
      <c r="E104" s="1"/>
      <c r="F104" s="797" t="n">
        <v>-0.0428</v>
      </c>
      <c r="G104" s="797" t="n">
        <v>-0.0537</v>
      </c>
      <c r="H104" s="800" t="n">
        <v>-0.031</v>
      </c>
      <c r="I104" s="800" t="n">
        <v>-0.0408</v>
      </c>
      <c r="J104" s="797" t="n">
        <v>-0.0181</v>
      </c>
      <c r="K104" s="797" t="n">
        <v>-0.0266</v>
      </c>
      <c r="L104" s="456" t="n">
        <f aca="false">'Exogenous tax and expenses'!F104+SUM('Exogenous tax and expenses'!R104:V104)-SUM('Exogenous tax and expenses'!X104:AA104)</f>
        <v>-0.028743071211372</v>
      </c>
      <c r="M104" s="456" t="n">
        <f aca="false">'Exogenous tax and expenses'!G104+SUM('Exogenous tax and expenses'!R104:V104)-SUM('Exogenous tax and expenses'!X104:AA104)</f>
        <v>-0.039643071211372</v>
      </c>
      <c r="N104" s="456" t="n">
        <f aca="false">'Exogenous tax and expenses'!H104+SUM('Exogenous tax and expenses'!R104:V104)-SUM('Exogenous tax and expenses'!X104:AA104)</f>
        <v>-0.016943071211372</v>
      </c>
      <c r="O104" s="456" t="n">
        <f aca="false">'Exogenous tax and expenses'!I104+SUM('Exogenous tax and expenses'!R104:V104)-SUM('Exogenous tax and expenses'!X104:AA104)</f>
        <v>-0.026743071211372</v>
      </c>
      <c r="P104" s="456" t="n">
        <f aca="false">'Exogenous tax and expenses'!J104+SUM('Exogenous tax and expenses'!R104:V104)-SUM('Exogenous tax and expenses'!X104:AA104)</f>
        <v>-0.004043071211372</v>
      </c>
      <c r="Q104" s="456" t="n">
        <f aca="false">'Exogenous tax and expenses'!K104+SUM('Exogenous tax and expenses'!R104:V104)-SUM('Exogenous tax and expenses'!X104:AA104)</f>
        <v>-0.012543071211372</v>
      </c>
      <c r="R104" s="456" t="n">
        <f aca="false">'Exogenous tax and expenses'!R103</f>
        <v>0.00718984456547109</v>
      </c>
      <c r="S104" s="456" t="n">
        <f aca="false">'Exogenous tax and expenses'!S103</f>
        <v>0.00264884044328671</v>
      </c>
      <c r="T104" s="790" t="n">
        <f aca="false">'Exogenous tax and expenses'!T103</f>
        <v>0.000158610557119791</v>
      </c>
      <c r="U104" s="456" t="n">
        <f aca="false">'Exogenous tax and expenses'!U103</f>
        <v>0</v>
      </c>
      <c r="V104" s="790" t="n">
        <f aca="false">'Exogenous tax and expenses'!V103</f>
        <v>0.0155521600563946</v>
      </c>
      <c r="W104" s="790"/>
      <c r="X104" s="790" t="n">
        <f aca="false">'Exogenous tax and expenses'!X103</f>
        <v>0.00191293753744961</v>
      </c>
      <c r="Y104" s="456" t="n">
        <f aca="false">'Exogenous tax and expenses'!Y103</f>
        <v>0.00262755013399756</v>
      </c>
      <c r="Z104" s="456" t="n">
        <f aca="false">'Exogenous tax and expenses'!Z103</f>
        <v>0.00695203916219706</v>
      </c>
      <c r="AA104" s="1" t="n">
        <v>0</v>
      </c>
      <c r="AB104" s="1"/>
      <c r="AC104" s="1"/>
      <c r="AD104" s="1"/>
      <c r="AE104" s="1"/>
      <c r="AF104" s="1"/>
      <c r="AG104" s="1"/>
      <c r="AH104" s="1"/>
      <c r="AI104" s="1"/>
      <c r="AJ104" s="1"/>
      <c r="AK104" s="1"/>
      <c r="AL104" s="1"/>
      <c r="AM104" s="1"/>
      <c r="AN104" s="1"/>
      <c r="AO104" s="1"/>
      <c r="AP104" s="1"/>
      <c r="AQ104" s="1"/>
      <c r="AR104" s="1"/>
    </row>
    <row r="105" customFormat="false" ht="15" hidden="false" customHeight="false" outlineLevel="0" collapsed="false">
      <c r="B105" s="539"/>
      <c r="C105" s="1" t="n">
        <f aca="false">'Exogenous tax and expenses'!C104+1</f>
        <v>2031</v>
      </c>
      <c r="D105" s="1"/>
      <c r="E105" s="1"/>
      <c r="F105" s="797" t="n">
        <v>-0.0416</v>
      </c>
      <c r="G105" s="797" t="n">
        <v>-0.0535</v>
      </c>
      <c r="H105" s="800" t="n">
        <v>-0.0295</v>
      </c>
      <c r="I105" s="800" t="n">
        <v>-0.0402</v>
      </c>
      <c r="J105" s="797" t="n">
        <v>-0.0163</v>
      </c>
      <c r="K105" s="797" t="n">
        <v>-0.0254</v>
      </c>
      <c r="L105" s="456" t="n">
        <f aca="false">'Exogenous tax and expenses'!F105+SUM('Exogenous tax and expenses'!R105:V105)-SUM('Exogenous tax and expenses'!X105:AA105)</f>
        <v>-0.027543071211372</v>
      </c>
      <c r="M105" s="456" t="n">
        <f aca="false">'Exogenous tax and expenses'!G105+SUM('Exogenous tax and expenses'!R105:V105)-SUM('Exogenous tax and expenses'!X105:AA105)</f>
        <v>-0.039443071211372</v>
      </c>
      <c r="N105" s="456" t="n">
        <f aca="false">'Exogenous tax and expenses'!H105+SUM('Exogenous tax and expenses'!R105:V105)-SUM('Exogenous tax and expenses'!X105:AA105)</f>
        <v>-0.015443071211372</v>
      </c>
      <c r="O105" s="456" t="n">
        <f aca="false">'Exogenous tax and expenses'!I105+SUM('Exogenous tax and expenses'!R105:V105)-SUM('Exogenous tax and expenses'!X105:AA105)</f>
        <v>-0.026143071211372</v>
      </c>
      <c r="P105" s="456" t="n">
        <f aca="false">'Exogenous tax and expenses'!J105+SUM('Exogenous tax and expenses'!R105:V105)-SUM('Exogenous tax and expenses'!X105:AA105)</f>
        <v>-0.002243071211372</v>
      </c>
      <c r="Q105" s="456" t="n">
        <f aca="false">'Exogenous tax and expenses'!K105+SUM('Exogenous tax and expenses'!R105:V105)-SUM('Exogenous tax and expenses'!X105:AA105)</f>
        <v>-0.011343071211372</v>
      </c>
      <c r="R105" s="456" t="n">
        <f aca="false">'Exogenous tax and expenses'!R104</f>
        <v>0.00718984456547109</v>
      </c>
      <c r="S105" s="456" t="n">
        <f aca="false">'Exogenous tax and expenses'!S104</f>
        <v>0.00264884044328671</v>
      </c>
      <c r="T105" s="790" t="n">
        <f aca="false">'Exogenous tax and expenses'!T104</f>
        <v>0.000158610557119791</v>
      </c>
      <c r="U105" s="456" t="n">
        <f aca="false">'Exogenous tax and expenses'!U104</f>
        <v>0</v>
      </c>
      <c r="V105" s="790" t="n">
        <f aca="false">'Exogenous tax and expenses'!V104</f>
        <v>0.0155521600563946</v>
      </c>
      <c r="W105" s="790"/>
      <c r="X105" s="790" t="n">
        <f aca="false">'Exogenous tax and expenses'!X104</f>
        <v>0.00191293753744961</v>
      </c>
      <c r="Y105" s="456" t="n">
        <f aca="false">'Exogenous tax and expenses'!Y104</f>
        <v>0.00262755013399756</v>
      </c>
      <c r="Z105" s="456" t="n">
        <f aca="false">'Exogenous tax and expenses'!Z104</f>
        <v>0.00695203916219706</v>
      </c>
      <c r="AA105" s="1" t="n">
        <v>0</v>
      </c>
      <c r="AB105" s="1"/>
      <c r="AC105" s="1"/>
      <c r="AD105" s="1"/>
      <c r="AE105" s="1"/>
      <c r="AF105" s="1"/>
      <c r="AG105" s="1"/>
      <c r="AH105" s="1"/>
      <c r="AI105" s="1"/>
      <c r="AJ105" s="1"/>
      <c r="AK105" s="1"/>
      <c r="AL105" s="1"/>
      <c r="AM105" s="1"/>
      <c r="AN105" s="1"/>
      <c r="AO105" s="1"/>
      <c r="AP105" s="1"/>
      <c r="AQ105" s="1"/>
      <c r="AR105" s="1"/>
    </row>
    <row r="106" customFormat="false" ht="15" hidden="false" customHeight="false" outlineLevel="0" collapsed="false">
      <c r="B106" s="539"/>
      <c r="C106" s="1" t="n">
        <f aca="false">'Exogenous tax and expenses'!C105+1</f>
        <v>2032</v>
      </c>
      <c r="D106" s="1"/>
      <c r="E106" s="1"/>
      <c r="F106" s="797" t="n">
        <v>-0.0421</v>
      </c>
      <c r="G106" s="797" t="n">
        <v>-0.0552</v>
      </c>
      <c r="H106" s="800" t="n">
        <v>-0.0279</v>
      </c>
      <c r="I106" s="800" t="n">
        <v>-0.0394</v>
      </c>
      <c r="J106" s="797" t="n">
        <v>-0.0151</v>
      </c>
      <c r="K106" s="797" t="n">
        <v>-0.025</v>
      </c>
      <c r="L106" s="456" t="n">
        <f aca="false">'Exogenous tax and expenses'!F106+SUM('Exogenous tax and expenses'!R106:V106)-SUM('Exogenous tax and expenses'!X106:AA106)</f>
        <v>-0.028043071211372</v>
      </c>
      <c r="M106" s="456" t="n">
        <f aca="false">'Exogenous tax and expenses'!G106+SUM('Exogenous tax and expenses'!R106:V106)-SUM('Exogenous tax and expenses'!X106:AA106)</f>
        <v>-0.041143071211372</v>
      </c>
      <c r="N106" s="456" t="n">
        <f aca="false">'Exogenous tax and expenses'!H106+SUM('Exogenous tax and expenses'!R106:V106)-SUM('Exogenous tax and expenses'!X106:AA106)</f>
        <v>-0.013843071211372</v>
      </c>
      <c r="O106" s="456" t="n">
        <f aca="false">'Exogenous tax and expenses'!I106+SUM('Exogenous tax and expenses'!R106:V106)-SUM('Exogenous tax and expenses'!X106:AA106)</f>
        <v>-0.025343071211372</v>
      </c>
      <c r="P106" s="456" t="n">
        <f aca="false">'Exogenous tax and expenses'!J106+SUM('Exogenous tax and expenses'!R106:V106)-SUM('Exogenous tax and expenses'!X106:AA106)</f>
        <v>-0.001043071211372</v>
      </c>
      <c r="Q106" s="456" t="n">
        <f aca="false">'Exogenous tax and expenses'!K106+SUM('Exogenous tax and expenses'!R106:V106)-SUM('Exogenous tax and expenses'!X106:AA106)</f>
        <v>-0.010943071211372</v>
      </c>
      <c r="R106" s="456" t="n">
        <f aca="false">'Exogenous tax and expenses'!R105</f>
        <v>0.00718984456547109</v>
      </c>
      <c r="S106" s="456" t="n">
        <f aca="false">'Exogenous tax and expenses'!S105</f>
        <v>0.00264884044328671</v>
      </c>
      <c r="T106" s="790" t="n">
        <f aca="false">'Exogenous tax and expenses'!T105</f>
        <v>0.000158610557119791</v>
      </c>
      <c r="U106" s="456" t="n">
        <f aca="false">'Exogenous tax and expenses'!U105</f>
        <v>0</v>
      </c>
      <c r="V106" s="790" t="n">
        <f aca="false">'Exogenous tax and expenses'!V105</f>
        <v>0.0155521600563946</v>
      </c>
      <c r="W106" s="790"/>
      <c r="X106" s="790" t="n">
        <f aca="false">'Exogenous tax and expenses'!X105</f>
        <v>0.00191293753744961</v>
      </c>
      <c r="Y106" s="456" t="n">
        <f aca="false">'Exogenous tax and expenses'!Y105</f>
        <v>0.00262755013399756</v>
      </c>
      <c r="Z106" s="456" t="n">
        <f aca="false">'Exogenous tax and expenses'!Z105</f>
        <v>0.00695203916219706</v>
      </c>
      <c r="AA106" s="1" t="n">
        <v>0</v>
      </c>
      <c r="AB106" s="1"/>
      <c r="AC106" s="1"/>
      <c r="AD106" s="1"/>
      <c r="AE106" s="1"/>
      <c r="AF106" s="1"/>
      <c r="AG106" s="1"/>
      <c r="AH106" s="1"/>
      <c r="AI106" s="1"/>
      <c r="AJ106" s="1"/>
      <c r="AK106" s="1"/>
      <c r="AL106" s="1"/>
      <c r="AM106" s="1"/>
      <c r="AN106" s="1"/>
      <c r="AO106" s="1"/>
      <c r="AP106" s="1"/>
      <c r="AQ106" s="1"/>
      <c r="AR106" s="1"/>
    </row>
    <row r="107" customFormat="false" ht="15" hidden="false" customHeight="false" outlineLevel="0" collapsed="false">
      <c r="B107" s="539"/>
      <c r="C107" s="1" t="n">
        <f aca="false">'Exogenous tax and expenses'!C106+1</f>
        <v>2033</v>
      </c>
      <c r="D107" s="1"/>
      <c r="E107" s="1"/>
      <c r="F107" s="797" t="n">
        <v>-0.0414</v>
      </c>
      <c r="G107" s="797" t="n">
        <v>-0.0555</v>
      </c>
      <c r="H107" s="799" t="n">
        <v>-0.0273</v>
      </c>
      <c r="I107" s="799" t="n">
        <v>-0.0397</v>
      </c>
      <c r="J107" s="797" t="n">
        <v>-0.0145</v>
      </c>
      <c r="K107" s="797" t="n">
        <v>-0.025</v>
      </c>
      <c r="L107" s="456" t="n">
        <f aca="false">'Exogenous tax and expenses'!F107+SUM('Exogenous tax and expenses'!R107:V107)-SUM('Exogenous tax and expenses'!X107:AA107)</f>
        <v>-0.027343071211372</v>
      </c>
      <c r="M107" s="456" t="n">
        <f aca="false">'Exogenous tax and expenses'!G107+SUM('Exogenous tax and expenses'!R107:V107)-SUM('Exogenous tax and expenses'!X107:AA107)</f>
        <v>-0.041443071211372</v>
      </c>
      <c r="N107" s="456" t="n">
        <f aca="false">'Exogenous tax and expenses'!H107+SUM('Exogenous tax and expenses'!R107:V107)-SUM('Exogenous tax and expenses'!X107:AA107)</f>
        <v>-0.013243071211372</v>
      </c>
      <c r="O107" s="456" t="n">
        <f aca="false">'Exogenous tax and expenses'!I107+SUM('Exogenous tax and expenses'!R107:V107)-SUM('Exogenous tax and expenses'!X107:AA107)</f>
        <v>-0.025643071211372</v>
      </c>
      <c r="P107" s="456" t="n">
        <f aca="false">'Exogenous tax and expenses'!J107+SUM('Exogenous tax and expenses'!R107:V107)-SUM('Exogenous tax and expenses'!X107:AA107)</f>
        <v>-0.000443071211372</v>
      </c>
      <c r="Q107" s="456" t="n">
        <f aca="false">'Exogenous tax and expenses'!K107+SUM('Exogenous tax and expenses'!R107:V107)-SUM('Exogenous tax and expenses'!X107:AA107)</f>
        <v>-0.010943071211372</v>
      </c>
      <c r="R107" s="456" t="n">
        <f aca="false">'Exogenous tax and expenses'!R106</f>
        <v>0.00718984456547109</v>
      </c>
      <c r="S107" s="456" t="n">
        <f aca="false">'Exogenous tax and expenses'!S106</f>
        <v>0.00264884044328671</v>
      </c>
      <c r="T107" s="790" t="n">
        <f aca="false">'Exogenous tax and expenses'!T106</f>
        <v>0.000158610557119791</v>
      </c>
      <c r="U107" s="456" t="n">
        <f aca="false">'Exogenous tax and expenses'!U106</f>
        <v>0</v>
      </c>
      <c r="V107" s="790" t="n">
        <f aca="false">'Exogenous tax and expenses'!V106</f>
        <v>0.0155521600563946</v>
      </c>
      <c r="W107" s="790"/>
      <c r="X107" s="790" t="n">
        <f aca="false">'Exogenous tax and expenses'!X106</f>
        <v>0.00191293753744961</v>
      </c>
      <c r="Y107" s="456" t="n">
        <f aca="false">'Exogenous tax and expenses'!Y106</f>
        <v>0.00262755013399756</v>
      </c>
      <c r="Z107" s="456" t="n">
        <f aca="false">'Exogenous tax and expenses'!Z106</f>
        <v>0.00695203916219706</v>
      </c>
      <c r="AA107" s="1" t="n">
        <v>0</v>
      </c>
      <c r="AB107" s="1"/>
      <c r="AC107" s="1"/>
      <c r="AD107" s="1"/>
      <c r="AE107" s="1"/>
      <c r="AF107" s="1"/>
      <c r="AG107" s="1"/>
      <c r="AH107" s="1"/>
      <c r="AI107" s="1"/>
      <c r="AJ107" s="1"/>
      <c r="AK107" s="1"/>
      <c r="AL107" s="1"/>
      <c r="AM107" s="1"/>
      <c r="AN107" s="1"/>
      <c r="AO107" s="1"/>
      <c r="AP107" s="1"/>
      <c r="AQ107" s="1"/>
      <c r="AR107" s="1"/>
    </row>
    <row r="108" customFormat="false" ht="15" hidden="false" customHeight="false" outlineLevel="0" collapsed="false">
      <c r="B108" s="539"/>
      <c r="C108" s="1" t="n">
        <f aca="false">'Exogenous tax and expenses'!C107+1</f>
        <v>2034</v>
      </c>
      <c r="D108" s="1"/>
      <c r="E108" s="1"/>
      <c r="F108" s="797" t="n">
        <v>-0.0412</v>
      </c>
      <c r="G108" s="797" t="n">
        <v>-0.0564</v>
      </c>
      <c r="H108" s="800" t="n">
        <v>-0.0266</v>
      </c>
      <c r="I108" s="800" t="n">
        <v>-0.0399</v>
      </c>
      <c r="J108" s="797" t="n">
        <v>-0.0134</v>
      </c>
      <c r="K108" s="797" t="n">
        <v>-0.0246</v>
      </c>
      <c r="L108" s="456" t="n">
        <f aca="false">'Exogenous tax and expenses'!F108+SUM('Exogenous tax and expenses'!R108:V108)-SUM('Exogenous tax and expenses'!X108:AA108)</f>
        <v>-0.027143071211372</v>
      </c>
      <c r="M108" s="456" t="n">
        <f aca="false">'Exogenous tax and expenses'!G108+SUM('Exogenous tax and expenses'!R108:V108)-SUM('Exogenous tax and expenses'!X108:AA108)</f>
        <v>-0.042343071211372</v>
      </c>
      <c r="N108" s="456" t="n">
        <f aca="false">'Exogenous tax and expenses'!H108+SUM('Exogenous tax and expenses'!R108:V108)-SUM('Exogenous tax and expenses'!X108:AA108)</f>
        <v>-0.012543071211372</v>
      </c>
      <c r="O108" s="456" t="n">
        <f aca="false">'Exogenous tax and expenses'!I108+SUM('Exogenous tax and expenses'!R108:V108)-SUM('Exogenous tax and expenses'!X108:AA108)</f>
        <v>-0.025843071211372</v>
      </c>
      <c r="P108" s="456" t="n">
        <f aca="false">'Exogenous tax and expenses'!J108+SUM('Exogenous tax and expenses'!R108:V108)-SUM('Exogenous tax and expenses'!X108:AA108)</f>
        <v>0.000656928788628002</v>
      </c>
      <c r="Q108" s="456" t="n">
        <f aca="false">'Exogenous tax and expenses'!K108+SUM('Exogenous tax and expenses'!R108:V108)-SUM('Exogenous tax and expenses'!X108:AA108)</f>
        <v>-0.010543071211372</v>
      </c>
      <c r="R108" s="456" t="n">
        <f aca="false">'Exogenous tax and expenses'!R107</f>
        <v>0.00718984456547109</v>
      </c>
      <c r="S108" s="456" t="n">
        <f aca="false">'Exogenous tax and expenses'!S107</f>
        <v>0.00264884044328671</v>
      </c>
      <c r="T108" s="790" t="n">
        <f aca="false">'Exogenous tax and expenses'!T107</f>
        <v>0.000158610557119791</v>
      </c>
      <c r="U108" s="456" t="n">
        <f aca="false">'Exogenous tax and expenses'!U107</f>
        <v>0</v>
      </c>
      <c r="V108" s="790" t="n">
        <f aca="false">'Exogenous tax and expenses'!V107</f>
        <v>0.0155521600563946</v>
      </c>
      <c r="W108" s="790"/>
      <c r="X108" s="790" t="n">
        <f aca="false">'Exogenous tax and expenses'!X107</f>
        <v>0.00191293753744961</v>
      </c>
      <c r="Y108" s="456" t="n">
        <f aca="false">'Exogenous tax and expenses'!Y107</f>
        <v>0.00262755013399756</v>
      </c>
      <c r="Z108" s="456" t="n">
        <f aca="false">'Exogenous tax and expenses'!Z107</f>
        <v>0.00695203916219706</v>
      </c>
      <c r="AA108" s="1" t="n">
        <v>0</v>
      </c>
      <c r="AB108" s="1"/>
      <c r="AC108" s="1"/>
      <c r="AD108" s="1"/>
      <c r="AE108" s="1"/>
      <c r="AF108" s="1"/>
      <c r="AG108" s="1"/>
      <c r="AH108" s="1"/>
      <c r="AI108" s="1"/>
      <c r="AJ108" s="1"/>
      <c r="AK108" s="1"/>
      <c r="AL108" s="1"/>
      <c r="AM108" s="1"/>
      <c r="AN108" s="1"/>
      <c r="AO108" s="1"/>
      <c r="AP108" s="1"/>
      <c r="AQ108" s="1"/>
      <c r="AR108" s="1"/>
    </row>
    <row r="109" customFormat="false" ht="15" hidden="false" customHeight="false" outlineLevel="0" collapsed="false">
      <c r="B109" s="539"/>
      <c r="C109" s="1" t="n">
        <f aca="false">'Exogenous tax and expenses'!C108+1</f>
        <v>2035</v>
      </c>
      <c r="D109" s="1"/>
      <c r="E109" s="1"/>
      <c r="F109" s="797" t="n">
        <v>-0.0403</v>
      </c>
      <c r="G109" s="797" t="n">
        <v>-0.0564</v>
      </c>
      <c r="H109" s="800" t="n">
        <v>-0.0258</v>
      </c>
      <c r="I109" s="800" t="n">
        <v>-0.0397</v>
      </c>
      <c r="J109" s="797" t="n">
        <v>-0.0123</v>
      </c>
      <c r="K109" s="797" t="n">
        <v>-0.0241</v>
      </c>
      <c r="L109" s="456" t="n">
        <f aca="false">'Exogenous tax and expenses'!F109+SUM('Exogenous tax and expenses'!R109:V109)-SUM('Exogenous tax and expenses'!X109:AA109)</f>
        <v>-0.026243071211372</v>
      </c>
      <c r="M109" s="456" t="n">
        <f aca="false">'Exogenous tax and expenses'!G109+SUM('Exogenous tax and expenses'!R109:V109)-SUM('Exogenous tax and expenses'!X109:AA109)</f>
        <v>-0.042343071211372</v>
      </c>
      <c r="N109" s="456" t="n">
        <f aca="false">'Exogenous tax and expenses'!H109+SUM('Exogenous tax and expenses'!R109:V109)-SUM('Exogenous tax and expenses'!X109:AA109)</f>
        <v>-0.011743071211372</v>
      </c>
      <c r="O109" s="456" t="n">
        <f aca="false">'Exogenous tax and expenses'!I109+SUM('Exogenous tax and expenses'!R109:V109)-SUM('Exogenous tax and expenses'!X109:AA109)</f>
        <v>-0.025643071211372</v>
      </c>
      <c r="P109" s="456" t="n">
        <f aca="false">'Exogenous tax and expenses'!J109+SUM('Exogenous tax and expenses'!R109:V109)-SUM('Exogenous tax and expenses'!X109:AA109)</f>
        <v>0.001756928788628</v>
      </c>
      <c r="Q109" s="456" t="n">
        <f aca="false">'Exogenous tax and expenses'!K109+SUM('Exogenous tax and expenses'!R109:V109)-SUM('Exogenous tax and expenses'!X109:AA109)</f>
        <v>-0.010043071211372</v>
      </c>
      <c r="R109" s="456" t="n">
        <f aca="false">'Exogenous tax and expenses'!R108</f>
        <v>0.00718984456547109</v>
      </c>
      <c r="S109" s="456" t="n">
        <f aca="false">'Exogenous tax and expenses'!S108</f>
        <v>0.00264884044328671</v>
      </c>
      <c r="T109" s="790" t="n">
        <f aca="false">'Exogenous tax and expenses'!T108</f>
        <v>0.000158610557119791</v>
      </c>
      <c r="U109" s="456" t="n">
        <f aca="false">'Exogenous tax and expenses'!U108</f>
        <v>0</v>
      </c>
      <c r="V109" s="790" t="n">
        <f aca="false">'Exogenous tax and expenses'!V108</f>
        <v>0.0155521600563946</v>
      </c>
      <c r="W109" s="790"/>
      <c r="X109" s="790" t="n">
        <f aca="false">'Exogenous tax and expenses'!X108</f>
        <v>0.00191293753744961</v>
      </c>
      <c r="Y109" s="456" t="n">
        <f aca="false">'Exogenous tax and expenses'!Y108</f>
        <v>0.00262755013399756</v>
      </c>
      <c r="Z109" s="456" t="n">
        <f aca="false">'Exogenous tax and expenses'!Z108</f>
        <v>0.00695203916219706</v>
      </c>
      <c r="AA109" s="1" t="n">
        <v>0</v>
      </c>
      <c r="AB109" s="1"/>
      <c r="AC109" s="1"/>
      <c r="AD109" s="1"/>
      <c r="AE109" s="1"/>
      <c r="AF109" s="1"/>
      <c r="AG109" s="1"/>
      <c r="AH109" s="1"/>
      <c r="AI109" s="1"/>
      <c r="AJ109" s="1"/>
      <c r="AK109" s="1"/>
      <c r="AL109" s="1"/>
      <c r="AM109" s="1"/>
      <c r="AN109" s="1"/>
      <c r="AO109" s="1"/>
      <c r="AP109" s="1"/>
      <c r="AQ109" s="1"/>
      <c r="AR109" s="1"/>
    </row>
    <row r="110" customFormat="false" ht="15" hidden="false" customHeight="false" outlineLevel="0" collapsed="false">
      <c r="B110" s="539"/>
      <c r="C110" s="1" t="n">
        <f aca="false">'Exogenous tax and expenses'!C109+1</f>
        <v>2036</v>
      </c>
      <c r="D110" s="1"/>
      <c r="E110" s="1"/>
      <c r="F110" s="797" t="n">
        <v>-0.0393</v>
      </c>
      <c r="G110" s="797" t="n">
        <v>-0.0564</v>
      </c>
      <c r="H110" s="800" t="n">
        <v>-0.0241</v>
      </c>
      <c r="I110" s="800" t="n">
        <v>-0.0387</v>
      </c>
      <c r="J110" s="797" t="n">
        <v>-0.0111</v>
      </c>
      <c r="K110" s="797" t="n">
        <v>-0.0235</v>
      </c>
      <c r="L110" s="456" t="n">
        <f aca="false">'Exogenous tax and expenses'!F110+SUM('Exogenous tax and expenses'!R110:V110)-SUM('Exogenous tax and expenses'!X110:AA110)</f>
        <v>-0.025243071211372</v>
      </c>
      <c r="M110" s="456" t="n">
        <f aca="false">'Exogenous tax and expenses'!G110+SUM('Exogenous tax and expenses'!R110:V110)-SUM('Exogenous tax and expenses'!X110:AA110)</f>
        <v>-0.042343071211372</v>
      </c>
      <c r="N110" s="456" t="n">
        <f aca="false">'Exogenous tax and expenses'!H110+SUM('Exogenous tax and expenses'!R110:V110)-SUM('Exogenous tax and expenses'!X110:AA110)</f>
        <v>-0.010043071211372</v>
      </c>
      <c r="O110" s="456" t="n">
        <f aca="false">'Exogenous tax and expenses'!I110+SUM('Exogenous tax and expenses'!R110:V110)-SUM('Exogenous tax and expenses'!X110:AA110)</f>
        <v>-0.024643071211372</v>
      </c>
      <c r="P110" s="456" t="n">
        <f aca="false">'Exogenous tax and expenses'!J110+SUM('Exogenous tax and expenses'!R110:V110)-SUM('Exogenous tax and expenses'!X110:AA110)</f>
        <v>0.002956928788628</v>
      </c>
      <c r="Q110" s="456" t="n">
        <f aca="false">'Exogenous tax and expenses'!K110+SUM('Exogenous tax and expenses'!R110:V110)-SUM('Exogenous tax and expenses'!X110:AA110)</f>
        <v>-0.009443071211372</v>
      </c>
      <c r="R110" s="456" t="n">
        <f aca="false">'Exogenous tax and expenses'!R109</f>
        <v>0.00718984456547109</v>
      </c>
      <c r="S110" s="456" t="n">
        <f aca="false">'Exogenous tax and expenses'!S109</f>
        <v>0.00264884044328671</v>
      </c>
      <c r="T110" s="790" t="n">
        <f aca="false">'Exogenous tax and expenses'!T109</f>
        <v>0.000158610557119791</v>
      </c>
      <c r="U110" s="456" t="n">
        <f aca="false">'Exogenous tax and expenses'!U109</f>
        <v>0</v>
      </c>
      <c r="V110" s="790" t="n">
        <f aca="false">'Exogenous tax and expenses'!V109</f>
        <v>0.0155521600563946</v>
      </c>
      <c r="W110" s="790"/>
      <c r="X110" s="790" t="n">
        <f aca="false">'Exogenous tax and expenses'!X109</f>
        <v>0.00191293753744961</v>
      </c>
      <c r="Y110" s="456" t="n">
        <f aca="false">'Exogenous tax and expenses'!Y109</f>
        <v>0.00262755013399756</v>
      </c>
      <c r="Z110" s="456" t="n">
        <f aca="false">'Exogenous tax and expenses'!Z109</f>
        <v>0.00695203916219706</v>
      </c>
      <c r="AA110" s="1" t="n">
        <v>0</v>
      </c>
      <c r="AB110" s="1"/>
      <c r="AC110" s="1"/>
      <c r="AD110" s="1"/>
      <c r="AE110" s="1"/>
      <c r="AF110" s="1"/>
      <c r="AG110" s="1"/>
      <c r="AH110" s="1"/>
      <c r="AI110" s="1"/>
      <c r="AJ110" s="1"/>
      <c r="AK110" s="1"/>
      <c r="AL110" s="1"/>
      <c r="AM110" s="1"/>
      <c r="AN110" s="1"/>
      <c r="AO110" s="1"/>
      <c r="AP110" s="1"/>
      <c r="AQ110" s="1"/>
      <c r="AR110" s="1"/>
    </row>
    <row r="111" customFormat="false" ht="15" hidden="false" customHeight="false" outlineLevel="0" collapsed="false">
      <c r="B111" s="539"/>
      <c r="C111" s="1" t="n">
        <f aca="false">'Exogenous tax and expenses'!C110+1</f>
        <v>2037</v>
      </c>
      <c r="D111" s="1"/>
      <c r="E111" s="1"/>
      <c r="F111" s="797" t="n">
        <v>-0.0383</v>
      </c>
      <c r="G111" s="797" t="n">
        <v>-0.0565</v>
      </c>
      <c r="H111" s="799" t="n">
        <v>-0.0235</v>
      </c>
      <c r="I111" s="799" t="n">
        <v>-0.0391</v>
      </c>
      <c r="J111" s="797" t="n">
        <v>-0.0093</v>
      </c>
      <c r="K111" s="797" t="n">
        <v>-0.0224</v>
      </c>
      <c r="L111" s="456" t="n">
        <f aca="false">'Exogenous tax and expenses'!F111+SUM('Exogenous tax and expenses'!R111:V111)-SUM('Exogenous tax and expenses'!X111:AA111)</f>
        <v>-0.024243071211372</v>
      </c>
      <c r="M111" s="456" t="n">
        <f aca="false">'Exogenous tax and expenses'!G111+SUM('Exogenous tax and expenses'!R111:V111)-SUM('Exogenous tax and expenses'!X111:AA111)</f>
        <v>-0.042443071211372</v>
      </c>
      <c r="N111" s="456" t="n">
        <f aca="false">'Exogenous tax and expenses'!H111+SUM('Exogenous tax and expenses'!R111:V111)-SUM('Exogenous tax and expenses'!X111:AA111)</f>
        <v>-0.009443071211372</v>
      </c>
      <c r="O111" s="456" t="n">
        <f aca="false">'Exogenous tax and expenses'!I111+SUM('Exogenous tax and expenses'!R111:V111)-SUM('Exogenous tax and expenses'!X111:AA111)</f>
        <v>-0.025043071211372</v>
      </c>
      <c r="P111" s="456" t="n">
        <f aca="false">'Exogenous tax and expenses'!J111+SUM('Exogenous tax and expenses'!R111:V111)-SUM('Exogenous tax and expenses'!X111:AA111)</f>
        <v>0.004756928788628</v>
      </c>
      <c r="Q111" s="456" t="n">
        <f aca="false">'Exogenous tax and expenses'!K111+SUM('Exogenous tax and expenses'!R111:V111)-SUM('Exogenous tax and expenses'!X111:AA111)</f>
        <v>-0.008343071211372</v>
      </c>
      <c r="R111" s="456" t="n">
        <f aca="false">'Exogenous tax and expenses'!R110</f>
        <v>0.00718984456547109</v>
      </c>
      <c r="S111" s="456" t="n">
        <f aca="false">'Exogenous tax and expenses'!S110</f>
        <v>0.00264884044328671</v>
      </c>
      <c r="T111" s="790" t="n">
        <f aca="false">'Exogenous tax and expenses'!T110</f>
        <v>0.000158610557119791</v>
      </c>
      <c r="U111" s="456" t="n">
        <f aca="false">'Exogenous tax and expenses'!U110</f>
        <v>0</v>
      </c>
      <c r="V111" s="790" t="n">
        <f aca="false">'Exogenous tax and expenses'!V110</f>
        <v>0.0155521600563946</v>
      </c>
      <c r="W111" s="790"/>
      <c r="X111" s="790" t="n">
        <f aca="false">'Exogenous tax and expenses'!X110</f>
        <v>0.00191293753744961</v>
      </c>
      <c r="Y111" s="456" t="n">
        <f aca="false">'Exogenous tax and expenses'!Y110</f>
        <v>0.00262755013399756</v>
      </c>
      <c r="Z111" s="456" t="n">
        <f aca="false">'Exogenous tax and expenses'!Z110</f>
        <v>0.00695203916219706</v>
      </c>
      <c r="AA111" s="1" t="n">
        <v>0</v>
      </c>
      <c r="AB111" s="1"/>
      <c r="AC111" s="1"/>
      <c r="AD111" s="1"/>
      <c r="AE111" s="1"/>
      <c r="AF111" s="1"/>
      <c r="AG111" s="1"/>
      <c r="AH111" s="1"/>
      <c r="AI111" s="1"/>
      <c r="AJ111" s="1"/>
      <c r="AK111" s="1"/>
      <c r="AL111" s="1"/>
      <c r="AM111" s="1"/>
      <c r="AN111" s="1"/>
      <c r="AO111" s="1"/>
      <c r="AP111" s="1"/>
      <c r="AQ111" s="1"/>
      <c r="AR111" s="1"/>
    </row>
    <row r="112" customFormat="false" ht="15" hidden="false" customHeight="false" outlineLevel="0" collapsed="false">
      <c r="B112" s="539"/>
      <c r="C112" s="1" t="n">
        <f aca="false">'Exogenous tax and expenses'!C111+1</f>
        <v>2038</v>
      </c>
      <c r="D112" s="1"/>
      <c r="E112" s="1"/>
      <c r="F112" s="797" t="n">
        <v>-0.0381</v>
      </c>
      <c r="G112" s="797" t="n">
        <v>-0.0573</v>
      </c>
      <c r="H112" s="800" t="n">
        <v>-0.0231</v>
      </c>
      <c r="I112" s="800" t="n">
        <v>-0.0395</v>
      </c>
      <c r="J112" s="797" t="n">
        <v>-0.0076</v>
      </c>
      <c r="K112" s="797" t="n">
        <v>-0.0212</v>
      </c>
      <c r="L112" s="456" t="n">
        <f aca="false">'Exogenous tax and expenses'!F112+SUM('Exogenous tax and expenses'!R112:V112)-SUM('Exogenous tax and expenses'!X112:AA112)</f>
        <v>-0.024043071211372</v>
      </c>
      <c r="M112" s="456" t="n">
        <f aca="false">'Exogenous tax and expenses'!G112+SUM('Exogenous tax and expenses'!R112:V112)-SUM('Exogenous tax and expenses'!X112:AA112)</f>
        <v>-0.043243071211372</v>
      </c>
      <c r="N112" s="456" t="n">
        <f aca="false">'Exogenous tax and expenses'!H112+SUM('Exogenous tax and expenses'!R112:V112)-SUM('Exogenous tax and expenses'!X112:AA112)</f>
        <v>-0.009043071211372</v>
      </c>
      <c r="O112" s="456" t="n">
        <f aca="false">'Exogenous tax and expenses'!I112+SUM('Exogenous tax and expenses'!R112:V112)-SUM('Exogenous tax and expenses'!X112:AA112)</f>
        <v>-0.025443071211372</v>
      </c>
      <c r="P112" s="456" t="n">
        <f aca="false">'Exogenous tax and expenses'!J112+SUM('Exogenous tax and expenses'!R112:V112)-SUM('Exogenous tax and expenses'!X112:AA112)</f>
        <v>0.006456928788628</v>
      </c>
      <c r="Q112" s="456" t="n">
        <f aca="false">'Exogenous tax and expenses'!K112+SUM('Exogenous tax and expenses'!R112:V112)-SUM('Exogenous tax and expenses'!X112:AA112)</f>
        <v>-0.007143071211372</v>
      </c>
      <c r="R112" s="456" t="n">
        <f aca="false">'Exogenous tax and expenses'!R111</f>
        <v>0.00718984456547109</v>
      </c>
      <c r="S112" s="456" t="n">
        <f aca="false">'Exogenous tax and expenses'!S111</f>
        <v>0.00264884044328671</v>
      </c>
      <c r="T112" s="790" t="n">
        <f aca="false">'Exogenous tax and expenses'!T111</f>
        <v>0.000158610557119791</v>
      </c>
      <c r="U112" s="456" t="n">
        <f aca="false">'Exogenous tax and expenses'!U111</f>
        <v>0</v>
      </c>
      <c r="V112" s="790" t="n">
        <f aca="false">'Exogenous tax and expenses'!V111</f>
        <v>0.0155521600563946</v>
      </c>
      <c r="W112" s="790"/>
      <c r="X112" s="790" t="n">
        <f aca="false">'Exogenous tax and expenses'!X111</f>
        <v>0.00191293753744961</v>
      </c>
      <c r="Y112" s="456" t="n">
        <f aca="false">'Exogenous tax and expenses'!Y111</f>
        <v>0.00262755013399756</v>
      </c>
      <c r="Z112" s="456" t="n">
        <f aca="false">'Exogenous tax and expenses'!Z111</f>
        <v>0.00695203916219706</v>
      </c>
      <c r="AA112" s="1" t="n">
        <v>0</v>
      </c>
      <c r="AB112" s="1"/>
      <c r="AC112" s="1"/>
      <c r="AD112" s="1"/>
      <c r="AE112" s="1"/>
      <c r="AF112" s="1"/>
      <c r="AG112" s="1"/>
      <c r="AH112" s="1"/>
      <c r="AI112" s="1"/>
      <c r="AJ112" s="1"/>
      <c r="AK112" s="1"/>
      <c r="AL112" s="1"/>
      <c r="AM112" s="1"/>
      <c r="AN112" s="1"/>
      <c r="AO112" s="1"/>
      <c r="AP112" s="1"/>
      <c r="AQ112" s="1"/>
      <c r="AR112" s="1"/>
    </row>
    <row r="113" customFormat="false" ht="15" hidden="false" customHeight="false" outlineLevel="0" collapsed="false">
      <c r="B113" s="539"/>
      <c r="C113" s="1" t="n">
        <f aca="false">'Exogenous tax and expenses'!C112+1</f>
        <v>2039</v>
      </c>
      <c r="D113" s="1"/>
      <c r="E113" s="1"/>
      <c r="F113" s="797" t="n">
        <v>-0.0383</v>
      </c>
      <c r="G113" s="797" t="n">
        <v>-0.0588</v>
      </c>
      <c r="H113" s="800" t="n">
        <v>-0.0226</v>
      </c>
      <c r="I113" s="800" t="n">
        <v>-0.0398</v>
      </c>
      <c r="J113" s="797" t="n">
        <v>-0.0073</v>
      </c>
      <c r="K113" s="797" t="n">
        <v>-0.0217</v>
      </c>
      <c r="L113" s="456" t="n">
        <f aca="false">'Exogenous tax and expenses'!F113+SUM('Exogenous tax and expenses'!R113:V113)-SUM('Exogenous tax and expenses'!X113:AA113)</f>
        <v>-0.024243071211372</v>
      </c>
      <c r="M113" s="456" t="n">
        <f aca="false">'Exogenous tax and expenses'!G113+SUM('Exogenous tax and expenses'!R113:V113)-SUM('Exogenous tax and expenses'!X113:AA113)</f>
        <v>-0.044743071211372</v>
      </c>
      <c r="N113" s="456" t="n">
        <f aca="false">'Exogenous tax and expenses'!H113+SUM('Exogenous tax and expenses'!R113:V113)-SUM('Exogenous tax and expenses'!X113:AA113)</f>
        <v>-0.008543071211372</v>
      </c>
      <c r="O113" s="456" t="n">
        <f aca="false">'Exogenous tax and expenses'!I113+SUM('Exogenous tax and expenses'!R113:V113)-SUM('Exogenous tax and expenses'!X113:AA113)</f>
        <v>-0.025743071211372</v>
      </c>
      <c r="P113" s="456" t="n">
        <f aca="false">'Exogenous tax and expenses'!J113+SUM('Exogenous tax and expenses'!R113:V113)-SUM('Exogenous tax and expenses'!X113:AA113)</f>
        <v>0.006756928788628</v>
      </c>
      <c r="Q113" s="456" t="n">
        <f aca="false">'Exogenous tax and expenses'!K113+SUM('Exogenous tax and expenses'!R113:V113)-SUM('Exogenous tax and expenses'!X113:AA113)</f>
        <v>-0.007643071211372</v>
      </c>
      <c r="R113" s="456" t="n">
        <f aca="false">'Exogenous tax and expenses'!R112</f>
        <v>0.00718984456547109</v>
      </c>
      <c r="S113" s="456" t="n">
        <f aca="false">'Exogenous tax and expenses'!S112</f>
        <v>0.00264884044328671</v>
      </c>
      <c r="T113" s="790" t="n">
        <f aca="false">'Exogenous tax and expenses'!T112</f>
        <v>0.000158610557119791</v>
      </c>
      <c r="U113" s="456" t="n">
        <f aca="false">'Exogenous tax and expenses'!U112</f>
        <v>0</v>
      </c>
      <c r="V113" s="790" t="n">
        <f aca="false">'Exogenous tax and expenses'!V112</f>
        <v>0.0155521600563946</v>
      </c>
      <c r="W113" s="790"/>
      <c r="X113" s="790" t="n">
        <f aca="false">'Exogenous tax and expenses'!X112</f>
        <v>0.00191293753744961</v>
      </c>
      <c r="Y113" s="456" t="n">
        <f aca="false">'Exogenous tax and expenses'!Y112</f>
        <v>0.00262755013399756</v>
      </c>
      <c r="Z113" s="456" t="n">
        <f aca="false">'Exogenous tax and expenses'!Z112</f>
        <v>0.00695203916219706</v>
      </c>
      <c r="AA113" s="1" t="n">
        <v>0</v>
      </c>
      <c r="AB113" s="1"/>
      <c r="AC113" s="1"/>
      <c r="AD113" s="1"/>
      <c r="AE113" s="1"/>
      <c r="AF113" s="1"/>
      <c r="AG113" s="1"/>
      <c r="AH113" s="1"/>
      <c r="AI113" s="1"/>
      <c r="AJ113" s="1"/>
      <c r="AK113" s="1"/>
      <c r="AL113" s="1"/>
      <c r="AM113" s="1"/>
      <c r="AN113" s="1"/>
      <c r="AO113" s="1"/>
      <c r="AP113" s="1"/>
      <c r="AQ113" s="1"/>
      <c r="AR113" s="1"/>
    </row>
    <row r="114" customFormat="false" ht="15" hidden="false" customHeight="false" outlineLevel="0" collapsed="false">
      <c r="B114" s="539"/>
      <c r="C114" s="1" t="n">
        <f aca="false">'Exogenous tax and expenses'!C113+1</f>
        <v>2040</v>
      </c>
      <c r="D114" s="1"/>
      <c r="E114" s="1"/>
      <c r="F114" s="797" t="n">
        <v>-0.0384</v>
      </c>
      <c r="G114" s="797" t="n">
        <v>-0.0601</v>
      </c>
      <c r="H114" s="800" t="n">
        <v>-0.0217</v>
      </c>
      <c r="I114" s="800" t="n">
        <v>-0.0397</v>
      </c>
      <c r="J114" s="797" t="n">
        <v>-0.0067</v>
      </c>
      <c r="K114" s="797" t="n">
        <v>-0.0216</v>
      </c>
      <c r="L114" s="456" t="n">
        <f aca="false">'Exogenous tax and expenses'!F114+SUM('Exogenous tax and expenses'!R114:V114)-SUM('Exogenous tax and expenses'!X114:AA114)</f>
        <v>-0.024343071211372</v>
      </c>
      <c r="M114" s="456" t="n">
        <f aca="false">'Exogenous tax and expenses'!G114+SUM('Exogenous tax and expenses'!R114:V114)-SUM('Exogenous tax and expenses'!X114:AA114)</f>
        <v>-0.046043071211372</v>
      </c>
      <c r="N114" s="456" t="n">
        <f aca="false">'Exogenous tax and expenses'!H114+SUM('Exogenous tax and expenses'!R114:V114)-SUM('Exogenous tax and expenses'!X114:AA114)</f>
        <v>-0.007643071211372</v>
      </c>
      <c r="O114" s="456" t="n">
        <f aca="false">'Exogenous tax and expenses'!I114+SUM('Exogenous tax and expenses'!R114:V114)-SUM('Exogenous tax and expenses'!X114:AA114)</f>
        <v>-0.025643071211372</v>
      </c>
      <c r="P114" s="456" t="n">
        <f aca="false">'Exogenous tax and expenses'!J114+SUM('Exogenous tax and expenses'!R114:V114)-SUM('Exogenous tax and expenses'!X114:AA114)</f>
        <v>0.007356928788628</v>
      </c>
      <c r="Q114" s="456" t="n">
        <f aca="false">'Exogenous tax and expenses'!K114+SUM('Exogenous tax and expenses'!R114:V114)-SUM('Exogenous tax and expenses'!X114:AA114)</f>
        <v>-0.007543071211372</v>
      </c>
      <c r="R114" s="456" t="n">
        <f aca="false">'Exogenous tax and expenses'!R113</f>
        <v>0.00718984456547109</v>
      </c>
      <c r="S114" s="456" t="n">
        <f aca="false">'Exogenous tax and expenses'!S113</f>
        <v>0.00264884044328671</v>
      </c>
      <c r="T114" s="790" t="n">
        <f aca="false">'Exogenous tax and expenses'!T113</f>
        <v>0.000158610557119791</v>
      </c>
      <c r="U114" s="456" t="n">
        <f aca="false">'Exogenous tax and expenses'!U113</f>
        <v>0</v>
      </c>
      <c r="V114" s="790" t="n">
        <f aca="false">'Exogenous tax and expenses'!V113</f>
        <v>0.0155521600563946</v>
      </c>
      <c r="W114" s="790"/>
      <c r="X114" s="790" t="n">
        <f aca="false">'Exogenous tax and expenses'!X113</f>
        <v>0.00191293753744961</v>
      </c>
      <c r="Y114" s="456" t="n">
        <f aca="false">'Exogenous tax and expenses'!Y113</f>
        <v>0.00262755013399756</v>
      </c>
      <c r="Z114" s="456" t="n">
        <f aca="false">'Exogenous tax and expenses'!Z113</f>
        <v>0.00695203916219706</v>
      </c>
      <c r="AA114" s="1" t="n">
        <v>0</v>
      </c>
      <c r="AB114" s="1"/>
      <c r="AC114" s="1"/>
      <c r="AD114" s="1"/>
      <c r="AE114" s="1"/>
      <c r="AF114" s="1"/>
      <c r="AG114" s="1"/>
      <c r="AH114" s="1"/>
      <c r="AI114" s="1"/>
      <c r="AJ114" s="1"/>
      <c r="AK114" s="1"/>
      <c r="AL114" s="1"/>
      <c r="AM114" s="1"/>
      <c r="AN114" s="1"/>
      <c r="AO114" s="1"/>
      <c r="AP114" s="1"/>
      <c r="AQ114" s="1"/>
      <c r="AR114" s="1"/>
    </row>
    <row r="115" customFormat="false" ht="15" hidden="false" customHeight="false" outlineLevel="0" collapsed="false">
      <c r="B115" s="1"/>
      <c r="C115" s="1"/>
      <c r="D115" s="1"/>
      <c r="E115" s="1"/>
      <c r="F115" s="604" t="s">
        <v>1050</v>
      </c>
      <c r="G115" s="604"/>
      <c r="H115" s="604"/>
      <c r="I115" s="604"/>
      <c r="J115" s="604"/>
      <c r="K115" s="604"/>
      <c r="L115" s="604" t="s">
        <v>1051</v>
      </c>
      <c r="M115" s="604"/>
      <c r="N115" s="604"/>
      <c r="O115" s="604"/>
      <c r="P115" s="604"/>
      <c r="Q115" s="604"/>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row>
    <row r="116" customFormat="false" ht="15" hidden="false" customHeight="false" outlineLevel="0" collapsed="false">
      <c r="B116" s="1"/>
      <c r="C116" s="1"/>
      <c r="D116" s="1"/>
      <c r="E116" s="1"/>
      <c r="F116" s="1" t="s">
        <v>1054</v>
      </c>
      <c r="G116" s="1" t="s">
        <v>1055</v>
      </c>
      <c r="H116" s="1" t="s">
        <v>1056</v>
      </c>
      <c r="I116" s="1" t="s">
        <v>1057</v>
      </c>
      <c r="J116" s="1" t="s">
        <v>1058</v>
      </c>
      <c r="K116" s="1" t="s">
        <v>1059</v>
      </c>
      <c r="L116" s="1" t="s">
        <v>1054</v>
      </c>
      <c r="M116" s="1" t="s">
        <v>1060</v>
      </c>
      <c r="N116" s="1" t="s">
        <v>1056</v>
      </c>
      <c r="O116" s="1" t="s">
        <v>1061</v>
      </c>
      <c r="P116" s="1" t="s">
        <v>1058</v>
      </c>
      <c r="Q116" s="1" t="s">
        <v>1059</v>
      </c>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row>
    <row r="117" customFormat="false" ht="15" hidden="false" customHeight="false" outlineLevel="0" collapsed="false">
      <c r="B117" s="801"/>
      <c r="C117" s="1" t="n">
        <v>2014</v>
      </c>
      <c r="D117" s="1"/>
      <c r="E117" s="746" t="n">
        <v>-0.00129286375596846</v>
      </c>
      <c r="F117" s="1"/>
      <c r="G117" s="1"/>
      <c r="H117" s="802" t="n">
        <v>-0.0208</v>
      </c>
      <c r="I117" s="1"/>
      <c r="J117" s="1"/>
      <c r="K117" s="1"/>
      <c r="L117" s="1"/>
      <c r="M117" s="1"/>
      <c r="N117" s="456" t="n">
        <f aca="false">'Exogenous tax and expenses'!H117+SUM('Exogenous tax and expenses'!Q52:S52)+'Exogenous tax and expenses'!W52+'Exogenous tax and expenses'!U52+'Cuenta Ahorro-Inversión-Financi'!L30/1000/'PIB corriente base 2004'!X18-SUM('Exogenous tax and expenses'!Y52:AC52)</f>
        <v>5.07583843275226E-005</v>
      </c>
      <c r="O117" s="1"/>
      <c r="P117" s="1"/>
      <c r="Q117" s="731"/>
      <c r="R117" s="1"/>
      <c r="S117" s="1"/>
      <c r="T117" s="1"/>
      <c r="U117" s="1"/>
      <c r="V117" s="1"/>
      <c r="W117" s="1"/>
      <c r="X117" s="1"/>
      <c r="Y117" s="1"/>
      <c r="Z117" s="1"/>
      <c r="AA117" s="1"/>
    </row>
    <row r="118" customFormat="false" ht="15" hidden="false" customHeight="false" outlineLevel="0" collapsed="false">
      <c r="B118" s="801"/>
      <c r="C118" s="1" t="n">
        <f aca="false">'Exogenous tax and expenses'!C117+1</f>
        <v>2015</v>
      </c>
      <c r="D118" s="1"/>
      <c r="E118" s="745" t="n">
        <v>-0.00763621219284721</v>
      </c>
      <c r="F118" s="1"/>
      <c r="G118" s="1"/>
      <c r="H118" s="802" t="n">
        <v>-0.0328</v>
      </c>
      <c r="I118" s="1"/>
      <c r="J118" s="1"/>
      <c r="K118" s="1"/>
      <c r="L118" s="1"/>
      <c r="M118" s="1"/>
      <c r="N118" s="456" t="n">
        <f aca="false">'Exogenous tax and expenses'!H118+SUM('Exogenous tax and expenses'!Q53:S53)+'Exogenous tax and expenses'!W53+'Exogenous tax and expenses'!U53+'Cuenta Ahorro-Inversión-Financi'!L31/1000/'PIB corriente base 2004'!X19-SUM('Exogenous tax and expenses'!Y53:AC53)</f>
        <v>-0.0115582382091379</v>
      </c>
      <c r="O118" s="1"/>
      <c r="P118" s="1"/>
      <c r="Q118" s="1"/>
      <c r="R118" s="1"/>
      <c r="S118" s="1"/>
      <c r="T118" s="1"/>
      <c r="U118" s="1"/>
      <c r="V118" s="1"/>
      <c r="W118" s="1"/>
      <c r="X118" s="1"/>
      <c r="Y118" s="1"/>
      <c r="Z118" s="1"/>
      <c r="AA118" s="1"/>
    </row>
    <row r="119" customFormat="false" ht="15" hidden="false" customHeight="false" outlineLevel="0" collapsed="false">
      <c r="B119" s="801"/>
      <c r="C119" s="1" t="n">
        <f aca="false">'Exogenous tax and expenses'!C118+1</f>
        <v>2016</v>
      </c>
      <c r="D119" s="1"/>
      <c r="E119" s="746" t="n">
        <v>-0.0172805475280802</v>
      </c>
      <c r="F119" s="1"/>
      <c r="G119" s="1"/>
      <c r="H119" s="802" t="n">
        <v>-0.0317</v>
      </c>
      <c r="I119" s="802" t="n">
        <v>-0.0317</v>
      </c>
      <c r="J119" s="1"/>
      <c r="K119" s="1"/>
      <c r="L119" s="1"/>
      <c r="M119" s="1"/>
      <c r="N119" s="456" t="n">
        <f aca="false">'Exogenous tax and expenses'!H119+SUM('Exogenous tax and expenses'!Q54:S54)+'Exogenous tax and expenses'!W54+'Exogenous tax and expenses'!U54+'Cuenta Ahorro-Inversión-Financi'!L32/1000/'PIB corriente base 2004'!X20-SUM('Exogenous tax and expenses'!Y54:AC54)</f>
        <v>-0.0128139766351671</v>
      </c>
      <c r="O119" s="1"/>
      <c r="P119" s="1"/>
      <c r="Q119" s="1"/>
      <c r="R119" s="1"/>
      <c r="S119" s="1"/>
      <c r="T119" s="1"/>
      <c r="U119" s="1"/>
      <c r="V119" s="1"/>
      <c r="W119" s="1"/>
      <c r="X119" s="1"/>
      <c r="Y119" s="1"/>
      <c r="Z119" s="1"/>
      <c r="AA119" s="1"/>
    </row>
    <row r="120" customFormat="false" ht="15" hidden="false" customHeight="false" outlineLevel="0" collapsed="false">
      <c r="B120" s="801"/>
      <c r="C120" s="1" t="n">
        <f aca="false">'Exogenous tax and expenses'!C119+1</f>
        <v>2017</v>
      </c>
      <c r="D120" s="1"/>
      <c r="E120" s="745" t="n">
        <v>-0.0215857033492145</v>
      </c>
      <c r="F120" s="797" t="n">
        <v>-0.0364</v>
      </c>
      <c r="G120" s="797" t="n">
        <v>-0.0369</v>
      </c>
      <c r="H120" s="802" t="n">
        <v>-0.0363</v>
      </c>
      <c r="I120" s="802" t="n">
        <v>-0.0368</v>
      </c>
      <c r="J120" s="797" t="n">
        <v>-0.0362</v>
      </c>
      <c r="K120" s="797" t="n">
        <v>-0.0366</v>
      </c>
      <c r="L120" s="456" t="n">
        <f aca="false">'Exogenous tax and expenses'!F120+SUM('Exogenous tax and expenses'!Q55:S55)+'Exogenous tax and expenses'!W55+'Exogenous tax and expenses'!U55+('Cuenta Ahorro-Inversión-Financi'!L33-'Cuenta Ahorro-Inversión-Financi'!CH33)/1000/'PIB corriente base 2004'!X21-SUM('Exogenous tax and expenses'!Y55:AC55)</f>
        <v>-0.0288520423850263</v>
      </c>
      <c r="M120" s="456" t="n">
        <f aca="false">'Exogenous tax and expenses'!G120+SUM('Exogenous tax and expenses'!Q55:S55)+'Exogenous tax and expenses'!W55+'Exogenous tax and expenses'!U55+('Cuenta Ahorro-Inversión-Financi'!L33-'Cuenta Ahorro-Inversión-Financi'!CH33)/1000/'PIB corriente base 2004'!X21-SUM('Exogenous tax and expenses'!Y55:AC55)</f>
        <v>-0.0293520423850263</v>
      </c>
      <c r="N120" s="456" t="n">
        <f aca="false">'Exogenous tax and expenses'!H120+SUM('Exogenous tax and expenses'!Q55:S55)+'Exogenous tax and expenses'!W55+'Exogenous tax and expenses'!U55+('Cuenta Ahorro-Inversión-Financi'!L33-'Cuenta Ahorro-Inversión-Financi'!CH33)/1000/'PIB corriente base 2004'!X21-SUM('Exogenous tax and expenses'!Y55:AC55)</f>
        <v>-0.0287520423850263</v>
      </c>
      <c r="O120" s="456" t="n">
        <f aca="false">'Exogenous tax and expenses'!I120+SUM('Exogenous tax and expenses'!Q55:S55)+'Exogenous tax and expenses'!W55+'Exogenous tax and expenses'!U55+('Cuenta Ahorro-Inversión-Financi'!L33-'Cuenta Ahorro-Inversión-Financi'!CH33)/1000/'PIB corriente base 2004'!X21-SUM('Exogenous tax and expenses'!Y55:AC55)</f>
        <v>-0.0292520423850263</v>
      </c>
      <c r="P120" s="456" t="n">
        <f aca="false">'Exogenous tax and expenses'!J120+SUM('Exogenous tax and expenses'!Q55:S55)+'Exogenous tax and expenses'!W55+'Exogenous tax and expenses'!U55+('Cuenta Ahorro-Inversión-Financi'!L33-'Cuenta Ahorro-Inversión-Financi'!CH33)/1000/'PIB corriente base 2004'!X21-SUM('Exogenous tax and expenses'!Y55:AC55)</f>
        <v>-0.0286520423850263</v>
      </c>
      <c r="Q120" s="456" t="n">
        <f aca="false">'Exogenous tax and expenses'!K120+SUM('Exogenous tax and expenses'!Q55:S55)+'Exogenous tax and expenses'!W55+'Exogenous tax and expenses'!U55+('Cuenta Ahorro-Inversión-Financi'!L33-'Cuenta Ahorro-Inversión-Financi'!CH33)/1000/'PIB corriente base 2004'!X21-SUM('Exogenous tax and expenses'!Y55:AC55)</f>
        <v>-0.0290520423850263</v>
      </c>
      <c r="R120" s="1"/>
      <c r="S120" s="1"/>
      <c r="T120" s="1"/>
      <c r="U120" s="1"/>
      <c r="V120" s="1"/>
      <c r="W120" s="1"/>
      <c r="X120" s="1"/>
      <c r="Y120" s="1"/>
      <c r="Z120" s="1"/>
      <c r="AA120" s="1"/>
    </row>
    <row r="121" customFormat="false" ht="15" hidden="false" customHeight="false" outlineLevel="0" collapsed="false">
      <c r="B121" s="801"/>
      <c r="C121" s="1" t="n">
        <v>2018</v>
      </c>
      <c r="D121" s="1"/>
      <c r="E121" s="1"/>
      <c r="F121" s="797" t="n">
        <v>-0.0335</v>
      </c>
      <c r="G121" s="797" t="n">
        <v>-0.0344</v>
      </c>
      <c r="H121" s="802" t="n">
        <v>-0.0325</v>
      </c>
      <c r="I121" s="802" t="n">
        <v>-0.0333</v>
      </c>
      <c r="J121" s="797" t="n">
        <v>-0.0313</v>
      </c>
      <c r="K121" s="797" t="n">
        <v>-0.0321</v>
      </c>
      <c r="L121" s="456" t="n">
        <f aca="false">'Exogenous tax and expenses'!F121+SUM('Exogenous tax and expenses'!R121:V121)-SUM('Exogenous tax and expenses'!X121:AA121)</f>
        <v>-0.0105841705851162</v>
      </c>
      <c r="M121" s="456" t="n">
        <f aca="false">'Exogenous tax and expenses'!G121+SUM('Exogenous tax and expenses'!R121:V121)-SUM('Exogenous tax and expenses'!X121:AA121)</f>
        <v>-0.0114841705851162</v>
      </c>
      <c r="N121" s="456" t="n">
        <f aca="false">'Exogenous tax and expenses'!H121+SUM('Exogenous tax and expenses'!R121:V121)-SUM('Exogenous tax and expenses'!X121:AA121)</f>
        <v>-0.00958417058511621</v>
      </c>
      <c r="O121" s="456" t="n">
        <f aca="false">'Exogenous tax and expenses'!I121+SUM('Exogenous tax and expenses'!R121:V121)-SUM('Exogenous tax and expenses'!X121:AA121)</f>
        <v>-0.0103841705851162</v>
      </c>
      <c r="P121" s="456" t="n">
        <f aca="false">'Exogenous tax and expenses'!J121+SUM('Exogenous tax and expenses'!R121:V121)-SUM('Exogenous tax and expenses'!X121:AA121)</f>
        <v>-0.00838417058511621</v>
      </c>
      <c r="Q121" s="456" t="n">
        <f aca="false">'Exogenous tax and expenses'!K121+SUM('Exogenous tax and expenses'!R121:V121)-SUM('Exogenous tax and expenses'!X121:AA121)</f>
        <v>-0.0091841705851162</v>
      </c>
      <c r="R121" s="456" t="n">
        <f aca="false">S60</f>
        <v>0.00718984456547109</v>
      </c>
      <c r="S121" s="456" t="n">
        <f aca="false">T60</f>
        <v>0.00264884044328671</v>
      </c>
      <c r="T121" s="456" t="n">
        <f aca="false">U60</f>
        <v>0.000158610557119791</v>
      </c>
      <c r="U121" s="456" t="n">
        <f aca="false">Q88</f>
        <v>0.0103842634031112</v>
      </c>
      <c r="V121" s="456" t="n">
        <f aca="false">W60</f>
        <v>0.0155521600563946</v>
      </c>
      <c r="W121" s="456"/>
      <c r="X121" s="456" t="n">
        <f aca="false">Y60</f>
        <v>0.00191293753744961</v>
      </c>
      <c r="Y121" s="456" t="n">
        <f aca="false">AA60</f>
        <v>0.00262755013399756</v>
      </c>
      <c r="Z121" s="456" t="n">
        <f aca="false">AB60</f>
        <v>0.00695203916219706</v>
      </c>
      <c r="AA121" s="456" t="n">
        <f aca="false">AC60</f>
        <v>0.00152536277685544</v>
      </c>
    </row>
    <row r="122" customFormat="false" ht="15" hidden="false" customHeight="false" outlineLevel="0" collapsed="false">
      <c r="B122" s="801" t="s">
        <v>1065</v>
      </c>
      <c r="C122" s="1" t="n">
        <f aca="false">'Exogenous tax and expenses'!C121+1</f>
        <v>2019</v>
      </c>
      <c r="D122" s="1"/>
      <c r="E122" s="1"/>
      <c r="F122" s="797" t="n">
        <v>-0.0356</v>
      </c>
      <c r="G122" s="797" t="n">
        <v>-0.0369</v>
      </c>
      <c r="H122" s="802" t="n">
        <v>-0.0331</v>
      </c>
      <c r="I122" s="802" t="n">
        <v>-0.0344</v>
      </c>
      <c r="J122" s="797" t="n">
        <v>-0.0312</v>
      </c>
      <c r="K122" s="797" t="n">
        <v>-0.0325</v>
      </c>
      <c r="L122" s="456" t="n">
        <f aca="false">'Exogenous tax and expenses'!F122+SUM('Exogenous tax and expenses'!R122:V122)-SUM('Exogenous tax and expenses'!X122:AA122)</f>
        <v>-0.0126841705851162</v>
      </c>
      <c r="M122" s="456" t="n">
        <f aca="false">'Exogenous tax and expenses'!G122+SUM('Exogenous tax and expenses'!R122:V122)-SUM('Exogenous tax and expenses'!X122:AA122)</f>
        <v>-0.0139841705851162</v>
      </c>
      <c r="N122" s="456" t="n">
        <f aca="false">'Exogenous tax and expenses'!H122+SUM('Exogenous tax and expenses'!R122:V122)-SUM('Exogenous tax and expenses'!X122:AA122)</f>
        <v>-0.0101841705851162</v>
      </c>
      <c r="O122" s="456" t="n">
        <f aca="false">'Exogenous tax and expenses'!I122+SUM('Exogenous tax and expenses'!R122:V122)-SUM('Exogenous tax and expenses'!X122:AA122)</f>
        <v>-0.0114841705851162</v>
      </c>
      <c r="P122" s="456" t="n">
        <f aca="false">'Exogenous tax and expenses'!J122+SUM('Exogenous tax and expenses'!R122:V122)-SUM('Exogenous tax and expenses'!X122:AA122)</f>
        <v>-0.00828417058511621</v>
      </c>
      <c r="Q122" s="456" t="n">
        <f aca="false">'Exogenous tax and expenses'!K122+SUM('Exogenous tax and expenses'!R122:V122)-SUM('Exogenous tax and expenses'!X122:AA122)</f>
        <v>-0.00958417058511621</v>
      </c>
      <c r="R122" s="456" t="n">
        <f aca="false">'Exogenous tax and expenses'!R121</f>
        <v>0.00718984456547109</v>
      </c>
      <c r="S122" s="456" t="n">
        <f aca="false">'Exogenous tax and expenses'!S121</f>
        <v>0.00264884044328671</v>
      </c>
      <c r="T122" s="790" t="n">
        <f aca="false">'Exogenous tax and expenses'!T121</f>
        <v>0.000158610557119791</v>
      </c>
      <c r="U122" s="456" t="n">
        <f aca="false">U121</f>
        <v>0.0103842634031112</v>
      </c>
      <c r="V122" s="790" t="n">
        <f aca="false">'Exogenous tax and expenses'!V121</f>
        <v>0.0155521600563946</v>
      </c>
      <c r="W122" s="790"/>
      <c r="X122" s="790" t="n">
        <f aca="false">'Exogenous tax and expenses'!X121</f>
        <v>0.00191293753744961</v>
      </c>
      <c r="Y122" s="456" t="n">
        <f aca="false">'Exogenous tax and expenses'!Y121</f>
        <v>0.00262755013399756</v>
      </c>
      <c r="Z122" s="456" t="n">
        <f aca="false">'Exogenous tax and expenses'!Z121</f>
        <v>0.00695203916219706</v>
      </c>
      <c r="AA122" s="456" t="n">
        <f aca="false">'Exogenous tax and expenses'!AA121</f>
        <v>0.00152536277685544</v>
      </c>
    </row>
    <row r="123" customFormat="false" ht="15" hidden="false" customHeight="false" outlineLevel="0" collapsed="false">
      <c r="B123" s="801"/>
      <c r="C123" s="1" t="n">
        <f aca="false">'Exogenous tax and expenses'!C122+1</f>
        <v>2020</v>
      </c>
      <c r="D123" s="1"/>
      <c r="E123" s="1"/>
      <c r="F123" s="797" t="n">
        <v>-0.0371</v>
      </c>
      <c r="G123" s="797" t="n">
        <v>-0.0389</v>
      </c>
      <c r="H123" s="802" t="n">
        <v>-0.0342</v>
      </c>
      <c r="I123" s="802" t="n">
        <v>-0.0359</v>
      </c>
      <c r="J123" s="797" t="n">
        <v>-0.0324</v>
      </c>
      <c r="K123" s="797" t="n">
        <v>-0.0342</v>
      </c>
      <c r="L123" s="456" t="n">
        <f aca="false">'Exogenous tax and expenses'!F123+SUM('Exogenous tax and expenses'!R123:V123)-SUM('Exogenous tax and expenses'!X123:AA123)</f>
        <v>-0.0141841705851162</v>
      </c>
      <c r="M123" s="456" t="n">
        <f aca="false">'Exogenous tax and expenses'!G123+SUM('Exogenous tax and expenses'!R123:V123)-SUM('Exogenous tax and expenses'!X123:AA123)</f>
        <v>-0.0159841705851162</v>
      </c>
      <c r="N123" s="456" t="n">
        <f aca="false">'Exogenous tax and expenses'!H123+SUM('Exogenous tax and expenses'!R123:V123)-SUM('Exogenous tax and expenses'!X123:AA123)</f>
        <v>-0.0112841705851162</v>
      </c>
      <c r="O123" s="456" t="n">
        <f aca="false">'Exogenous tax and expenses'!I123+SUM('Exogenous tax and expenses'!R123:V123)-SUM('Exogenous tax and expenses'!X123:AA123)</f>
        <v>-0.0129841705851162</v>
      </c>
      <c r="P123" s="456" t="n">
        <f aca="false">'Exogenous tax and expenses'!J123+SUM('Exogenous tax and expenses'!R123:V123)-SUM('Exogenous tax and expenses'!X123:AA123)</f>
        <v>-0.0094841705851162</v>
      </c>
      <c r="Q123" s="456" t="n">
        <f aca="false">'Exogenous tax and expenses'!K123+SUM('Exogenous tax and expenses'!R123:V123)-SUM('Exogenous tax and expenses'!X123:AA123)</f>
        <v>-0.0112841705851162</v>
      </c>
      <c r="R123" s="456" t="n">
        <f aca="false">'Exogenous tax and expenses'!R122</f>
        <v>0.00718984456547109</v>
      </c>
      <c r="S123" s="456" t="n">
        <f aca="false">'Exogenous tax and expenses'!S122</f>
        <v>0.00264884044328671</v>
      </c>
      <c r="T123" s="790" t="n">
        <f aca="false">'Exogenous tax and expenses'!T122</f>
        <v>0.000158610557119791</v>
      </c>
      <c r="U123" s="456" t="n">
        <f aca="false">U122</f>
        <v>0.0103842634031112</v>
      </c>
      <c r="V123" s="790" t="n">
        <f aca="false">'Exogenous tax and expenses'!V122</f>
        <v>0.0155521600563946</v>
      </c>
      <c r="W123" s="790"/>
      <c r="X123" s="790" t="n">
        <f aca="false">'Exogenous tax and expenses'!X122</f>
        <v>0.00191293753744961</v>
      </c>
      <c r="Y123" s="456" t="n">
        <f aca="false">'Exogenous tax and expenses'!Y122</f>
        <v>0.00262755013399756</v>
      </c>
      <c r="Z123" s="456" t="n">
        <f aca="false">'Exogenous tax and expenses'!Z122</f>
        <v>0.00695203916219706</v>
      </c>
      <c r="AA123" s="456" t="n">
        <f aca="false">'Exogenous tax and expenses'!AA122</f>
        <v>0.00152536277685544</v>
      </c>
    </row>
    <row r="124" customFormat="false" ht="15" hidden="false" customHeight="false" outlineLevel="0" collapsed="false">
      <c r="B124" s="801"/>
      <c r="C124" s="1" t="n">
        <f aca="false">'Exogenous tax and expenses'!C123+1</f>
        <v>2021</v>
      </c>
      <c r="D124" s="1"/>
      <c r="E124" s="1"/>
      <c r="F124" s="797" t="n">
        <v>-0.0373</v>
      </c>
      <c r="G124" s="797" t="n">
        <v>-0.0395</v>
      </c>
      <c r="H124" s="802" t="n">
        <v>-0.0336</v>
      </c>
      <c r="I124" s="802" t="n">
        <v>-0.0357</v>
      </c>
      <c r="J124" s="797" t="n">
        <v>-0.0309</v>
      </c>
      <c r="K124" s="797" t="n">
        <v>-0.033</v>
      </c>
      <c r="L124" s="456" t="n">
        <f aca="false">'Exogenous tax and expenses'!F124+SUM('Exogenous tax and expenses'!R124:V124)-SUM('Exogenous tax and expenses'!X124:AA124)</f>
        <v>-0.0143841705851162</v>
      </c>
      <c r="M124" s="456" t="n">
        <f aca="false">'Exogenous tax and expenses'!G124+SUM('Exogenous tax and expenses'!R124:V124)-SUM('Exogenous tax and expenses'!X124:AA124)</f>
        <v>-0.0165841705851162</v>
      </c>
      <c r="N124" s="456" t="n">
        <f aca="false">'Exogenous tax and expenses'!H124+SUM('Exogenous tax and expenses'!R124:V124)-SUM('Exogenous tax and expenses'!X124:AA124)</f>
        <v>-0.0106841705851162</v>
      </c>
      <c r="O124" s="456" t="n">
        <f aca="false">'Exogenous tax and expenses'!I124+SUM('Exogenous tax and expenses'!R124:V124)-SUM('Exogenous tax and expenses'!X124:AA124)</f>
        <v>-0.0127841705851162</v>
      </c>
      <c r="P124" s="456" t="n">
        <f aca="false">'Exogenous tax and expenses'!J124+SUM('Exogenous tax and expenses'!R124:V124)-SUM('Exogenous tax and expenses'!X124:AA124)</f>
        <v>-0.00798417058511621</v>
      </c>
      <c r="Q124" s="456" t="n">
        <f aca="false">'Exogenous tax and expenses'!K124+SUM('Exogenous tax and expenses'!R124:V124)-SUM('Exogenous tax and expenses'!X124:AA124)</f>
        <v>-0.0100841705851162</v>
      </c>
      <c r="R124" s="456" t="n">
        <f aca="false">'Exogenous tax and expenses'!R123</f>
        <v>0.00718984456547109</v>
      </c>
      <c r="S124" s="456" t="n">
        <f aca="false">'Exogenous tax and expenses'!S123</f>
        <v>0.00264884044328671</v>
      </c>
      <c r="T124" s="790" t="n">
        <f aca="false">'Exogenous tax and expenses'!T123</f>
        <v>0.000158610557119791</v>
      </c>
      <c r="U124" s="456" t="n">
        <f aca="false">U123</f>
        <v>0.0103842634031112</v>
      </c>
      <c r="V124" s="790" t="n">
        <f aca="false">'Exogenous tax and expenses'!V123</f>
        <v>0.0155521600563946</v>
      </c>
      <c r="W124" s="790"/>
      <c r="X124" s="790" t="n">
        <f aca="false">'Exogenous tax and expenses'!X123</f>
        <v>0.00191293753744961</v>
      </c>
      <c r="Y124" s="456" t="n">
        <f aca="false">'Exogenous tax and expenses'!Y123</f>
        <v>0.00262755013399756</v>
      </c>
      <c r="Z124" s="456" t="n">
        <f aca="false">'Exogenous tax and expenses'!Z123</f>
        <v>0.00695203916219706</v>
      </c>
      <c r="AA124" s="456" t="n">
        <f aca="false">'Exogenous tax and expenses'!AA123</f>
        <v>0.00152536277685544</v>
      </c>
    </row>
    <row r="125" customFormat="false" ht="15" hidden="false" customHeight="false" outlineLevel="0" collapsed="false">
      <c r="B125" s="801"/>
      <c r="C125" s="1" t="n">
        <f aca="false">'Exogenous tax and expenses'!C124+1</f>
        <v>2022</v>
      </c>
      <c r="D125" s="1"/>
      <c r="E125" s="1"/>
      <c r="F125" s="797" t="n">
        <v>-0.0369</v>
      </c>
      <c r="G125" s="797" t="n">
        <v>-0.0396</v>
      </c>
      <c r="H125" s="802" t="n">
        <v>-0.0328</v>
      </c>
      <c r="I125" s="802" t="n">
        <v>-0.0354</v>
      </c>
      <c r="J125" s="797" t="n">
        <v>-0.0298</v>
      </c>
      <c r="K125" s="797" t="n">
        <v>-0.0324</v>
      </c>
      <c r="L125" s="456" t="n">
        <f aca="false">'Exogenous tax and expenses'!F125+SUM('Exogenous tax and expenses'!R125:V125)-SUM('Exogenous tax and expenses'!X125:AA125)</f>
        <v>-0.0139841705851162</v>
      </c>
      <c r="M125" s="456" t="n">
        <f aca="false">'Exogenous tax and expenses'!G125+SUM('Exogenous tax and expenses'!R125:V125)-SUM('Exogenous tax and expenses'!X125:AA125)</f>
        <v>-0.0166841705851162</v>
      </c>
      <c r="N125" s="456" t="n">
        <f aca="false">'Exogenous tax and expenses'!H125+SUM('Exogenous tax and expenses'!R125:V125)-SUM('Exogenous tax and expenses'!X125:AA125)</f>
        <v>-0.00988417058511621</v>
      </c>
      <c r="O125" s="456" t="n">
        <f aca="false">'Exogenous tax and expenses'!I125+SUM('Exogenous tax and expenses'!R125:V125)-SUM('Exogenous tax and expenses'!X125:AA125)</f>
        <v>-0.0124841705851162</v>
      </c>
      <c r="P125" s="456" t="n">
        <f aca="false">'Exogenous tax and expenses'!J125+SUM('Exogenous tax and expenses'!R125:V125)-SUM('Exogenous tax and expenses'!X125:AA125)</f>
        <v>-0.00688417058511621</v>
      </c>
      <c r="Q125" s="456" t="n">
        <f aca="false">'Exogenous tax and expenses'!K125+SUM('Exogenous tax and expenses'!R125:V125)-SUM('Exogenous tax and expenses'!X125:AA125)</f>
        <v>-0.0094841705851162</v>
      </c>
      <c r="R125" s="456" t="n">
        <f aca="false">'Exogenous tax and expenses'!R124</f>
        <v>0.00718984456547109</v>
      </c>
      <c r="S125" s="456" t="n">
        <f aca="false">'Exogenous tax and expenses'!S124</f>
        <v>0.00264884044328671</v>
      </c>
      <c r="T125" s="790" t="n">
        <f aca="false">'Exogenous tax and expenses'!T124</f>
        <v>0.000158610557119791</v>
      </c>
      <c r="U125" s="456" t="n">
        <f aca="false">U124</f>
        <v>0.0103842634031112</v>
      </c>
      <c r="V125" s="790" t="n">
        <f aca="false">'Exogenous tax and expenses'!V124</f>
        <v>0.0155521600563946</v>
      </c>
      <c r="W125" s="790"/>
      <c r="X125" s="790" t="n">
        <f aca="false">'Exogenous tax and expenses'!X124</f>
        <v>0.00191293753744961</v>
      </c>
      <c r="Y125" s="456" t="n">
        <f aca="false">'Exogenous tax and expenses'!Y124</f>
        <v>0.00262755013399756</v>
      </c>
      <c r="Z125" s="456" t="n">
        <f aca="false">'Exogenous tax and expenses'!Z124</f>
        <v>0.00695203916219706</v>
      </c>
      <c r="AA125" s="456" t="n">
        <f aca="false">'Exogenous tax and expenses'!AA124</f>
        <v>0.00152536277685544</v>
      </c>
    </row>
    <row r="126" customFormat="false" ht="15" hidden="false" customHeight="false" outlineLevel="0" collapsed="false">
      <c r="B126" s="801"/>
      <c r="C126" s="1" t="n">
        <f aca="false">'Exogenous tax and expenses'!C125+1</f>
        <v>2023</v>
      </c>
      <c r="D126" s="1"/>
      <c r="E126" s="1"/>
      <c r="F126" s="797" t="n">
        <v>-0.0366</v>
      </c>
      <c r="G126" s="797" t="n">
        <v>-0.0397</v>
      </c>
      <c r="H126" s="802" t="n">
        <v>-0.0317</v>
      </c>
      <c r="I126" s="802" t="n">
        <v>-0.0348</v>
      </c>
      <c r="J126" s="797" t="n">
        <v>-0.0283</v>
      </c>
      <c r="K126" s="797" t="n">
        <v>-0.0313</v>
      </c>
      <c r="L126" s="456" t="n">
        <f aca="false">'Exogenous tax and expenses'!F126+SUM('Exogenous tax and expenses'!R126:V126)-SUM('Exogenous tax and expenses'!X126:AA126)</f>
        <v>-0.0136841705851162</v>
      </c>
      <c r="M126" s="456" t="n">
        <f aca="false">'Exogenous tax and expenses'!G126+SUM('Exogenous tax and expenses'!R126:V126)-SUM('Exogenous tax and expenses'!X126:AA126)</f>
        <v>-0.0167841705851162</v>
      </c>
      <c r="N126" s="456" t="n">
        <f aca="false">'Exogenous tax and expenses'!H126+SUM('Exogenous tax and expenses'!R126:V126)-SUM('Exogenous tax and expenses'!X126:AA126)</f>
        <v>-0.0087841705851162</v>
      </c>
      <c r="O126" s="456" t="n">
        <f aca="false">'Exogenous tax and expenses'!I126+SUM('Exogenous tax and expenses'!R126:V126)-SUM('Exogenous tax and expenses'!X126:AA126)</f>
        <v>-0.0118841705851162</v>
      </c>
      <c r="P126" s="456" t="n">
        <f aca="false">'Exogenous tax and expenses'!J126+SUM('Exogenous tax and expenses'!R126:V126)-SUM('Exogenous tax and expenses'!X126:AA126)</f>
        <v>-0.00538417058511621</v>
      </c>
      <c r="Q126" s="456" t="n">
        <f aca="false">'Exogenous tax and expenses'!K126+SUM('Exogenous tax and expenses'!R126:V126)-SUM('Exogenous tax and expenses'!X126:AA126)</f>
        <v>-0.00838417058511621</v>
      </c>
      <c r="R126" s="456" t="n">
        <f aca="false">'Exogenous tax and expenses'!R125</f>
        <v>0.00718984456547109</v>
      </c>
      <c r="S126" s="456" t="n">
        <f aca="false">'Exogenous tax and expenses'!S125</f>
        <v>0.00264884044328671</v>
      </c>
      <c r="T126" s="790" t="n">
        <f aca="false">'Exogenous tax and expenses'!T125</f>
        <v>0.000158610557119791</v>
      </c>
      <c r="U126" s="456" t="n">
        <f aca="false">U125</f>
        <v>0.0103842634031112</v>
      </c>
      <c r="V126" s="790" t="n">
        <f aca="false">'Exogenous tax and expenses'!V125</f>
        <v>0.0155521600563946</v>
      </c>
      <c r="W126" s="790"/>
      <c r="X126" s="790" t="n">
        <f aca="false">'Exogenous tax and expenses'!X125</f>
        <v>0.00191293753744961</v>
      </c>
      <c r="Y126" s="456" t="n">
        <f aca="false">'Exogenous tax and expenses'!Y125</f>
        <v>0.00262755013399756</v>
      </c>
      <c r="Z126" s="456" t="n">
        <f aca="false">'Exogenous tax and expenses'!Z125</f>
        <v>0.00695203916219706</v>
      </c>
      <c r="AA126" s="456" t="n">
        <f aca="false">'Exogenous tax and expenses'!AA125</f>
        <v>0.00152536277685544</v>
      </c>
    </row>
    <row r="127" customFormat="false" ht="15" hidden="false" customHeight="false" outlineLevel="0" collapsed="false">
      <c r="B127" s="801"/>
      <c r="C127" s="1" t="n">
        <f aca="false">'Exogenous tax and expenses'!C126+1</f>
        <v>2024</v>
      </c>
      <c r="D127" s="1"/>
      <c r="E127" s="1"/>
      <c r="F127" s="797" t="n">
        <v>-0.0358</v>
      </c>
      <c r="G127" s="797" t="n">
        <v>-0.0394</v>
      </c>
      <c r="H127" s="798" t="n">
        <v>-0.0316</v>
      </c>
      <c r="I127" s="798" t="n">
        <v>-0.0353</v>
      </c>
      <c r="J127" s="797" t="n">
        <v>-0.0279</v>
      </c>
      <c r="K127" s="797" t="n">
        <v>-0.0314</v>
      </c>
      <c r="L127" s="456" t="n">
        <f aca="false">'Exogenous tax and expenses'!F127+SUM('Exogenous tax and expenses'!R127:V127)-SUM('Exogenous tax and expenses'!X127:AA127)</f>
        <v>-0.0128841705851162</v>
      </c>
      <c r="M127" s="456" t="n">
        <f aca="false">'Exogenous tax and expenses'!G127+SUM('Exogenous tax and expenses'!R127:V127)-SUM('Exogenous tax and expenses'!X127:AA127)</f>
        <v>-0.0164841705851162</v>
      </c>
      <c r="N127" s="456" t="n">
        <f aca="false">'Exogenous tax and expenses'!H127+SUM('Exogenous tax and expenses'!R127:V127)-SUM('Exogenous tax and expenses'!X127:AA127)</f>
        <v>-0.00868417058511621</v>
      </c>
      <c r="O127" s="456" t="n">
        <f aca="false">'Exogenous tax and expenses'!I127+SUM('Exogenous tax and expenses'!R127:V127)-SUM('Exogenous tax and expenses'!X127:AA127)</f>
        <v>-0.0123841705851162</v>
      </c>
      <c r="P127" s="456" t="n">
        <f aca="false">'Exogenous tax and expenses'!J127+SUM('Exogenous tax and expenses'!R127:V127)-SUM('Exogenous tax and expenses'!X127:AA127)</f>
        <v>-0.00498417058511621</v>
      </c>
      <c r="Q127" s="456" t="n">
        <f aca="false">'Exogenous tax and expenses'!K127+SUM('Exogenous tax and expenses'!R127:V127)-SUM('Exogenous tax and expenses'!X127:AA127)</f>
        <v>-0.0084841705851162</v>
      </c>
      <c r="R127" s="456" t="n">
        <f aca="false">'Exogenous tax and expenses'!R126</f>
        <v>0.00718984456547109</v>
      </c>
      <c r="S127" s="456" t="n">
        <f aca="false">'Exogenous tax and expenses'!S126</f>
        <v>0.00264884044328671</v>
      </c>
      <c r="T127" s="790" t="n">
        <f aca="false">'Exogenous tax and expenses'!T126</f>
        <v>0.000158610557119791</v>
      </c>
      <c r="U127" s="456" t="n">
        <f aca="false">U126</f>
        <v>0.0103842634031112</v>
      </c>
      <c r="V127" s="790" t="n">
        <f aca="false">'Exogenous tax and expenses'!V126</f>
        <v>0.0155521600563946</v>
      </c>
      <c r="W127" s="790"/>
      <c r="X127" s="790" t="n">
        <f aca="false">'Exogenous tax and expenses'!X126</f>
        <v>0.00191293753744961</v>
      </c>
      <c r="Y127" s="456" t="n">
        <f aca="false">'Exogenous tax and expenses'!Y126</f>
        <v>0.00262755013399756</v>
      </c>
      <c r="Z127" s="456" t="n">
        <f aca="false">'Exogenous tax and expenses'!Z126</f>
        <v>0.00695203916219706</v>
      </c>
      <c r="AA127" s="456" t="n">
        <f aca="false">'Exogenous tax and expenses'!AA126</f>
        <v>0.00152536277685544</v>
      </c>
    </row>
    <row r="128" customFormat="false" ht="15" hidden="false" customHeight="false" outlineLevel="0" collapsed="false">
      <c r="B128" s="801"/>
      <c r="C128" s="1" t="n">
        <f aca="false">'Exogenous tax and expenses'!C127+1</f>
        <v>2025</v>
      </c>
      <c r="D128" s="1"/>
      <c r="E128" s="1"/>
      <c r="F128" s="797" t="n">
        <v>-0.0353</v>
      </c>
      <c r="G128" s="797" t="n">
        <v>-0.0403</v>
      </c>
      <c r="H128" s="803" t="n">
        <v>-0.0309</v>
      </c>
      <c r="I128" s="803" t="n">
        <v>-0.0358</v>
      </c>
      <c r="J128" s="797" t="n">
        <v>-0.027</v>
      </c>
      <c r="K128" s="797" t="n">
        <v>-0.0317</v>
      </c>
      <c r="L128" s="456" t="n">
        <f aca="false">'Exogenous tax and expenses'!F128+SUM('Exogenous tax and expenses'!R128:V128)-SUM('Exogenous tax and expenses'!X128:AA128)</f>
        <v>-0.0123841705851162</v>
      </c>
      <c r="M128" s="456" t="n">
        <f aca="false">'Exogenous tax and expenses'!G128+SUM('Exogenous tax and expenses'!R128:V128)-SUM('Exogenous tax and expenses'!X128:AA128)</f>
        <v>-0.0173841705851162</v>
      </c>
      <c r="N128" s="456" t="n">
        <f aca="false">'Exogenous tax and expenses'!H128+SUM('Exogenous tax and expenses'!R128:V128)-SUM('Exogenous tax and expenses'!X128:AA128)</f>
        <v>-0.00798417058511621</v>
      </c>
      <c r="O128" s="456" t="n">
        <f aca="false">'Exogenous tax and expenses'!I128+SUM('Exogenous tax and expenses'!R128:V128)-SUM('Exogenous tax and expenses'!X128:AA128)</f>
        <v>-0.0128841705851162</v>
      </c>
      <c r="P128" s="456" t="n">
        <f aca="false">'Exogenous tax and expenses'!J128+SUM('Exogenous tax and expenses'!R128:V128)-SUM('Exogenous tax and expenses'!X128:AA128)</f>
        <v>-0.00408417058511621</v>
      </c>
      <c r="Q128" s="456" t="n">
        <f aca="false">'Exogenous tax and expenses'!K128+SUM('Exogenous tax and expenses'!R128:V128)-SUM('Exogenous tax and expenses'!X128:AA128)</f>
        <v>-0.0087841705851162</v>
      </c>
      <c r="R128" s="456" t="n">
        <f aca="false">'Exogenous tax and expenses'!R127</f>
        <v>0.00718984456547109</v>
      </c>
      <c r="S128" s="456" t="n">
        <f aca="false">'Exogenous tax and expenses'!S127</f>
        <v>0.00264884044328671</v>
      </c>
      <c r="T128" s="790" t="n">
        <f aca="false">'Exogenous tax and expenses'!T127</f>
        <v>0.000158610557119791</v>
      </c>
      <c r="U128" s="456" t="n">
        <f aca="false">U127</f>
        <v>0.0103842634031112</v>
      </c>
      <c r="V128" s="790" t="n">
        <f aca="false">'Exogenous tax and expenses'!V127</f>
        <v>0.0155521600563946</v>
      </c>
      <c r="W128" s="790"/>
      <c r="X128" s="790" t="n">
        <f aca="false">'Exogenous tax and expenses'!X127</f>
        <v>0.00191293753744961</v>
      </c>
      <c r="Y128" s="456" t="n">
        <f aca="false">'Exogenous tax and expenses'!Y127</f>
        <v>0.00262755013399756</v>
      </c>
      <c r="Z128" s="456" t="n">
        <f aca="false">'Exogenous tax and expenses'!Z127</f>
        <v>0.00695203916219706</v>
      </c>
      <c r="AA128" s="456" t="n">
        <f aca="false">'Exogenous tax and expenses'!AA127</f>
        <v>0.00152536277685544</v>
      </c>
    </row>
    <row r="129" customFormat="false" ht="15" hidden="false" customHeight="false" outlineLevel="0" collapsed="false">
      <c r="B129" s="801"/>
      <c r="C129" s="1" t="n">
        <f aca="false">'Exogenous tax and expenses'!C128+1</f>
        <v>2026</v>
      </c>
      <c r="D129" s="1"/>
      <c r="E129" s="1"/>
      <c r="F129" s="797" t="n">
        <v>-0.0354</v>
      </c>
      <c r="G129" s="797" t="n">
        <v>-0.0417</v>
      </c>
      <c r="H129" s="803" t="n">
        <v>-0.0305</v>
      </c>
      <c r="I129" s="803" t="n">
        <v>-0.0368</v>
      </c>
      <c r="J129" s="797" t="n">
        <v>-0.0261</v>
      </c>
      <c r="K129" s="797" t="n">
        <v>-0.0321</v>
      </c>
      <c r="L129" s="456" t="n">
        <f aca="false">'Exogenous tax and expenses'!F129+SUM('Exogenous tax and expenses'!R129:V129)-SUM('Exogenous tax and expenses'!X129:AA129)</f>
        <v>-0.0124841705851162</v>
      </c>
      <c r="M129" s="456" t="n">
        <f aca="false">'Exogenous tax and expenses'!G129+SUM('Exogenous tax and expenses'!R129:V129)-SUM('Exogenous tax and expenses'!X129:AA129)</f>
        <v>-0.0187841705851162</v>
      </c>
      <c r="N129" s="456" t="n">
        <f aca="false">'Exogenous tax and expenses'!H129+SUM('Exogenous tax and expenses'!R129:V129)-SUM('Exogenous tax and expenses'!X129:AA129)</f>
        <v>-0.00758417058511621</v>
      </c>
      <c r="O129" s="456" t="n">
        <f aca="false">'Exogenous tax and expenses'!I129+SUM('Exogenous tax and expenses'!R129:V129)-SUM('Exogenous tax and expenses'!X129:AA129)</f>
        <v>-0.0138841705851162</v>
      </c>
      <c r="P129" s="456" t="n">
        <f aca="false">'Exogenous tax and expenses'!J129+SUM('Exogenous tax and expenses'!R129:V129)-SUM('Exogenous tax and expenses'!X129:AA129)</f>
        <v>-0.00318417058511621</v>
      </c>
      <c r="Q129" s="456" t="n">
        <f aca="false">'Exogenous tax and expenses'!K129+SUM('Exogenous tax and expenses'!R129:V129)-SUM('Exogenous tax and expenses'!X129:AA129)</f>
        <v>-0.0091841705851162</v>
      </c>
      <c r="R129" s="456" t="n">
        <f aca="false">'Exogenous tax and expenses'!R128</f>
        <v>0.00718984456547109</v>
      </c>
      <c r="S129" s="456" t="n">
        <f aca="false">'Exogenous tax and expenses'!S128</f>
        <v>0.00264884044328671</v>
      </c>
      <c r="T129" s="790" t="n">
        <f aca="false">'Exogenous tax and expenses'!T128</f>
        <v>0.000158610557119791</v>
      </c>
      <c r="U129" s="456" t="n">
        <f aca="false">U128</f>
        <v>0.0103842634031112</v>
      </c>
      <c r="V129" s="790" t="n">
        <f aca="false">'Exogenous tax and expenses'!V128</f>
        <v>0.0155521600563946</v>
      </c>
      <c r="W129" s="790"/>
      <c r="X129" s="790" t="n">
        <f aca="false">'Exogenous tax and expenses'!X128</f>
        <v>0.00191293753744961</v>
      </c>
      <c r="Y129" s="456" t="n">
        <f aca="false">'Exogenous tax and expenses'!Y128</f>
        <v>0.00262755013399756</v>
      </c>
      <c r="Z129" s="456" t="n">
        <f aca="false">'Exogenous tax and expenses'!Z128</f>
        <v>0.00695203916219706</v>
      </c>
      <c r="AA129" s="456" t="n">
        <f aca="false">'Exogenous tax and expenses'!AA128</f>
        <v>0.00152536277685544</v>
      </c>
    </row>
    <row r="130" customFormat="false" ht="15" hidden="false" customHeight="false" outlineLevel="0" collapsed="false">
      <c r="B130" s="801"/>
      <c r="C130" s="1" t="n">
        <f aca="false">'Exogenous tax and expenses'!C129+1</f>
        <v>2027</v>
      </c>
      <c r="D130" s="1"/>
      <c r="E130" s="1"/>
      <c r="F130" s="797" t="n">
        <v>-0.0349</v>
      </c>
      <c r="G130" s="797" t="n">
        <v>-0.0426</v>
      </c>
      <c r="H130" s="803" t="n">
        <v>-0.0299</v>
      </c>
      <c r="I130" s="803" t="n">
        <v>-0.0377</v>
      </c>
      <c r="J130" s="797" t="n">
        <v>-0.0246</v>
      </c>
      <c r="K130" s="797" t="n">
        <v>-0.032</v>
      </c>
      <c r="L130" s="456" t="n">
        <f aca="false">'Exogenous tax and expenses'!F130+SUM('Exogenous tax and expenses'!R130:V130)-SUM('Exogenous tax and expenses'!X130:AA130)</f>
        <v>-0.0119841705851162</v>
      </c>
      <c r="M130" s="456" t="n">
        <f aca="false">'Exogenous tax and expenses'!G130+SUM('Exogenous tax and expenses'!R130:V130)-SUM('Exogenous tax and expenses'!X130:AA130)</f>
        <v>-0.0196841705851162</v>
      </c>
      <c r="N130" s="456" t="n">
        <f aca="false">'Exogenous tax and expenses'!H130+SUM('Exogenous tax and expenses'!R130:V130)-SUM('Exogenous tax and expenses'!X130:AA130)</f>
        <v>-0.00698417058511621</v>
      </c>
      <c r="O130" s="456" t="n">
        <f aca="false">'Exogenous tax and expenses'!I130+SUM('Exogenous tax and expenses'!R130:V130)-SUM('Exogenous tax and expenses'!X130:AA130)</f>
        <v>-0.0147841705851162</v>
      </c>
      <c r="P130" s="456" t="n">
        <f aca="false">'Exogenous tax and expenses'!J130+SUM('Exogenous tax and expenses'!R130:V130)-SUM('Exogenous tax and expenses'!X130:AA130)</f>
        <v>-0.00168417058511621</v>
      </c>
      <c r="Q130" s="456" t="n">
        <f aca="false">'Exogenous tax and expenses'!K130+SUM('Exogenous tax and expenses'!R130:V130)-SUM('Exogenous tax and expenses'!X130:AA130)</f>
        <v>-0.00908417058511621</v>
      </c>
      <c r="R130" s="456" t="n">
        <f aca="false">'Exogenous tax and expenses'!R129</f>
        <v>0.00718984456547109</v>
      </c>
      <c r="S130" s="456" t="n">
        <f aca="false">'Exogenous tax and expenses'!S129</f>
        <v>0.00264884044328671</v>
      </c>
      <c r="T130" s="790" t="n">
        <f aca="false">'Exogenous tax and expenses'!T129</f>
        <v>0.000158610557119791</v>
      </c>
      <c r="U130" s="456" t="n">
        <f aca="false">U129</f>
        <v>0.0103842634031112</v>
      </c>
      <c r="V130" s="790" t="n">
        <f aca="false">'Exogenous tax and expenses'!V129</f>
        <v>0.0155521600563946</v>
      </c>
      <c r="W130" s="790"/>
      <c r="X130" s="790" t="n">
        <f aca="false">'Exogenous tax and expenses'!X129</f>
        <v>0.00191293753744961</v>
      </c>
      <c r="Y130" s="456" t="n">
        <f aca="false">'Exogenous tax and expenses'!Y129</f>
        <v>0.00262755013399756</v>
      </c>
      <c r="Z130" s="456" t="n">
        <f aca="false">'Exogenous tax and expenses'!Z129</f>
        <v>0.00695203916219706</v>
      </c>
      <c r="AA130" s="456" t="n">
        <f aca="false">'Exogenous tax and expenses'!AA129</f>
        <v>0.00152536277685544</v>
      </c>
    </row>
    <row r="131" customFormat="false" ht="15" hidden="false" customHeight="false" outlineLevel="0" collapsed="false">
      <c r="B131" s="801"/>
      <c r="C131" s="1" t="n">
        <f aca="false">'Exogenous tax and expenses'!C130+1</f>
        <v>2028</v>
      </c>
      <c r="D131" s="1"/>
      <c r="E131" s="1"/>
      <c r="F131" s="797" t="n">
        <v>-0.0338</v>
      </c>
      <c r="G131" s="797" t="n">
        <v>-0.043</v>
      </c>
      <c r="H131" s="803" t="n">
        <v>-0.0283</v>
      </c>
      <c r="I131" s="803" t="n">
        <v>-0.0375</v>
      </c>
      <c r="J131" s="797" t="n">
        <v>-0.0226</v>
      </c>
      <c r="K131" s="797" t="n">
        <v>-0.0314</v>
      </c>
      <c r="L131" s="456" t="n">
        <f aca="false">'Exogenous tax and expenses'!F131+SUM('Exogenous tax and expenses'!R131:V131)-SUM('Exogenous tax and expenses'!X131:AA131)</f>
        <v>-0.00935880780826076</v>
      </c>
      <c r="M131" s="456" t="n">
        <f aca="false">'Exogenous tax and expenses'!G131+SUM('Exogenous tax and expenses'!R131:V131)-SUM('Exogenous tax and expenses'!X131:AA131)</f>
        <v>-0.0185588078082608</v>
      </c>
      <c r="N131" s="456" t="n">
        <f aca="false">'Exogenous tax and expenses'!H131+SUM('Exogenous tax and expenses'!R131:V131)-SUM('Exogenous tax and expenses'!X131:AA131)</f>
        <v>-0.00385880780826077</v>
      </c>
      <c r="O131" s="456" t="n">
        <f aca="false">'Exogenous tax and expenses'!I131+SUM('Exogenous tax and expenses'!R131:V131)-SUM('Exogenous tax and expenses'!X131:AA131)</f>
        <v>-0.0130588078082608</v>
      </c>
      <c r="P131" s="456" t="n">
        <f aca="false">'Exogenous tax and expenses'!J131+SUM('Exogenous tax and expenses'!R131:V131)-SUM('Exogenous tax and expenses'!X131:AA131)</f>
        <v>0.00184119219173924</v>
      </c>
      <c r="Q131" s="456" t="n">
        <f aca="false">'Exogenous tax and expenses'!K131+SUM('Exogenous tax and expenses'!R131:V131)-SUM('Exogenous tax and expenses'!X131:AA131)</f>
        <v>-0.00695880780826076</v>
      </c>
      <c r="R131" s="456" t="n">
        <f aca="false">'Exogenous tax and expenses'!R130</f>
        <v>0.00718984456547109</v>
      </c>
      <c r="S131" s="456" t="n">
        <f aca="false">'Exogenous tax and expenses'!S130</f>
        <v>0.00264884044328671</v>
      </c>
      <c r="T131" s="790" t="n">
        <f aca="false">'Exogenous tax and expenses'!T130</f>
        <v>0.000158610557119791</v>
      </c>
      <c r="U131" s="456" t="n">
        <f aca="false">U130</f>
        <v>0.0103842634031112</v>
      </c>
      <c r="V131" s="790" t="n">
        <f aca="false">'Exogenous tax and expenses'!V130</f>
        <v>0.0155521600563946</v>
      </c>
      <c r="W131" s="790"/>
      <c r="X131" s="790" t="n">
        <f aca="false">'Exogenous tax and expenses'!X130</f>
        <v>0.00191293753744961</v>
      </c>
      <c r="Y131" s="456" t="n">
        <f aca="false">'Exogenous tax and expenses'!Y130</f>
        <v>0.00262755013399756</v>
      </c>
      <c r="Z131" s="456" t="n">
        <f aca="false">'Exogenous tax and expenses'!Z130</f>
        <v>0.00695203916219706</v>
      </c>
      <c r="AA131" s="1" t="n">
        <v>0</v>
      </c>
    </row>
    <row r="132" customFormat="false" ht="15" hidden="false" customHeight="false" outlineLevel="0" collapsed="false">
      <c r="B132" s="801"/>
      <c r="C132" s="1" t="n">
        <f aca="false">'Exogenous tax and expenses'!C131+1</f>
        <v>2029</v>
      </c>
      <c r="D132" s="1"/>
      <c r="E132" s="1"/>
      <c r="F132" s="797" t="n">
        <v>-0.0328</v>
      </c>
      <c r="G132" s="797" t="n">
        <v>-0.0433</v>
      </c>
      <c r="H132" s="803" t="n">
        <v>-0.0273</v>
      </c>
      <c r="I132" s="803" t="n">
        <v>-0.0377</v>
      </c>
      <c r="J132" s="797" t="n">
        <v>-0.0212</v>
      </c>
      <c r="K132" s="797" t="n">
        <v>-0.0312</v>
      </c>
      <c r="L132" s="456" t="n">
        <f aca="false">'Exogenous tax and expenses'!F132+SUM('Exogenous tax and expenses'!R132:V132)-SUM('Exogenous tax and expenses'!X132:AA132)</f>
        <v>-0.00835880780826077</v>
      </c>
      <c r="M132" s="456" t="n">
        <f aca="false">'Exogenous tax and expenses'!G132+SUM('Exogenous tax and expenses'!R132:V132)-SUM('Exogenous tax and expenses'!X132:AA132)</f>
        <v>-0.0188588078082608</v>
      </c>
      <c r="N132" s="456" t="n">
        <f aca="false">'Exogenous tax and expenses'!H132+SUM('Exogenous tax and expenses'!R132:V132)-SUM('Exogenous tax and expenses'!X132:AA132)</f>
        <v>-0.00285880780826076</v>
      </c>
      <c r="O132" s="456" t="n">
        <f aca="false">'Exogenous tax and expenses'!I132+SUM('Exogenous tax and expenses'!R132:V132)-SUM('Exogenous tax and expenses'!X132:AA132)</f>
        <v>-0.0132588078082608</v>
      </c>
      <c r="P132" s="456" t="n">
        <f aca="false">'Exogenous tax and expenses'!J132+SUM('Exogenous tax and expenses'!R132:V132)-SUM('Exogenous tax and expenses'!X132:AA132)</f>
        <v>0.00324119219173924</v>
      </c>
      <c r="Q132" s="456" t="n">
        <f aca="false">'Exogenous tax and expenses'!K132+SUM('Exogenous tax and expenses'!R132:V132)-SUM('Exogenous tax and expenses'!X132:AA132)</f>
        <v>-0.00675880780826077</v>
      </c>
      <c r="R132" s="456" t="n">
        <f aca="false">'Exogenous tax and expenses'!R131</f>
        <v>0.00718984456547109</v>
      </c>
      <c r="S132" s="456" t="n">
        <f aca="false">'Exogenous tax and expenses'!S131</f>
        <v>0.00264884044328671</v>
      </c>
      <c r="T132" s="790" t="n">
        <f aca="false">'Exogenous tax and expenses'!T131</f>
        <v>0.000158610557119791</v>
      </c>
      <c r="U132" s="456" t="n">
        <f aca="false">U131</f>
        <v>0.0103842634031112</v>
      </c>
      <c r="V132" s="790" t="n">
        <f aca="false">'Exogenous tax and expenses'!V131</f>
        <v>0.0155521600563946</v>
      </c>
      <c r="W132" s="790"/>
      <c r="X132" s="790" t="n">
        <f aca="false">'Exogenous tax and expenses'!X131</f>
        <v>0.00191293753744961</v>
      </c>
      <c r="Y132" s="456" t="n">
        <f aca="false">'Exogenous tax and expenses'!Y131</f>
        <v>0.00262755013399756</v>
      </c>
      <c r="Z132" s="456" t="n">
        <f aca="false">'Exogenous tax and expenses'!Z131</f>
        <v>0.00695203916219706</v>
      </c>
      <c r="AA132" s="1" t="n">
        <v>0</v>
      </c>
    </row>
    <row r="133" customFormat="false" ht="15" hidden="false" customHeight="false" outlineLevel="0" collapsed="false">
      <c r="B133" s="801"/>
      <c r="C133" s="1" t="n">
        <f aca="false">'Exogenous tax and expenses'!C132+1</f>
        <v>2030</v>
      </c>
      <c r="D133" s="1"/>
      <c r="E133" s="1"/>
      <c r="F133" s="797" t="n">
        <v>-0.0328</v>
      </c>
      <c r="G133" s="797" t="n">
        <v>-0.0445</v>
      </c>
      <c r="H133" s="803" t="n">
        <v>-0.0271</v>
      </c>
      <c r="I133" s="803" t="n">
        <v>-0.0388</v>
      </c>
      <c r="J133" s="797" t="n">
        <v>-0.0212</v>
      </c>
      <c r="K133" s="797" t="n">
        <v>-0.0323</v>
      </c>
      <c r="L133" s="456" t="n">
        <f aca="false">'Exogenous tax and expenses'!F133+SUM('Exogenous tax and expenses'!R133:V133)-SUM('Exogenous tax and expenses'!X133:AA133)</f>
        <v>-0.00835880780826077</v>
      </c>
      <c r="M133" s="456" t="n">
        <f aca="false">'Exogenous tax and expenses'!G133+SUM('Exogenous tax and expenses'!R133:V133)-SUM('Exogenous tax and expenses'!X133:AA133)</f>
        <v>-0.0200588078082608</v>
      </c>
      <c r="N133" s="456" t="n">
        <f aca="false">'Exogenous tax and expenses'!H133+SUM('Exogenous tax and expenses'!R133:V133)-SUM('Exogenous tax and expenses'!X133:AA133)</f>
        <v>-0.00265880780826076</v>
      </c>
      <c r="O133" s="456" t="n">
        <f aca="false">'Exogenous tax and expenses'!I133+SUM('Exogenous tax and expenses'!R133:V133)-SUM('Exogenous tax and expenses'!X133:AA133)</f>
        <v>-0.0143588078082608</v>
      </c>
      <c r="P133" s="456" t="n">
        <f aca="false">'Exogenous tax and expenses'!J133+SUM('Exogenous tax and expenses'!R133:V133)-SUM('Exogenous tax and expenses'!X133:AA133)</f>
        <v>0.00324119219173924</v>
      </c>
      <c r="Q133" s="456" t="n">
        <f aca="false">'Exogenous tax and expenses'!K133+SUM('Exogenous tax and expenses'!R133:V133)-SUM('Exogenous tax and expenses'!X133:AA133)</f>
        <v>-0.00785880780826077</v>
      </c>
      <c r="R133" s="456" t="n">
        <f aca="false">'Exogenous tax and expenses'!R132</f>
        <v>0.00718984456547109</v>
      </c>
      <c r="S133" s="456" t="n">
        <f aca="false">'Exogenous tax and expenses'!S132</f>
        <v>0.00264884044328671</v>
      </c>
      <c r="T133" s="790" t="n">
        <f aca="false">'Exogenous tax and expenses'!T132</f>
        <v>0.000158610557119791</v>
      </c>
      <c r="U133" s="456" t="n">
        <f aca="false">U132</f>
        <v>0.0103842634031112</v>
      </c>
      <c r="V133" s="790" t="n">
        <f aca="false">'Exogenous tax and expenses'!V132</f>
        <v>0.0155521600563946</v>
      </c>
      <c r="W133" s="790"/>
      <c r="X133" s="790" t="n">
        <f aca="false">'Exogenous tax and expenses'!X132</f>
        <v>0.00191293753744961</v>
      </c>
      <c r="Y133" s="456" t="n">
        <f aca="false">'Exogenous tax and expenses'!Y132</f>
        <v>0.00262755013399756</v>
      </c>
      <c r="Z133" s="456" t="n">
        <f aca="false">'Exogenous tax and expenses'!Z132</f>
        <v>0.00695203916219706</v>
      </c>
      <c r="AA133" s="1" t="n">
        <v>0</v>
      </c>
    </row>
    <row r="134" customFormat="false" ht="15" hidden="false" customHeight="false" outlineLevel="0" collapsed="false">
      <c r="B134" s="801"/>
      <c r="C134" s="1" t="n">
        <f aca="false">'Exogenous tax and expenses'!C133+1</f>
        <v>2031</v>
      </c>
      <c r="D134" s="1"/>
      <c r="E134" s="1"/>
      <c r="F134" s="797" t="n">
        <v>-0.0316</v>
      </c>
      <c r="G134" s="797" t="n">
        <v>-0.0446</v>
      </c>
      <c r="H134" s="803" t="n">
        <v>-0.0271</v>
      </c>
      <c r="I134" s="803" t="n">
        <v>-0.0397</v>
      </c>
      <c r="J134" s="797" t="n">
        <v>-0.0213</v>
      </c>
      <c r="K134" s="797" t="n">
        <v>-0.0335</v>
      </c>
      <c r="L134" s="456" t="n">
        <f aca="false">'Exogenous tax and expenses'!F134+SUM('Exogenous tax and expenses'!R134:V134)-SUM('Exogenous tax and expenses'!X134:AA134)</f>
        <v>-0.00715880780826077</v>
      </c>
      <c r="M134" s="456" t="n">
        <f aca="false">'Exogenous tax and expenses'!G134+SUM('Exogenous tax and expenses'!R134:V134)-SUM('Exogenous tax and expenses'!X134:AA134)</f>
        <v>-0.0201588078082608</v>
      </c>
      <c r="N134" s="456" t="n">
        <f aca="false">'Exogenous tax and expenses'!H134+SUM('Exogenous tax and expenses'!R134:V134)-SUM('Exogenous tax and expenses'!X134:AA134)</f>
        <v>-0.00265880780826076</v>
      </c>
      <c r="O134" s="456" t="n">
        <f aca="false">'Exogenous tax and expenses'!I134+SUM('Exogenous tax and expenses'!R134:V134)-SUM('Exogenous tax and expenses'!X134:AA134)</f>
        <v>-0.0152588078082608</v>
      </c>
      <c r="P134" s="456" t="n">
        <f aca="false">'Exogenous tax and expenses'!J134+SUM('Exogenous tax and expenses'!R134:V134)-SUM('Exogenous tax and expenses'!X134:AA134)</f>
        <v>0.00314119219173924</v>
      </c>
      <c r="Q134" s="456" t="n">
        <f aca="false">'Exogenous tax and expenses'!K134+SUM('Exogenous tax and expenses'!R134:V134)-SUM('Exogenous tax and expenses'!X134:AA134)</f>
        <v>-0.00905880780826077</v>
      </c>
      <c r="R134" s="456" t="n">
        <f aca="false">'Exogenous tax and expenses'!R133</f>
        <v>0.00718984456547109</v>
      </c>
      <c r="S134" s="456" t="n">
        <f aca="false">'Exogenous tax and expenses'!S133</f>
        <v>0.00264884044328671</v>
      </c>
      <c r="T134" s="790" t="n">
        <f aca="false">'Exogenous tax and expenses'!T133</f>
        <v>0.000158610557119791</v>
      </c>
      <c r="U134" s="456" t="n">
        <f aca="false">U133</f>
        <v>0.0103842634031112</v>
      </c>
      <c r="V134" s="790" t="n">
        <f aca="false">'Exogenous tax and expenses'!V133</f>
        <v>0.0155521600563946</v>
      </c>
      <c r="W134" s="790"/>
      <c r="X134" s="790" t="n">
        <f aca="false">'Exogenous tax and expenses'!X133</f>
        <v>0.00191293753744961</v>
      </c>
      <c r="Y134" s="456" t="n">
        <f aca="false">'Exogenous tax and expenses'!Y133</f>
        <v>0.00262755013399756</v>
      </c>
      <c r="Z134" s="456" t="n">
        <f aca="false">'Exogenous tax and expenses'!Z133</f>
        <v>0.00695203916219706</v>
      </c>
      <c r="AA134" s="1" t="n">
        <v>0</v>
      </c>
    </row>
    <row r="135" customFormat="false" ht="15" hidden="false" customHeight="false" outlineLevel="0" collapsed="false">
      <c r="B135" s="801"/>
      <c r="C135" s="1" t="n">
        <f aca="false">'Exogenous tax and expenses'!C134+1</f>
        <v>2032</v>
      </c>
      <c r="D135" s="1"/>
      <c r="E135" s="1"/>
      <c r="F135" s="797" t="n">
        <v>-0.0315</v>
      </c>
      <c r="G135" s="797" t="n">
        <v>-0.0458</v>
      </c>
      <c r="H135" s="803" t="n">
        <v>-0.0279</v>
      </c>
      <c r="I135" s="803" t="n">
        <v>-0.0417</v>
      </c>
      <c r="J135" s="797" t="n">
        <v>-0.0221</v>
      </c>
      <c r="K135" s="797" t="n">
        <v>-0.0355</v>
      </c>
      <c r="L135" s="456" t="n">
        <f aca="false">'Exogenous tax and expenses'!F135+SUM('Exogenous tax and expenses'!R135:V135)-SUM('Exogenous tax and expenses'!X135:AA135)</f>
        <v>-0.00705880780826076</v>
      </c>
      <c r="M135" s="456" t="n">
        <f aca="false">'Exogenous tax and expenses'!G135+SUM('Exogenous tax and expenses'!R135:V135)-SUM('Exogenous tax and expenses'!X135:AA135)</f>
        <v>-0.0213588078082608</v>
      </c>
      <c r="N135" s="456" t="n">
        <f aca="false">'Exogenous tax and expenses'!H135+SUM('Exogenous tax and expenses'!R135:V135)-SUM('Exogenous tax and expenses'!X135:AA135)</f>
        <v>-0.00345880780826077</v>
      </c>
      <c r="O135" s="456" t="n">
        <f aca="false">'Exogenous tax and expenses'!I135+SUM('Exogenous tax and expenses'!R135:V135)-SUM('Exogenous tax and expenses'!X135:AA135)</f>
        <v>-0.0172588078082608</v>
      </c>
      <c r="P135" s="456" t="n">
        <f aca="false">'Exogenous tax and expenses'!J135+SUM('Exogenous tax and expenses'!R135:V135)-SUM('Exogenous tax and expenses'!X135:AA135)</f>
        <v>0.00234119219173923</v>
      </c>
      <c r="Q135" s="456" t="n">
        <f aca="false">'Exogenous tax and expenses'!K135+SUM('Exogenous tax and expenses'!R135:V135)-SUM('Exogenous tax and expenses'!X135:AA135)</f>
        <v>-0.0110588078082608</v>
      </c>
      <c r="R135" s="456" t="n">
        <f aca="false">'Exogenous tax and expenses'!R134</f>
        <v>0.00718984456547109</v>
      </c>
      <c r="S135" s="456" t="n">
        <f aca="false">'Exogenous tax and expenses'!S134</f>
        <v>0.00264884044328671</v>
      </c>
      <c r="T135" s="790" t="n">
        <f aca="false">'Exogenous tax and expenses'!T134</f>
        <v>0.000158610557119791</v>
      </c>
      <c r="U135" s="456" t="n">
        <f aca="false">U134</f>
        <v>0.0103842634031112</v>
      </c>
      <c r="V135" s="790" t="n">
        <f aca="false">'Exogenous tax and expenses'!V134</f>
        <v>0.0155521600563946</v>
      </c>
      <c r="W135" s="790"/>
      <c r="X135" s="790" t="n">
        <f aca="false">'Exogenous tax and expenses'!X134</f>
        <v>0.00191293753744961</v>
      </c>
      <c r="Y135" s="456" t="n">
        <f aca="false">'Exogenous tax and expenses'!Y134</f>
        <v>0.00262755013399756</v>
      </c>
      <c r="Z135" s="456" t="n">
        <f aca="false">'Exogenous tax and expenses'!Z134</f>
        <v>0.00695203916219706</v>
      </c>
      <c r="AA135" s="1" t="n">
        <v>0</v>
      </c>
    </row>
    <row r="136" customFormat="false" ht="15" hidden="false" customHeight="false" outlineLevel="0" collapsed="false">
      <c r="B136" s="801"/>
      <c r="C136" s="1" t="n">
        <f aca="false">'Exogenous tax and expenses'!C135+1</f>
        <v>2033</v>
      </c>
      <c r="D136" s="1"/>
      <c r="E136" s="1"/>
      <c r="F136" s="797" t="n">
        <v>-0.0315</v>
      </c>
      <c r="G136" s="797" t="n">
        <v>-0.047</v>
      </c>
      <c r="H136" s="803" t="n">
        <v>-0.0289</v>
      </c>
      <c r="I136" s="803" t="n">
        <v>-0.044</v>
      </c>
      <c r="J136" s="797" t="n">
        <v>-0.0222</v>
      </c>
      <c r="K136" s="797" t="n">
        <v>-0.0367</v>
      </c>
      <c r="L136" s="456" t="n">
        <f aca="false">'Exogenous tax and expenses'!F136+SUM('Exogenous tax and expenses'!R136:V136)-SUM('Exogenous tax and expenses'!X136:AA136)</f>
        <v>-0.00705880780826076</v>
      </c>
      <c r="M136" s="456" t="n">
        <f aca="false">'Exogenous tax and expenses'!G136+SUM('Exogenous tax and expenses'!R136:V136)-SUM('Exogenous tax and expenses'!X136:AA136)</f>
        <v>-0.0225588078082608</v>
      </c>
      <c r="N136" s="456" t="n">
        <f aca="false">'Exogenous tax and expenses'!H136+SUM('Exogenous tax and expenses'!R136:V136)-SUM('Exogenous tax and expenses'!X136:AA136)</f>
        <v>-0.00445880780826076</v>
      </c>
      <c r="O136" s="456" t="n">
        <f aca="false">'Exogenous tax and expenses'!I136+SUM('Exogenous tax and expenses'!R136:V136)-SUM('Exogenous tax and expenses'!X136:AA136)</f>
        <v>-0.0195588078082608</v>
      </c>
      <c r="P136" s="456" t="n">
        <f aca="false">'Exogenous tax and expenses'!J136+SUM('Exogenous tax and expenses'!R136:V136)-SUM('Exogenous tax and expenses'!X136:AA136)</f>
        <v>0.00224119219173923</v>
      </c>
      <c r="Q136" s="456" t="n">
        <f aca="false">'Exogenous tax and expenses'!K136+SUM('Exogenous tax and expenses'!R136:V136)-SUM('Exogenous tax and expenses'!X136:AA136)</f>
        <v>-0.0122588078082608</v>
      </c>
      <c r="R136" s="456" t="n">
        <f aca="false">'Exogenous tax and expenses'!R135</f>
        <v>0.00718984456547109</v>
      </c>
      <c r="S136" s="456" t="n">
        <f aca="false">'Exogenous tax and expenses'!S135</f>
        <v>0.00264884044328671</v>
      </c>
      <c r="T136" s="790" t="n">
        <f aca="false">'Exogenous tax and expenses'!T135</f>
        <v>0.000158610557119791</v>
      </c>
      <c r="U136" s="456" t="n">
        <f aca="false">U135</f>
        <v>0.0103842634031112</v>
      </c>
      <c r="V136" s="790" t="n">
        <f aca="false">'Exogenous tax and expenses'!V135</f>
        <v>0.0155521600563946</v>
      </c>
      <c r="W136" s="790"/>
      <c r="X136" s="790" t="n">
        <f aca="false">'Exogenous tax and expenses'!X135</f>
        <v>0.00191293753744961</v>
      </c>
      <c r="Y136" s="456" t="n">
        <f aca="false">'Exogenous tax and expenses'!Y135</f>
        <v>0.00262755013399756</v>
      </c>
      <c r="Z136" s="456" t="n">
        <f aca="false">'Exogenous tax and expenses'!Z135</f>
        <v>0.00695203916219706</v>
      </c>
      <c r="AA136" s="1" t="n">
        <v>0</v>
      </c>
    </row>
    <row r="137" customFormat="false" ht="15" hidden="false" customHeight="false" outlineLevel="0" collapsed="false">
      <c r="B137" s="801"/>
      <c r="C137" s="1" t="n">
        <f aca="false">'Exogenous tax and expenses'!C136+1</f>
        <v>2034</v>
      </c>
      <c r="D137" s="1"/>
      <c r="E137" s="1"/>
      <c r="F137" s="797" t="n">
        <v>-0.0314</v>
      </c>
      <c r="G137" s="797" t="n">
        <v>-0.0481</v>
      </c>
      <c r="H137" s="803" t="n">
        <v>-0.0293</v>
      </c>
      <c r="I137" s="803" t="n">
        <v>-0.0455</v>
      </c>
      <c r="J137" s="797" t="n">
        <v>-0.0219</v>
      </c>
      <c r="K137" s="797" t="n">
        <v>-0.0376</v>
      </c>
      <c r="L137" s="456" t="n">
        <f aca="false">'Exogenous tax and expenses'!F137+SUM('Exogenous tax and expenses'!R137:V137)-SUM('Exogenous tax and expenses'!X137:AA137)</f>
        <v>-0.00695880780826076</v>
      </c>
      <c r="M137" s="456" t="n">
        <f aca="false">'Exogenous tax and expenses'!G137+SUM('Exogenous tax and expenses'!R137:V137)-SUM('Exogenous tax and expenses'!X137:AA137)</f>
        <v>-0.0236588078082608</v>
      </c>
      <c r="N137" s="456" t="n">
        <f aca="false">'Exogenous tax and expenses'!H137+SUM('Exogenous tax and expenses'!R137:V137)-SUM('Exogenous tax and expenses'!X137:AA137)</f>
        <v>-0.00485880780826077</v>
      </c>
      <c r="O137" s="456" t="n">
        <f aca="false">'Exogenous tax and expenses'!I137+SUM('Exogenous tax and expenses'!R137:V137)-SUM('Exogenous tax and expenses'!X137:AA137)</f>
        <v>-0.0210588078082608</v>
      </c>
      <c r="P137" s="456" t="n">
        <f aca="false">'Exogenous tax and expenses'!J137+SUM('Exogenous tax and expenses'!R137:V137)-SUM('Exogenous tax and expenses'!X137:AA137)</f>
        <v>0.00254119219173924</v>
      </c>
      <c r="Q137" s="456" t="n">
        <f aca="false">'Exogenous tax and expenses'!K137+SUM('Exogenous tax and expenses'!R137:V137)-SUM('Exogenous tax and expenses'!X137:AA137)</f>
        <v>-0.0131588078082608</v>
      </c>
      <c r="R137" s="456" t="n">
        <f aca="false">'Exogenous tax and expenses'!R136</f>
        <v>0.00718984456547109</v>
      </c>
      <c r="S137" s="456" t="n">
        <f aca="false">'Exogenous tax and expenses'!S136</f>
        <v>0.00264884044328671</v>
      </c>
      <c r="T137" s="790" t="n">
        <f aca="false">'Exogenous tax and expenses'!T136</f>
        <v>0.000158610557119791</v>
      </c>
      <c r="U137" s="456" t="n">
        <f aca="false">U136</f>
        <v>0.0103842634031112</v>
      </c>
      <c r="V137" s="790" t="n">
        <f aca="false">'Exogenous tax and expenses'!V136</f>
        <v>0.0155521600563946</v>
      </c>
      <c r="W137" s="790"/>
      <c r="X137" s="790" t="n">
        <f aca="false">'Exogenous tax and expenses'!X136</f>
        <v>0.00191293753744961</v>
      </c>
      <c r="Y137" s="456" t="n">
        <f aca="false">'Exogenous tax and expenses'!Y136</f>
        <v>0.00262755013399756</v>
      </c>
      <c r="Z137" s="456" t="n">
        <f aca="false">'Exogenous tax and expenses'!Z136</f>
        <v>0.00695203916219706</v>
      </c>
      <c r="AA137" s="1" t="n">
        <v>0</v>
      </c>
    </row>
    <row r="138" customFormat="false" ht="15" hidden="false" customHeight="false" outlineLevel="0" collapsed="false">
      <c r="B138" s="801"/>
      <c r="C138" s="1" t="n">
        <f aca="false">'Exogenous tax and expenses'!C137+1</f>
        <v>2035</v>
      </c>
      <c r="D138" s="1"/>
      <c r="E138" s="1"/>
      <c r="F138" s="797" t="n">
        <v>-0.0315</v>
      </c>
      <c r="G138" s="797" t="n">
        <v>-0.0492</v>
      </c>
      <c r="H138" s="803" t="n">
        <v>-0.0296</v>
      </c>
      <c r="I138" s="803" t="n">
        <v>-0.0468</v>
      </c>
      <c r="J138" s="797" t="n">
        <v>-0.0221</v>
      </c>
      <c r="K138" s="797" t="n">
        <v>-0.0389</v>
      </c>
      <c r="L138" s="456" t="n">
        <f aca="false">'Exogenous tax and expenses'!F138+SUM('Exogenous tax and expenses'!R138:V138)-SUM('Exogenous tax and expenses'!X138:AA138)</f>
        <v>-0.00705880780826076</v>
      </c>
      <c r="M138" s="456" t="n">
        <f aca="false">'Exogenous tax and expenses'!G138+SUM('Exogenous tax and expenses'!R138:V138)-SUM('Exogenous tax and expenses'!X138:AA138)</f>
        <v>-0.0247588078082608</v>
      </c>
      <c r="N138" s="456" t="n">
        <f aca="false">'Exogenous tax and expenses'!H138+SUM('Exogenous tax and expenses'!R138:V138)-SUM('Exogenous tax and expenses'!X138:AA138)</f>
        <v>-0.00515880780826077</v>
      </c>
      <c r="O138" s="456" t="n">
        <f aca="false">'Exogenous tax and expenses'!I138+SUM('Exogenous tax and expenses'!R138:V138)-SUM('Exogenous tax and expenses'!X138:AA138)</f>
        <v>-0.0223588078082608</v>
      </c>
      <c r="P138" s="456" t="n">
        <f aca="false">'Exogenous tax and expenses'!J138+SUM('Exogenous tax and expenses'!R138:V138)-SUM('Exogenous tax and expenses'!X138:AA138)</f>
        <v>0.00234119219173923</v>
      </c>
      <c r="Q138" s="456" t="n">
        <f aca="false">'Exogenous tax and expenses'!K138+SUM('Exogenous tax and expenses'!R138:V138)-SUM('Exogenous tax and expenses'!X138:AA138)</f>
        <v>-0.0144588078082608</v>
      </c>
      <c r="R138" s="456" t="n">
        <f aca="false">'Exogenous tax and expenses'!R137</f>
        <v>0.00718984456547109</v>
      </c>
      <c r="S138" s="456" t="n">
        <f aca="false">'Exogenous tax and expenses'!S137</f>
        <v>0.00264884044328671</v>
      </c>
      <c r="T138" s="790" t="n">
        <f aca="false">'Exogenous tax and expenses'!T137</f>
        <v>0.000158610557119791</v>
      </c>
      <c r="U138" s="456" t="n">
        <f aca="false">U137</f>
        <v>0.0103842634031112</v>
      </c>
      <c r="V138" s="790" t="n">
        <f aca="false">'Exogenous tax and expenses'!V137</f>
        <v>0.0155521600563946</v>
      </c>
      <c r="W138" s="790"/>
      <c r="X138" s="790" t="n">
        <f aca="false">'Exogenous tax and expenses'!X137</f>
        <v>0.00191293753744961</v>
      </c>
      <c r="Y138" s="456" t="n">
        <f aca="false">'Exogenous tax and expenses'!Y137</f>
        <v>0.00262755013399756</v>
      </c>
      <c r="Z138" s="456" t="n">
        <f aca="false">'Exogenous tax and expenses'!Z137</f>
        <v>0.00695203916219706</v>
      </c>
      <c r="AA138" s="1" t="n">
        <v>0</v>
      </c>
    </row>
    <row r="139" customFormat="false" ht="15" hidden="false" customHeight="false" outlineLevel="0" collapsed="false">
      <c r="B139" s="801"/>
      <c r="C139" s="1" t="n">
        <f aca="false">'Exogenous tax and expenses'!C138+1</f>
        <v>2036</v>
      </c>
      <c r="D139" s="1"/>
      <c r="E139" s="1"/>
      <c r="F139" s="797" t="n">
        <v>-0.0313</v>
      </c>
      <c r="G139" s="797" t="n">
        <v>-0.0504</v>
      </c>
      <c r="H139" s="803" t="n">
        <v>-0.0293</v>
      </c>
      <c r="I139" s="803" t="n">
        <v>-0.048</v>
      </c>
      <c r="J139" s="797" t="n">
        <v>-0.0218</v>
      </c>
      <c r="K139" s="797" t="n">
        <v>-0.0398</v>
      </c>
      <c r="L139" s="456" t="n">
        <f aca="false">'Exogenous tax and expenses'!F139+SUM('Exogenous tax and expenses'!R139:V139)-SUM('Exogenous tax and expenses'!X139:AA139)</f>
        <v>-0.00685880780826077</v>
      </c>
      <c r="M139" s="456" t="n">
        <f aca="false">'Exogenous tax and expenses'!G139+SUM('Exogenous tax and expenses'!R139:V139)-SUM('Exogenous tax and expenses'!X139:AA139)</f>
        <v>-0.0259588078082608</v>
      </c>
      <c r="N139" s="456" t="n">
        <f aca="false">'Exogenous tax and expenses'!H139+SUM('Exogenous tax and expenses'!R139:V139)-SUM('Exogenous tax and expenses'!X139:AA139)</f>
        <v>-0.00485880780826077</v>
      </c>
      <c r="O139" s="456" t="n">
        <f aca="false">'Exogenous tax and expenses'!I139+SUM('Exogenous tax and expenses'!R139:V139)-SUM('Exogenous tax and expenses'!X139:AA139)</f>
        <v>-0.0235588078082608</v>
      </c>
      <c r="P139" s="456" t="n">
        <f aca="false">'Exogenous tax and expenses'!J139+SUM('Exogenous tax and expenses'!R139:V139)-SUM('Exogenous tax and expenses'!X139:AA139)</f>
        <v>0.00264119219173923</v>
      </c>
      <c r="Q139" s="456" t="n">
        <f aca="false">'Exogenous tax and expenses'!K139+SUM('Exogenous tax and expenses'!R139:V139)-SUM('Exogenous tax and expenses'!X139:AA139)</f>
        <v>-0.0153588078082608</v>
      </c>
      <c r="R139" s="456" t="n">
        <f aca="false">'Exogenous tax and expenses'!R138</f>
        <v>0.00718984456547109</v>
      </c>
      <c r="S139" s="456" t="n">
        <f aca="false">'Exogenous tax and expenses'!S138</f>
        <v>0.00264884044328671</v>
      </c>
      <c r="T139" s="790" t="n">
        <f aca="false">'Exogenous tax and expenses'!T138</f>
        <v>0.000158610557119791</v>
      </c>
      <c r="U139" s="456" t="n">
        <f aca="false">U138</f>
        <v>0.0103842634031112</v>
      </c>
      <c r="V139" s="790" t="n">
        <f aca="false">'Exogenous tax and expenses'!V138</f>
        <v>0.0155521600563946</v>
      </c>
      <c r="W139" s="790"/>
      <c r="X139" s="790" t="n">
        <f aca="false">'Exogenous tax and expenses'!X138</f>
        <v>0.00191293753744961</v>
      </c>
      <c r="Y139" s="456" t="n">
        <f aca="false">'Exogenous tax and expenses'!Y138</f>
        <v>0.00262755013399756</v>
      </c>
      <c r="Z139" s="456" t="n">
        <f aca="false">'Exogenous tax and expenses'!Z138</f>
        <v>0.00695203916219706</v>
      </c>
      <c r="AA139" s="1" t="n">
        <v>0</v>
      </c>
    </row>
    <row r="140" customFormat="false" ht="15" hidden="false" customHeight="false" outlineLevel="0" collapsed="false">
      <c r="B140" s="801"/>
      <c r="C140" s="1" t="n">
        <f aca="false">'Exogenous tax and expenses'!C139+1</f>
        <v>2037</v>
      </c>
      <c r="D140" s="1"/>
      <c r="E140" s="1"/>
      <c r="F140" s="797" t="n">
        <v>-0.0305</v>
      </c>
      <c r="G140" s="797" t="n">
        <v>-0.0509</v>
      </c>
      <c r="H140" s="803" t="n">
        <v>-0.0284</v>
      </c>
      <c r="I140" s="803" t="n">
        <v>-0.0487</v>
      </c>
      <c r="J140" s="797" t="n">
        <v>-0.0221</v>
      </c>
      <c r="K140" s="797" t="n">
        <v>-0.0414</v>
      </c>
      <c r="L140" s="456" t="n">
        <f aca="false">'Exogenous tax and expenses'!F140+SUM('Exogenous tax and expenses'!R140:V140)-SUM('Exogenous tax and expenses'!X140:AA140)</f>
        <v>-0.00605880780826076</v>
      </c>
      <c r="M140" s="456" t="n">
        <f aca="false">'Exogenous tax and expenses'!G140+SUM('Exogenous tax and expenses'!R140:V140)-SUM('Exogenous tax and expenses'!X140:AA140)</f>
        <v>-0.0264588078082608</v>
      </c>
      <c r="N140" s="456" t="n">
        <f aca="false">'Exogenous tax and expenses'!H140+SUM('Exogenous tax and expenses'!R140:V140)-SUM('Exogenous tax and expenses'!X140:AA140)</f>
        <v>-0.00395880780826077</v>
      </c>
      <c r="O140" s="456" t="n">
        <f aca="false">'Exogenous tax and expenses'!I140+SUM('Exogenous tax and expenses'!R140:V140)-SUM('Exogenous tax and expenses'!X140:AA140)</f>
        <v>-0.0242588078082608</v>
      </c>
      <c r="P140" s="456" t="n">
        <f aca="false">'Exogenous tax and expenses'!J140+SUM('Exogenous tax and expenses'!R140:V140)-SUM('Exogenous tax and expenses'!X140:AA140)</f>
        <v>0.00234119219173923</v>
      </c>
      <c r="Q140" s="456" t="n">
        <f aca="false">'Exogenous tax and expenses'!K140+SUM('Exogenous tax and expenses'!R140:V140)-SUM('Exogenous tax and expenses'!X140:AA140)</f>
        <v>-0.0169588078082608</v>
      </c>
      <c r="R140" s="456" t="n">
        <f aca="false">'Exogenous tax and expenses'!R139</f>
        <v>0.00718984456547109</v>
      </c>
      <c r="S140" s="456" t="n">
        <f aca="false">'Exogenous tax and expenses'!S139</f>
        <v>0.00264884044328671</v>
      </c>
      <c r="T140" s="790" t="n">
        <f aca="false">'Exogenous tax and expenses'!T139</f>
        <v>0.000158610557119791</v>
      </c>
      <c r="U140" s="456" t="n">
        <f aca="false">U139</f>
        <v>0.0103842634031112</v>
      </c>
      <c r="V140" s="790" t="n">
        <f aca="false">'Exogenous tax and expenses'!V139</f>
        <v>0.0155521600563946</v>
      </c>
      <c r="W140" s="790"/>
      <c r="X140" s="790" t="n">
        <f aca="false">'Exogenous tax and expenses'!X139</f>
        <v>0.00191293753744961</v>
      </c>
      <c r="Y140" s="456" t="n">
        <f aca="false">'Exogenous tax and expenses'!Y139</f>
        <v>0.00262755013399756</v>
      </c>
      <c r="Z140" s="456" t="n">
        <f aca="false">'Exogenous tax and expenses'!Z139</f>
        <v>0.00695203916219706</v>
      </c>
      <c r="AA140" s="1" t="n">
        <v>0</v>
      </c>
    </row>
    <row r="141" customFormat="false" ht="15" hidden="false" customHeight="false" outlineLevel="0" collapsed="false">
      <c r="B141" s="801"/>
      <c r="C141" s="1" t="n">
        <f aca="false">'Exogenous tax and expenses'!C140+1</f>
        <v>2038</v>
      </c>
      <c r="D141" s="1"/>
      <c r="E141" s="1"/>
      <c r="F141" s="797" t="n">
        <v>-0.0305</v>
      </c>
      <c r="G141" s="797" t="n">
        <v>-0.0525</v>
      </c>
      <c r="H141" s="803" t="n">
        <v>-0.0291</v>
      </c>
      <c r="I141" s="803" t="n">
        <v>-0.0509</v>
      </c>
      <c r="J141" s="797" t="n">
        <v>-0.0221</v>
      </c>
      <c r="K141" s="797" t="n">
        <v>-0.0427</v>
      </c>
      <c r="L141" s="456" t="n">
        <f aca="false">'Exogenous tax and expenses'!F141+SUM('Exogenous tax and expenses'!R141:V141)-SUM('Exogenous tax and expenses'!X141:AA141)</f>
        <v>-0.00605880780826076</v>
      </c>
      <c r="M141" s="456" t="n">
        <f aca="false">'Exogenous tax and expenses'!G141+SUM('Exogenous tax and expenses'!R141:V141)-SUM('Exogenous tax and expenses'!X141:AA141)</f>
        <v>-0.0280588078082608</v>
      </c>
      <c r="N141" s="456" t="n">
        <f aca="false">'Exogenous tax and expenses'!H141+SUM('Exogenous tax and expenses'!R141:V141)-SUM('Exogenous tax and expenses'!X141:AA141)</f>
        <v>-0.00465880780826076</v>
      </c>
      <c r="O141" s="456" t="n">
        <f aca="false">'Exogenous tax and expenses'!I141+SUM('Exogenous tax and expenses'!R141:V141)-SUM('Exogenous tax and expenses'!X141:AA141)</f>
        <v>-0.0264588078082608</v>
      </c>
      <c r="P141" s="456" t="n">
        <f aca="false">'Exogenous tax and expenses'!J141+SUM('Exogenous tax and expenses'!R141:V141)-SUM('Exogenous tax and expenses'!X141:AA141)</f>
        <v>0.00234119219173923</v>
      </c>
      <c r="Q141" s="456" t="n">
        <f aca="false">'Exogenous tax and expenses'!K141+SUM('Exogenous tax and expenses'!R141:V141)-SUM('Exogenous tax and expenses'!X141:AA141)</f>
        <v>-0.0182588078082608</v>
      </c>
      <c r="R141" s="456" t="n">
        <f aca="false">'Exogenous tax and expenses'!R140</f>
        <v>0.00718984456547109</v>
      </c>
      <c r="S141" s="456" t="n">
        <f aca="false">'Exogenous tax and expenses'!S140</f>
        <v>0.00264884044328671</v>
      </c>
      <c r="T141" s="790" t="n">
        <f aca="false">'Exogenous tax and expenses'!T140</f>
        <v>0.000158610557119791</v>
      </c>
      <c r="U141" s="456" t="n">
        <f aca="false">U140</f>
        <v>0.0103842634031112</v>
      </c>
      <c r="V141" s="790" t="n">
        <f aca="false">'Exogenous tax and expenses'!V140</f>
        <v>0.0155521600563946</v>
      </c>
      <c r="W141" s="790"/>
      <c r="X141" s="790" t="n">
        <f aca="false">'Exogenous tax and expenses'!X140</f>
        <v>0.00191293753744961</v>
      </c>
      <c r="Y141" s="456" t="n">
        <f aca="false">'Exogenous tax and expenses'!Y140</f>
        <v>0.00262755013399756</v>
      </c>
      <c r="Z141" s="456" t="n">
        <f aca="false">'Exogenous tax and expenses'!Z140</f>
        <v>0.00695203916219706</v>
      </c>
      <c r="AA141" s="1" t="n">
        <v>0</v>
      </c>
    </row>
    <row r="142" customFormat="false" ht="15" hidden="false" customHeight="false" outlineLevel="0" collapsed="false">
      <c r="B142" s="801"/>
      <c r="C142" s="1" t="n">
        <f aca="false">'Exogenous tax and expenses'!C141+1</f>
        <v>2039</v>
      </c>
      <c r="D142" s="1"/>
      <c r="E142" s="1"/>
      <c r="F142" s="797" t="n">
        <v>-0.0299</v>
      </c>
      <c r="G142" s="797" t="n">
        <v>-0.0534</v>
      </c>
      <c r="H142" s="803" t="n">
        <v>-0.0293</v>
      </c>
      <c r="I142" s="803" t="n">
        <v>-0.0526</v>
      </c>
      <c r="J142" s="797" t="n">
        <v>-0.0226</v>
      </c>
      <c r="K142" s="797" t="n">
        <v>-0.0447</v>
      </c>
      <c r="L142" s="456" t="n">
        <f aca="false">'Exogenous tax and expenses'!F142+SUM('Exogenous tax and expenses'!R142:V142)-SUM('Exogenous tax and expenses'!X142:AA142)</f>
        <v>-0.00545880780826077</v>
      </c>
      <c r="M142" s="456" t="n">
        <f aca="false">'Exogenous tax and expenses'!G142+SUM('Exogenous tax and expenses'!R142:V142)-SUM('Exogenous tax and expenses'!X142:AA142)</f>
        <v>-0.0289588078082608</v>
      </c>
      <c r="N142" s="456" t="n">
        <f aca="false">'Exogenous tax and expenses'!H142+SUM('Exogenous tax and expenses'!R142:V142)-SUM('Exogenous tax and expenses'!X142:AA142)</f>
        <v>-0.00485880780826077</v>
      </c>
      <c r="O142" s="456" t="n">
        <f aca="false">'Exogenous tax and expenses'!I142+SUM('Exogenous tax and expenses'!R142:V142)-SUM('Exogenous tax and expenses'!X142:AA142)</f>
        <v>-0.0281588078082608</v>
      </c>
      <c r="P142" s="456" t="n">
        <f aca="false">'Exogenous tax and expenses'!J142+SUM('Exogenous tax and expenses'!R142:V142)-SUM('Exogenous tax and expenses'!X142:AA142)</f>
        <v>0.00184119219173924</v>
      </c>
      <c r="Q142" s="456" t="n">
        <f aca="false">'Exogenous tax and expenses'!K142+SUM('Exogenous tax and expenses'!R142:V142)-SUM('Exogenous tax and expenses'!X142:AA142)</f>
        <v>-0.0202588078082608</v>
      </c>
      <c r="R142" s="456" t="n">
        <f aca="false">'Exogenous tax and expenses'!R141</f>
        <v>0.00718984456547109</v>
      </c>
      <c r="S142" s="456" t="n">
        <f aca="false">'Exogenous tax and expenses'!S141</f>
        <v>0.00264884044328671</v>
      </c>
      <c r="T142" s="790" t="n">
        <f aca="false">'Exogenous tax and expenses'!T141</f>
        <v>0.000158610557119791</v>
      </c>
      <c r="U142" s="456" t="n">
        <f aca="false">U141</f>
        <v>0.0103842634031112</v>
      </c>
      <c r="V142" s="790" t="n">
        <f aca="false">'Exogenous tax and expenses'!V141</f>
        <v>0.0155521600563946</v>
      </c>
      <c r="W142" s="790"/>
      <c r="X142" s="790" t="n">
        <f aca="false">'Exogenous tax and expenses'!X141</f>
        <v>0.00191293753744961</v>
      </c>
      <c r="Y142" s="456" t="n">
        <f aca="false">'Exogenous tax and expenses'!Y141</f>
        <v>0.00262755013399756</v>
      </c>
      <c r="Z142" s="456" t="n">
        <f aca="false">'Exogenous tax and expenses'!Z141</f>
        <v>0.00695203916219706</v>
      </c>
      <c r="AA142" s="1" t="n">
        <v>0</v>
      </c>
    </row>
    <row r="143" customFormat="false" ht="15" hidden="false" customHeight="false" outlineLevel="0" collapsed="false">
      <c r="B143" s="801"/>
      <c r="C143" s="1" t="n">
        <f aca="false">'Exogenous tax and expenses'!C142+1</f>
        <v>2040</v>
      </c>
      <c r="D143" s="1"/>
      <c r="E143" s="1"/>
      <c r="F143" s="797" t="n">
        <v>-0.0305</v>
      </c>
      <c r="G143" s="797" t="n">
        <v>-0.0553</v>
      </c>
      <c r="H143" s="803" t="n">
        <v>-0.0289</v>
      </c>
      <c r="I143" s="803" t="n">
        <v>-0.0535</v>
      </c>
      <c r="J143" s="797" t="n">
        <v>-0.0234</v>
      </c>
      <c r="K143" s="797" t="n">
        <v>-0.0469</v>
      </c>
      <c r="L143" s="456" t="n">
        <f aca="false">'Exogenous tax and expenses'!F143+SUM('Exogenous tax and expenses'!R143:V143)-SUM('Exogenous tax and expenses'!X143:AA143)</f>
        <v>-0.00605880780826076</v>
      </c>
      <c r="M143" s="456" t="n">
        <f aca="false">'Exogenous tax and expenses'!G143+SUM('Exogenous tax and expenses'!R143:V143)-SUM('Exogenous tax and expenses'!X143:AA143)</f>
        <v>-0.0308588078082608</v>
      </c>
      <c r="N143" s="456" t="n">
        <f aca="false">'Exogenous tax and expenses'!H143+SUM('Exogenous tax and expenses'!R143:V143)-SUM('Exogenous tax and expenses'!X143:AA143)</f>
        <v>-0.00445880780826076</v>
      </c>
      <c r="O143" s="456" t="n">
        <f aca="false">'Exogenous tax and expenses'!I143+SUM('Exogenous tax and expenses'!R143:V143)-SUM('Exogenous tax and expenses'!X143:AA143)</f>
        <v>-0.0290588078082608</v>
      </c>
      <c r="P143" s="456" t="n">
        <f aca="false">'Exogenous tax and expenses'!J143+SUM('Exogenous tax and expenses'!R143:V143)-SUM('Exogenous tax and expenses'!X143:AA143)</f>
        <v>0.00104119219173924</v>
      </c>
      <c r="Q143" s="456" t="n">
        <f aca="false">'Exogenous tax and expenses'!K143+SUM('Exogenous tax and expenses'!R143:V143)-SUM('Exogenous tax and expenses'!X143:AA143)</f>
        <v>-0.0224588078082608</v>
      </c>
      <c r="R143" s="456" t="n">
        <f aca="false">'Exogenous tax and expenses'!R142</f>
        <v>0.00718984456547109</v>
      </c>
      <c r="S143" s="456" t="n">
        <f aca="false">'Exogenous tax and expenses'!S142</f>
        <v>0.00264884044328671</v>
      </c>
      <c r="T143" s="790" t="n">
        <f aca="false">'Exogenous tax and expenses'!T142</f>
        <v>0.000158610557119791</v>
      </c>
      <c r="U143" s="456" t="n">
        <f aca="false">U142</f>
        <v>0.0103842634031112</v>
      </c>
      <c r="V143" s="790" t="n">
        <f aca="false">'Exogenous tax and expenses'!V142</f>
        <v>0.0155521600563946</v>
      </c>
      <c r="W143" s="790"/>
      <c r="X143" s="790" t="n">
        <f aca="false">'Exogenous tax and expenses'!X142</f>
        <v>0.00191293753744961</v>
      </c>
      <c r="Y143" s="456" t="n">
        <f aca="false">'Exogenous tax and expenses'!Y142</f>
        <v>0.00262755013399756</v>
      </c>
      <c r="Z143" s="456" t="n">
        <f aca="false">'Exogenous tax and expenses'!Z142</f>
        <v>0.00695203916219706</v>
      </c>
      <c r="AA143" s="1" t="n">
        <v>0</v>
      </c>
    </row>
    <row r="144" customFormat="false" ht="15" hidden="false" customHeight="false" outlineLevel="0" collapsed="false">
      <c r="B144" s="1"/>
      <c r="C144" s="1"/>
      <c r="D144" s="1"/>
      <c r="E144" s="1"/>
    </row>
  </sheetData>
  <mergeCells count="12">
    <mergeCell ref="Q3:V3"/>
    <mergeCell ref="Y3:AB3"/>
    <mergeCell ref="AG3:AH3"/>
    <mergeCell ref="I30:N30"/>
    <mergeCell ref="I31:N31"/>
    <mergeCell ref="I32:N42"/>
    <mergeCell ref="D38:D39"/>
    <mergeCell ref="E38:E39"/>
    <mergeCell ref="F59:K59"/>
    <mergeCell ref="L59:Q59"/>
    <mergeCell ref="F115:K115"/>
    <mergeCell ref="L115:Q11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B3:P64"/>
  <sheetViews>
    <sheetView showFormulas="false" showGridLines="true" showRowColHeaders="true" showZeros="true" rightToLeft="false" tabSelected="false" showOutlineSymbols="true" defaultGridColor="true" view="normal" topLeftCell="C1" colorId="64" zoomScale="75" zoomScaleNormal="75" zoomScalePageLayoutView="100" workbookViewId="0">
      <selection pane="topLeft" activeCell="G23" activeCellId="0" sqref="G23"/>
    </sheetView>
  </sheetViews>
  <sheetFormatPr defaultColWidth="10.43359375" defaultRowHeight="15" zeroHeight="false" outlineLevelRow="0" outlineLevelCol="0"/>
  <cols>
    <col collapsed="false" customWidth="true" hidden="false" outlineLevel="0" max="8" min="4" style="0" width="23.86"/>
    <col collapsed="false" customWidth="true" hidden="false" outlineLevel="0" max="13" min="11" style="0" width="17.86"/>
    <col collapsed="false" customWidth="true" hidden="false" outlineLevel="0" max="15" min="15" style="0" width="15"/>
  </cols>
  <sheetData>
    <row r="3" customFormat="false" ht="75" hidden="false" customHeight="false" outlineLevel="0" collapsed="false">
      <c r="C3" s="804"/>
      <c r="D3" s="805" t="s">
        <v>1066</v>
      </c>
      <c r="E3" s="805" t="s">
        <v>1067</v>
      </c>
      <c r="F3" s="805" t="s">
        <v>1068</v>
      </c>
      <c r="G3" s="805" t="s">
        <v>1069</v>
      </c>
      <c r="H3" s="805" t="s">
        <v>1070</v>
      </c>
      <c r="J3" s="806"/>
      <c r="K3" s="806" t="s">
        <v>1071</v>
      </c>
      <c r="L3" s="806" t="s">
        <v>1072</v>
      </c>
      <c r="M3" s="806" t="s">
        <v>1073</v>
      </c>
    </row>
    <row r="4" customFormat="false" ht="15" hidden="false" customHeight="false" outlineLevel="0" collapsed="false">
      <c r="C4" s="807" t="n">
        <v>1994</v>
      </c>
      <c r="D4" s="808" t="e">
        <f aca="false">(#REF!+#REF!+#REF!+#REF!)/#REF!</f>
        <v>#REF!</v>
      </c>
      <c r="E4" s="808" t="e">
        <f aca="false">#REF!/#REF!</f>
        <v>#REF!</v>
      </c>
      <c r="F4" s="809" t="e">
        <f aca="false">#REF!*1000000/#REF!</f>
        <v>#REF!</v>
      </c>
      <c r="G4" s="809" t="n">
        <f aca="false">'[1]Contribuyentes ANSES'!D56/'[1]Beneficiarios de jubilaciones'!V4</f>
        <v>2.51333552026008</v>
      </c>
      <c r="H4" s="809" t="n">
        <f aca="false">'[1]Contribuyentes ANSES'!D56/'[1]Beneficiarios de jubilaciones'!V4</f>
        <v>2.51333552026008</v>
      </c>
      <c r="J4" s="810" t="n">
        <v>1994</v>
      </c>
      <c r="K4" s="811" t="e">
        <f aca="false">(SUM(#REF!))/#REF!</f>
        <v>#REF!</v>
      </c>
      <c r="L4" s="811"/>
      <c r="M4" s="811" t="e">
        <f aca="false">K4+L4</f>
        <v>#REF!</v>
      </c>
    </row>
    <row r="5" customFormat="false" ht="15" hidden="false" customHeight="false" outlineLevel="0" collapsed="false">
      <c r="C5" s="812" t="n">
        <f aca="false">C4+1</f>
        <v>1995</v>
      </c>
      <c r="D5" s="813" t="n">
        <f aca="false">('[1]Beneficiarios de jubilaciones'!O5+'[1]Beneficiarios de jubilaciones'!Q5+'[1]Beneficiarios de jubilaciones'!S5+'[1]Beneficiarios de jubilaciones'!U5)/'[1]Población 1950-2100'!AU80</f>
        <v>0.510323801227695</v>
      </c>
      <c r="E5" s="813" t="n">
        <f aca="false">'[1]Contribuyentes ANSES'!D57/'[1]Población 1950-2100'!$AU$82</f>
        <v>0.250975964853961</v>
      </c>
      <c r="F5" s="814" t="n">
        <f aca="false">'[1]Contribuyentes ANSES'!C5*1000000/'[1]Beneficiarios de jubilaciones'!V5</f>
        <v>0.921359538738319</v>
      </c>
      <c r="G5" s="814" t="n">
        <f aca="false">'[1]Contribuyentes ANSES'!D57/('[1]Beneficiarios de jubilaciones'!B3+'[1]Beneficiarios de jubilaciones'!V5)</f>
        <v>2.28195427118674</v>
      </c>
      <c r="H5" s="814" t="n">
        <f aca="false">'[1]Contribuyentes ANSES'!D57/('[1]Beneficiarios de jubilaciones'!B3+'[1]Beneficiarios de jubilaciones'!V5)</f>
        <v>2.28195427118674</v>
      </c>
      <c r="J5" s="812" t="n">
        <f aca="false">J4+1</f>
        <v>1995</v>
      </c>
      <c r="K5" s="815" t="n">
        <f aca="false">(SUM('[1]Beneficiarios de AAFF y AUH'!C5:F5))/'[1]Población 1950-2100'!$AU$81</f>
        <v>0.005913270776601</v>
      </c>
      <c r="L5" s="815"/>
      <c r="M5" s="815" t="n">
        <f aca="false">K5+L5</f>
        <v>0.005913270776601</v>
      </c>
    </row>
    <row r="6" customFormat="false" ht="15" hidden="false" customHeight="false" outlineLevel="0" collapsed="false">
      <c r="C6" s="807" t="n">
        <f aca="false">C5+1</f>
        <v>1996</v>
      </c>
      <c r="D6" s="808" t="n">
        <f aca="false">('[1]Beneficiarios de jubilaciones'!O6+'[1]Beneficiarios de jubilaciones'!Q6+'[1]Beneficiarios de jubilaciones'!S6+'[1]Beneficiarios de jubilaciones'!U6)/'[1]Población 1950-2100'!AV80</f>
        <v>0.514072237398752</v>
      </c>
      <c r="E6" s="808" t="n">
        <f aca="false">'[1]Contribuyentes ANSES'!D58/'[1]Población 1950-2100'!$AV$82</f>
        <v>0.257670801277916</v>
      </c>
      <c r="F6" s="809" t="n">
        <f aca="false">'[1]Contribuyentes ANSES'!C6*1000000/'[1]Beneficiarios de jubilaciones'!V6</f>
        <v>0.756782068048898</v>
      </c>
      <c r="G6" s="809" t="n">
        <f aca="false">'[1]Contribuyentes ANSES'!D58/('[1]Beneficiarios de jubilaciones'!B4+'[1]Beneficiarios de jubilaciones'!V6)</f>
        <v>2.31921058174471</v>
      </c>
      <c r="H6" s="809" t="n">
        <f aca="false">'[1]Contribuyentes ANSES'!D58/('[1]Beneficiarios de jubilaciones'!B4+'[1]Beneficiarios de jubilaciones'!V6)</f>
        <v>2.31921058174471</v>
      </c>
      <c r="J6" s="810" t="n">
        <f aca="false">J5+1</f>
        <v>1996</v>
      </c>
      <c r="K6" s="811" t="n">
        <f aca="false">(SUM('[1]Beneficiarios de AAFF y AUH'!C6:F6))/'[1]Población 1950-2100'!$AV$81</f>
        <v>0.0130317738288995</v>
      </c>
      <c r="L6" s="811"/>
      <c r="M6" s="811" t="n">
        <f aca="false">K6+L6</f>
        <v>0.0130317738288995</v>
      </c>
    </row>
    <row r="7" customFormat="false" ht="15" hidden="false" customHeight="false" outlineLevel="0" collapsed="false">
      <c r="C7" s="812" t="n">
        <f aca="false">C6+1</f>
        <v>1997</v>
      </c>
      <c r="D7" s="813" t="n">
        <f aca="false">('[1]Beneficiarios de jubilaciones'!O7+'[1]Beneficiarios de jubilaciones'!Q7+'[1]Beneficiarios de jubilaciones'!S7+'[1]Beneficiarios de jubilaciones'!U7)/'[1]Población 1950-2100'!AW80</f>
        <v>0.474510072059151</v>
      </c>
      <c r="E7" s="813" t="n">
        <f aca="false">'[1]Contribuyentes ANSES'!D59/'[1]Población 1950-2100'!$AW$82</f>
        <v>0.264431702333848</v>
      </c>
      <c r="F7" s="814" t="n">
        <f aca="false">'[1]Contribuyentes ANSES'!C7*1000000/'[1]Beneficiarios de jubilaciones'!V7</f>
        <v>0.655074204790306</v>
      </c>
      <c r="G7" s="814" t="n">
        <f aca="false">'[1]Contribuyentes ANSES'!D59/('[1]Beneficiarios de jubilaciones'!B5+'[1]Beneficiarios de jubilaciones'!V7)</f>
        <v>2.56924407035337</v>
      </c>
      <c r="H7" s="814" t="n">
        <f aca="false">'[1]Contribuyentes ANSES'!D59/('[1]Beneficiarios de jubilaciones'!B5+'[1]Beneficiarios de jubilaciones'!V7)</f>
        <v>2.56924407035337</v>
      </c>
      <c r="J7" s="812" t="n">
        <f aca="false">J6+1</f>
        <v>1997</v>
      </c>
      <c r="K7" s="815" t="n">
        <f aca="false">(SUM('[1]Beneficiarios de AAFF y AUH'!C7:F7))/'[1]Población 1950-2100'!$AW$81</f>
        <v>0.037343572537092</v>
      </c>
      <c r="L7" s="815"/>
      <c r="M7" s="815" t="n">
        <f aca="false">K7+L7</f>
        <v>0.037343572537092</v>
      </c>
    </row>
    <row r="8" customFormat="false" ht="15" hidden="false" customHeight="false" outlineLevel="0" collapsed="false">
      <c r="C8" s="807" t="n">
        <f aca="false">C7+1</f>
        <v>1998</v>
      </c>
      <c r="D8" s="808" t="n">
        <f aca="false">('[1]Beneficiarios de jubilaciones'!O8+'[1]Beneficiarios de jubilaciones'!Q8+'[1]Beneficiarios de jubilaciones'!S8+'[1]Beneficiarios de jubilaciones'!U8)/'[1]Población 1950-2100'!AX80</f>
        <v>0.491595366851715</v>
      </c>
      <c r="E8" s="808" t="n">
        <f aca="false">'[1]Contribuyentes ANSES'!D60/'[1]Población 1950-2100'!$AX$82</f>
        <v>0.278864473414839</v>
      </c>
      <c r="F8" s="809" t="n">
        <f aca="false">'[1]Contribuyentes ANSES'!C8*1000000/'[1]Beneficiarios de jubilaciones'!V8</f>
        <v>0.574293269318777</v>
      </c>
      <c r="G8" s="809" t="n">
        <f aca="false">'[1]Contribuyentes ANSES'!D60/('[1]Beneficiarios de jubilaciones'!B6+'[1]Beneficiarios de jubilaciones'!V8)</f>
        <v>2.60735078905109</v>
      </c>
      <c r="H8" s="809" t="n">
        <f aca="false">('[1]Contribuyentes ANSES'!D60-'[1]Contribuyentes ANSES'!F60-'[1]Contribuyentes ANSES'!H60)/('[1]Beneficiarios de jubilaciones'!B6+'[1]Beneficiarios de jubilaciones'!V8)</f>
        <v>2.36041247058067</v>
      </c>
      <c r="J8" s="810" t="n">
        <f aca="false">J7+1</f>
        <v>1998</v>
      </c>
      <c r="K8" s="811" t="n">
        <f aca="false">(SUM('[1]Beneficiarios de AAFF y AUH'!C8:F8))/'[1]Población 1950-2100'!$AX$81</f>
        <v>0.0360905688677892</v>
      </c>
      <c r="L8" s="811"/>
      <c r="M8" s="811" t="n">
        <f aca="false">K8+L8</f>
        <v>0.0360905688677892</v>
      </c>
    </row>
    <row r="9" customFormat="false" ht="15" hidden="false" customHeight="false" outlineLevel="0" collapsed="false">
      <c r="C9" s="812" t="n">
        <f aca="false">C8+1</f>
        <v>1999</v>
      </c>
      <c r="D9" s="813" t="n">
        <f aca="false">('[1]Beneficiarios de jubilaciones'!O9+'[1]Beneficiarios de jubilaciones'!Q9+'[1]Beneficiarios de jubilaciones'!S9+'[1]Beneficiarios de jubilaciones'!U9)/'[1]Población 1950-2100'!AY80</f>
        <v>0.471091741418777</v>
      </c>
      <c r="E9" s="813" t="n">
        <f aca="false">'[1]Contribuyentes ANSES'!D61/'[1]Población 1950-2100'!$AY$82</f>
        <v>0.271321875792289</v>
      </c>
      <c r="F9" s="814" t="n">
        <f aca="false">'[1]Contribuyentes ANSES'!C9*1000000/'[1]Beneficiarios de jubilaciones'!V9</f>
        <v>0.540702950702023</v>
      </c>
      <c r="G9" s="814" t="n">
        <f aca="false">'[1]Contribuyentes ANSES'!D61/('[1]Beneficiarios de jubilaciones'!B7+'[1]Beneficiarios de jubilaciones'!V9)</f>
        <v>2.63116491647035</v>
      </c>
      <c r="H9" s="814" t="n">
        <f aca="false">('[1]Contribuyentes ANSES'!D61-'[1]Contribuyentes ANSES'!F61-'[1]Contribuyentes ANSES'!H61)/('[1]Beneficiarios de jubilaciones'!B7+'[1]Beneficiarios de jubilaciones'!V9)</f>
        <v>2.36831727396947</v>
      </c>
      <c r="J9" s="812" t="n">
        <f aca="false">J8+1</f>
        <v>1999</v>
      </c>
      <c r="K9" s="815" t="n">
        <f aca="false">(SUM('[1]Beneficiarios de AAFF y AUH'!C9:F9))/'[1]Población 1950-2100'!$AY$81</f>
        <v>0.0364917974245971</v>
      </c>
      <c r="L9" s="815"/>
      <c r="M9" s="815" t="n">
        <f aca="false">K9+L9</f>
        <v>0.0364917974245971</v>
      </c>
    </row>
    <row r="10" customFormat="false" ht="15" hidden="false" customHeight="false" outlineLevel="0" collapsed="false">
      <c r="C10" s="807" t="n">
        <f aca="false">C9+1</f>
        <v>2000</v>
      </c>
      <c r="D10" s="808" t="n">
        <f aca="false">('[1]Beneficiarios de jubilaciones'!O10+'[1]Beneficiarios de jubilaciones'!Q10+'[1]Beneficiarios de jubilaciones'!S10+'[1]Beneficiarios de jubilaciones'!U10)/'[1]Población 1950-2100'!AZ80</f>
        <v>0.450472001858193</v>
      </c>
      <c r="E10" s="808" t="n">
        <f aca="false">'[1]Contribuyentes ANSES'!D62/'[1]Población 1950-2100'!$AZ$82</f>
        <v>0.276448468509888</v>
      </c>
      <c r="F10" s="809" t="n">
        <f aca="false">'[1]Contribuyentes ANSES'!C10*1000000/'[1]Beneficiarios de jubilaciones'!V10</f>
        <v>0.506009559279589</v>
      </c>
      <c r="G10" s="809" t="n">
        <f aca="false">'[1]Contribuyentes ANSES'!D62/('[1]Beneficiarios de jubilaciones'!B8+'[1]Beneficiarios de jubilaciones'!V10)</f>
        <v>2.77943463763494</v>
      </c>
      <c r="H10" s="809" t="n">
        <f aca="false">('[1]Contribuyentes ANSES'!D62-'[1]Contribuyentes ANSES'!F62-'[1]Contribuyentes ANSES'!H62)/('[1]Beneficiarios de jubilaciones'!B8+'[1]Beneficiarios de jubilaciones'!V10)</f>
        <v>2.42437305572375</v>
      </c>
      <c r="J10" s="810" t="n">
        <f aca="false">J9+1</f>
        <v>2000</v>
      </c>
      <c r="K10" s="811" t="n">
        <f aca="false">(SUM('[1]Beneficiarios de AAFF y AUH'!C10:F10))/'[1]Población 1950-2100'!$AZ$81</f>
        <v>0.0424826193315992</v>
      </c>
      <c r="L10" s="811"/>
      <c r="M10" s="811" t="n">
        <f aca="false">K10+L10</f>
        <v>0.0424826193315992</v>
      </c>
    </row>
    <row r="11" customFormat="false" ht="15" hidden="false" customHeight="false" outlineLevel="0" collapsed="false">
      <c r="C11" s="812" t="n">
        <f aca="false">C10+1</f>
        <v>2001</v>
      </c>
      <c r="D11" s="813" t="n">
        <f aca="false">('[1]Beneficiarios de jubilaciones'!O11+'[1]Beneficiarios de jubilaciones'!Q11+'[1]Beneficiarios de jubilaciones'!S11+'[1]Beneficiarios de jubilaciones'!U11)/'[1]Población 1950-2100'!BA80</f>
        <v>0.434745013534998</v>
      </c>
      <c r="E11" s="813" t="n">
        <f aca="false">'[1]Contribuyentes ANSES'!D63/'[1]Población 1950-2100'!$BA$82</f>
        <v>0.249786520320761</v>
      </c>
      <c r="F11" s="814" t="n">
        <f aca="false">'[1]Contribuyentes ANSES'!C11*1000000/'[1]Beneficiarios de jubilaciones'!V11</f>
        <v>0.46468521449095</v>
      </c>
      <c r="G11" s="814" t="n">
        <f aca="false">'[1]Contribuyentes ANSES'!D63/('[1]Beneficiarios de jubilaciones'!B9+'[1]Beneficiarios de jubilaciones'!V11)</f>
        <v>2.57311950630721</v>
      </c>
      <c r="H11" s="814" t="n">
        <f aca="false">('[1]Contribuyentes ANSES'!D63-'[1]Contribuyentes ANSES'!F63-'[1]Contribuyentes ANSES'!H63)/('[1]Beneficiarios de jubilaciones'!B9+'[1]Beneficiarios de jubilaciones'!V11)</f>
        <v>2.25826104105868</v>
      </c>
      <c r="J11" s="812" t="n">
        <f aca="false">J10+1</f>
        <v>2001</v>
      </c>
      <c r="K11" s="815" t="n">
        <f aca="false">(SUM('[1]Beneficiarios de AAFF y AUH'!C11:F11))/'[1]Población 1950-2100'!$BA$81</f>
        <v>0.0407753237947181</v>
      </c>
      <c r="L11" s="815"/>
      <c r="M11" s="815" t="n">
        <f aca="false">K11+L11</f>
        <v>0.0407753237947181</v>
      </c>
    </row>
    <row r="12" customFormat="false" ht="15" hidden="false" customHeight="false" outlineLevel="0" collapsed="false">
      <c r="C12" s="807" t="n">
        <f aca="false">C11+1</f>
        <v>2002</v>
      </c>
      <c r="D12" s="808" t="n">
        <f aca="false">('[1]Beneficiarios de jubilaciones'!O12+'[1]Beneficiarios de jubilaciones'!Q12+'[1]Beneficiarios de jubilaciones'!S12+'[1]Beneficiarios de jubilaciones'!U12)/'[1]Población 1950-2100'!BB80</f>
        <v>0.418722196675673</v>
      </c>
      <c r="E12" s="808" t="n">
        <f aca="false">'[1]Contribuyentes ANSES'!D64/'[1]Población 1950-2100'!$BB$82</f>
        <v>0.233563070096019</v>
      </c>
      <c r="F12" s="809" t="n">
        <f aca="false">'[1]Contribuyentes ANSES'!C12*1000000/'[1]Beneficiarios de jubilaciones'!V12</f>
        <v>0.42253640151099</v>
      </c>
      <c r="G12" s="809" t="n">
        <f aca="false">'[1]Contribuyentes ANSES'!D64/('[1]Beneficiarios de jubilaciones'!B10+'[1]Beneficiarios de jubilaciones'!V12)</f>
        <v>2.45844224547246</v>
      </c>
      <c r="H12" s="809" t="n">
        <f aca="false">('[1]Contribuyentes ANSES'!D64-'[1]Contribuyentes ANSES'!F64-'[1]Contribuyentes ANSES'!H64)/('[1]Beneficiarios de jubilaciones'!B10+'[1]Beneficiarios de jubilaciones'!V12)</f>
        <v>2.17899775018279</v>
      </c>
      <c r="J12" s="810" t="n">
        <f aca="false">J11+1</f>
        <v>2002</v>
      </c>
      <c r="K12" s="811" t="n">
        <f aca="false">(SUM('[1]Beneficiarios de AAFF y AUH'!C12:F12))/'[1]Población 1950-2100'!$BB$81</f>
        <v>0.0527550950336396</v>
      </c>
      <c r="L12" s="811"/>
      <c r="M12" s="811" t="n">
        <f aca="false">K12+L12</f>
        <v>0.0527550950336396</v>
      </c>
    </row>
    <row r="13" customFormat="false" ht="15" hidden="false" customHeight="false" outlineLevel="0" collapsed="false">
      <c r="C13" s="812" t="n">
        <f aca="false">C12+1</f>
        <v>2003</v>
      </c>
      <c r="D13" s="813" t="n">
        <f aca="false">('[1]Beneficiarios de jubilaciones'!O13+'[1]Beneficiarios de jubilaciones'!Q13+'[1]Beneficiarios de jubilaciones'!S13+'[1]Beneficiarios de jubilaciones'!U13)/'[1]Población 1950-2100'!BC80</f>
        <v>0.405678565066775</v>
      </c>
      <c r="E13" s="813" t="n">
        <f aca="false">'[1]Contribuyentes ANSES'!D65/'[1]Población 1950-2100'!$BC$82</f>
        <v>0.251282804510864</v>
      </c>
      <c r="F13" s="814" t="n">
        <f aca="false">'[1]Contribuyentes ANSES'!C13*1000000/'[1]Beneficiarios de jubilaciones'!V13</f>
        <v>0.483439770656173</v>
      </c>
      <c r="G13" s="814" t="n">
        <f aca="false">'[1]Contribuyentes ANSES'!D65/('[1]Beneficiarios de jubilaciones'!B11+'[1]Beneficiarios de jubilaciones'!V13)</f>
        <v>2.66574300155016</v>
      </c>
      <c r="H13" s="814" t="n">
        <f aca="false">('[1]Contribuyentes ANSES'!D65-'[1]Contribuyentes ANSES'!F65-'[1]Contribuyentes ANSES'!H65)/('[1]Beneficiarios de jubilaciones'!B11+'[1]Beneficiarios de jubilaciones'!V13)</f>
        <v>2.36490785503472</v>
      </c>
      <c r="J13" s="812" t="n">
        <f aca="false">J12+1</f>
        <v>2003</v>
      </c>
      <c r="K13" s="815" t="n">
        <f aca="false">(SUM('[1]Beneficiarios de AAFF y AUH'!C13:F13))/'[1]Población 1950-2100'!$BC$81</f>
        <v>0.0447118584621405</v>
      </c>
      <c r="L13" s="815"/>
      <c r="M13" s="815" t="n">
        <f aca="false">K13+L13</f>
        <v>0.0447118584621405</v>
      </c>
    </row>
    <row r="14" customFormat="false" ht="15" hidden="false" customHeight="false" outlineLevel="0" collapsed="false">
      <c r="C14" s="807" t="n">
        <f aca="false">C13+1</f>
        <v>2004</v>
      </c>
      <c r="D14" s="808" t="n">
        <f aca="false">('[1]Beneficiarios de jubilaciones'!O14+'[1]Beneficiarios de jubilaciones'!Q14+'[1]Beneficiarios de jubilaciones'!S14+'[1]Beneficiarios de jubilaciones'!U14)/'[1]Población 1950-2100'!BD80</f>
        <v>0.390552011548444</v>
      </c>
      <c r="E14" s="808" t="n">
        <f aca="false">'[1]Contribuyentes ANSES'!D66/'[1]Población 1950-2100'!$BD$82</f>
        <v>0.283873904843088</v>
      </c>
      <c r="F14" s="809" t="n">
        <f aca="false">'[1]Contribuyentes ANSES'!C14*1000000/'[1]Beneficiarios de jubilaciones'!V14</f>
        <v>0.54958704029792</v>
      </c>
      <c r="G14" s="809" t="n">
        <f aca="false">'[1]Contribuyentes ANSES'!D66/('[1]Beneficiarios de jubilaciones'!B12+'[1]Beneficiarios de jubilaciones'!V14)</f>
        <v>3.05852781452744</v>
      </c>
      <c r="H14" s="809" t="n">
        <f aca="false">('[1]Contribuyentes ANSES'!D66-'[1]Contribuyentes ANSES'!F66-'[1]Contribuyentes ANSES'!H66)/('[1]Beneficiarios de jubilaciones'!B12+'[1]Beneficiarios de jubilaciones'!V14)</f>
        <v>2.62459035185066</v>
      </c>
      <c r="J14" s="810" t="n">
        <f aca="false">J13+1</f>
        <v>2004</v>
      </c>
      <c r="K14" s="811" t="n">
        <f aca="false">(SUM('[1]Beneficiarios de AAFF y AUH'!C14:F14))/'[1]Población 1950-2100'!$BD$81</f>
        <v>0.0570531931956199</v>
      </c>
      <c r="L14" s="811"/>
      <c r="M14" s="811" t="n">
        <f aca="false">K14+L14</f>
        <v>0.0570531931956199</v>
      </c>
    </row>
    <row r="15" customFormat="false" ht="15" hidden="false" customHeight="false" outlineLevel="0" collapsed="false">
      <c r="C15" s="812" t="n">
        <f aca="false">C14+1</f>
        <v>2005</v>
      </c>
      <c r="D15" s="813" t="n">
        <f aca="false">('[1]Beneficiarios de jubilaciones'!O15+'[1]Beneficiarios de jubilaciones'!Q15+'[1]Beneficiarios de jubilaciones'!S15+'[1]Beneficiarios de jubilaciones'!U15)/'[1]Población 1950-2100'!BE80</f>
        <v>0.37950052827156</v>
      </c>
      <c r="E15" s="813" t="n">
        <f aca="false">'[1]Contribuyentes ANSES'!D67/'[1]Población 1950-2100'!$BE$82</f>
        <v>0.310004910945473</v>
      </c>
      <c r="F15" s="814" t="n">
        <f aca="false">'[1]Contribuyentes ANSES'!C15*1000000/'[1]Beneficiarios de jubilaciones'!V15</f>
        <v>0.668035025076365</v>
      </c>
      <c r="G15" s="814" t="n">
        <f aca="false">'[1]Contribuyentes ANSES'!D67/('[1]Beneficiarios de jubilaciones'!B13+'[1]Beneficiarios de jubilaciones'!V15)</f>
        <v>3.35931357455726</v>
      </c>
      <c r="H15" s="814" t="n">
        <f aca="false">('[1]Contribuyentes ANSES'!D67-'[1]Contribuyentes ANSES'!F67-'[1]Contribuyentes ANSES'!H67)/('[1]Beneficiarios de jubilaciones'!B13+'[1]Beneficiarios de jubilaciones'!V15)</f>
        <v>2.85289131017769</v>
      </c>
      <c r="J15" s="812" t="n">
        <f aca="false">J14+1</f>
        <v>2005</v>
      </c>
      <c r="K15" s="815" t="n">
        <f aca="false">(SUM('[1]Beneficiarios de AAFF y AUH'!C15:F15))/'[1]Población 1950-2100'!$BE$81</f>
        <v>0.0933237171146911</v>
      </c>
      <c r="L15" s="815"/>
      <c r="M15" s="815" t="n">
        <f aca="false">K15+L15</f>
        <v>0.0933237171146911</v>
      </c>
    </row>
    <row r="16" customFormat="false" ht="15" hidden="false" customHeight="false" outlineLevel="0" collapsed="false">
      <c r="C16" s="807" t="n">
        <f aca="false">C15+1</f>
        <v>2006</v>
      </c>
      <c r="D16" s="808" t="n">
        <f aca="false">('[1]Beneficiarios de jubilaciones'!O16+'[1]Beneficiarios de jubilaciones'!Q16+'[1]Beneficiarios de jubilaciones'!S16+'[1]Beneficiarios de jubilaciones'!U16)/'[1]Población 1950-2100'!BF80</f>
        <v>0.409932272818653</v>
      </c>
      <c r="E16" s="808" t="n">
        <f aca="false">'[1]Contribuyentes ANSES'!D68/'[1]Población 1950-2100'!$BF$82</f>
        <v>0.335636017318812</v>
      </c>
      <c r="F16" s="809" t="n">
        <f aca="false">'[1]Contribuyentes ANSES'!C16*1000000/'[1]Beneficiarios de jubilaciones'!V16</f>
        <v>0.709768184641123</v>
      </c>
      <c r="G16" s="809" t="n">
        <f aca="false">'[1]Contribuyentes ANSES'!D68/('[1]Beneficiarios de jubilaciones'!B14+'[1]Beneficiarios de jubilaciones'!V16)</f>
        <v>3.30801928431984</v>
      </c>
      <c r="H16" s="809" t="n">
        <f aca="false">('[1]Contribuyentes ANSES'!D68-'[1]Contribuyentes ANSES'!F68-'[1]Contribuyentes ANSES'!H68)/('[1]Beneficiarios de jubilaciones'!B14+'[1]Beneficiarios de jubilaciones'!V16)</f>
        <v>2.74418776678254</v>
      </c>
      <c r="J16" s="810" t="n">
        <f aca="false">J15+1</f>
        <v>2006</v>
      </c>
      <c r="K16" s="811" t="n">
        <f aca="false">(SUM('[1]Beneficiarios de AAFF y AUH'!C16:F16))/'[1]Población 1950-2100'!$BF$81</f>
        <v>0.127012058907103</v>
      </c>
      <c r="L16" s="811"/>
      <c r="M16" s="811" t="n">
        <f aca="false">K16+L16</f>
        <v>0.127012058907103</v>
      </c>
    </row>
    <row r="17" customFormat="false" ht="15" hidden="false" customHeight="false" outlineLevel="0" collapsed="false">
      <c r="C17" s="812" t="n">
        <f aca="false">C16+1</f>
        <v>2007</v>
      </c>
      <c r="D17" s="813" t="n">
        <f aca="false">('[1]Beneficiarios de jubilaciones'!O17+'[1]Beneficiarios de jubilaciones'!Q17+'[1]Beneficiarios de jubilaciones'!S17+'[1]Beneficiarios de jubilaciones'!U17)/'[1]Población 1950-2100'!BG80</f>
        <v>0.63254954409942</v>
      </c>
      <c r="E17" s="813" t="n">
        <f aca="false">'[1]Contribuyentes ANSES'!D69/'[1]Población 1950-2100'!$BG$82</f>
        <v>0.356550153228881</v>
      </c>
      <c r="F17" s="814" t="n">
        <f aca="false">'[1]Contribuyentes ANSES'!C17*1000000/'[1]Beneficiarios de jubilaciones'!V17</f>
        <v>0.710857672399949</v>
      </c>
      <c r="G17" s="814" t="n">
        <f aca="false">'[1]Contribuyentes ANSES'!D69/('[1]Beneficiarios de jubilaciones'!B15+'[1]Beneficiarios de jubilaciones'!V17)</f>
        <v>2.29416391153813</v>
      </c>
      <c r="H17" s="814" t="n">
        <f aca="false">('[1]Contribuyentes ANSES'!D69-'[1]Contribuyentes ANSES'!F69-'[1]Contribuyentes ANSES'!H69)/('[1]Beneficiarios de jubilaciones'!B15+'[1]Beneficiarios de jubilaciones'!V17)</f>
        <v>1.89488364162643</v>
      </c>
      <c r="J17" s="812" t="n">
        <f aca="false">J16+1</f>
        <v>2007</v>
      </c>
      <c r="K17" s="815" t="n">
        <f aca="false">(SUM('[1]Beneficiarios de AAFF y AUH'!C17:F17))/'[1]Población 1950-2100'!$BG$81</f>
        <v>0.154027801449047</v>
      </c>
      <c r="L17" s="815"/>
      <c r="M17" s="815" t="n">
        <f aca="false">K17+L17</f>
        <v>0.154027801449047</v>
      </c>
    </row>
    <row r="18" customFormat="false" ht="15" hidden="false" customHeight="false" outlineLevel="0" collapsed="false">
      <c r="C18" s="807" t="s">
        <v>1074</v>
      </c>
      <c r="D18" s="808"/>
      <c r="E18" s="808"/>
      <c r="F18" s="809" t="n">
        <f aca="false">'[1]Contribuyentes ANSES'!C18*1000000/'[1]Beneficiarios de jubilaciones'!V18</f>
        <v>0.96887848326063</v>
      </c>
      <c r="G18" s="809" t="n">
        <f aca="false">'[1]Contribuyentes ANSES'!D70/('[1]Beneficiarios de jubilaciones'!B16+'[1]Beneficiarios de jubilaciones'!V18)</f>
        <v>2.12580398991488</v>
      </c>
      <c r="H18" s="809" t="n">
        <f aca="false">('[1]Contribuyentes ANSES'!D70-'[1]Contribuyentes ANSES'!F70-'[1]Contribuyentes ANSES'!H70)/('[1]Beneficiarios de jubilaciones'!B16+'[1]Beneficiarios de jubilaciones'!V18)</f>
        <v>1.73064396833894</v>
      </c>
      <c r="J18" s="810" t="n">
        <f aca="false">J17+1</f>
        <v>2008</v>
      </c>
      <c r="K18" s="811" t="n">
        <f aca="false">(SUM('[1]Beneficiarios de AAFF y AUH'!C18:F18))/'[1]Población 1950-2100'!$BH$81</f>
        <v>0.184085966027222</v>
      </c>
      <c r="L18" s="811"/>
      <c r="M18" s="811" t="n">
        <f aca="false">K18+L18</f>
        <v>0.184085966027222</v>
      </c>
    </row>
    <row r="19" customFormat="false" ht="15" hidden="false" customHeight="false" outlineLevel="0" collapsed="false">
      <c r="C19" s="812" t="s">
        <v>1075</v>
      </c>
      <c r="D19" s="813" t="n">
        <f aca="false">('[1]Beneficiarios de jubilaciones'!O18+'[1]Beneficiarios de jubilaciones'!Q18+'[1]Beneficiarios de jubilaciones'!S18+'[1]Beneficiarios de jubilaciones'!U18)/'[1]Población 1950-2100'!BH80</f>
        <v>0.705060614769156</v>
      </c>
      <c r="E19" s="813" t="n">
        <f aca="false">'[1]Contribuyentes ANSES'!D70/'[1]Población 1950-2100'!$BH$82</f>
        <v>0.366468763007239</v>
      </c>
      <c r="F19" s="814" t="n">
        <f aca="false">G19</f>
        <v>2.37190742537071</v>
      </c>
      <c r="G19" s="814" t="n">
        <f aca="false">'[1]Contribuyentes ANSES'!D70/('[1]Beneficiarios de jubilaciones'!B17+'[1]Beneficiarios de jubilaciones'!V18)</f>
        <v>2.37190742537071</v>
      </c>
      <c r="H19" s="814" t="n">
        <f aca="false">('[1]Contribuyentes ANSES'!D70-'[1]Contribuyentes ANSES'!F70-'[1]Contribuyentes ANSES'!H70)/('[1]Beneficiarios de jubilaciones'!B17+'[1]Beneficiarios de jubilaciones'!V18)</f>
        <v>1.9309998939933</v>
      </c>
      <c r="J19" s="812" t="n">
        <f aca="false">J18+1</f>
        <v>2009</v>
      </c>
      <c r="K19" s="815" t="n">
        <f aca="false">(SUM('[1]Beneficiarios de AAFF y AUH'!C19:F19))/'[1]Población 1950-2100'!$BI$81</f>
        <v>0.242310545647974</v>
      </c>
      <c r="L19" s="815" t="n">
        <f aca="false">(SUM('[1]Beneficiarios de AAFF y AUH'!G19:H19))/'[1]Población 1950-2100'!$BI$81</f>
        <v>0.265905834578891</v>
      </c>
      <c r="M19" s="815" t="n">
        <f aca="false">K19+L19</f>
        <v>0.508216380226865</v>
      </c>
    </row>
    <row r="20" customFormat="false" ht="15" hidden="false" customHeight="false" outlineLevel="0" collapsed="false">
      <c r="C20" s="807" t="n">
        <v>2009</v>
      </c>
      <c r="D20" s="808" t="n">
        <f aca="false">('[1]Beneficiarios de jubilaciones'!O19+'[1]Beneficiarios de jubilaciones'!Q19+'[1]Beneficiarios de jubilaciones'!S19+'[1]Beneficiarios de jubilaciones'!U19)/'[1]Población 1950-2100'!BI80</f>
        <v>0.786610589184852</v>
      </c>
      <c r="E20" s="808" t="n">
        <f aca="false">'[1]Contribuyentes ANSES'!D71/'[1]Población 1950-2100'!$BI$82</f>
        <v>0.36903840566531</v>
      </c>
      <c r="F20" s="809"/>
      <c r="G20" s="809" t="n">
        <f aca="false">'[1]Contribuyentes ANSES'!D71/(+'[1]Beneficiarios de jubilaciones'!V19)</f>
        <v>2.09483996077633</v>
      </c>
      <c r="H20" s="809" t="n">
        <f aca="false">('[1]Contribuyentes ANSES'!D71-'[1]Contribuyentes ANSES'!F71-'[1]Contribuyentes ANSES'!H71)/('[1]Beneficiarios de jubilaciones'!V19)</f>
        <v>1.68787830456227</v>
      </c>
      <c r="J20" s="810" t="n">
        <f aca="false">J19+1</f>
        <v>2010</v>
      </c>
      <c r="K20" s="811" t="n">
        <f aca="false">(SUM('[1]Beneficiarios de AAFF y AUH'!C20:F20))/'[1]Población 1950-2100'!$BJ$81</f>
        <v>0.259920416015888</v>
      </c>
      <c r="L20" s="811" t="n">
        <f aca="false">(SUM('[1]Beneficiarios de AAFF y AUH'!G20:H20))/'[1]Población 1950-2100'!$BJ$81</f>
        <v>0.274917580193644</v>
      </c>
      <c r="M20" s="811" t="n">
        <f aca="false">K20+L20</f>
        <v>0.534837996209532</v>
      </c>
    </row>
    <row r="21" customFormat="false" ht="15" hidden="false" customHeight="false" outlineLevel="0" collapsed="false">
      <c r="C21" s="812" t="n">
        <f aca="false">C20+1</f>
        <v>2010</v>
      </c>
      <c r="D21" s="813" t="n">
        <f aca="false">('[1]Beneficiarios de jubilaciones'!O20+'[1]Beneficiarios de jubilaciones'!Q20+'[1]Beneficiarios de jubilaciones'!S20+'[1]Beneficiarios de jubilaciones'!U20)/'[1]Población 1950-2100'!BJ80</f>
        <v>0.80138193135938</v>
      </c>
      <c r="E21" s="813" t="n">
        <f aca="false">'[1]Contribuyentes ANSES'!D72/'[1]Población 1950-2100'!$BJ$82</f>
        <v>0.380237684822312</v>
      </c>
      <c r="F21" s="814"/>
      <c r="G21" s="814" t="n">
        <f aca="false">'[1]Contribuyentes ANSES'!D72/(+'[1]Beneficiarios de jubilaciones'!V20)</f>
        <v>2.09728900478609</v>
      </c>
      <c r="H21" s="814" t="n">
        <f aca="false">('[1]Contribuyentes ANSES'!D72-'[1]Contribuyentes ANSES'!F72-'[1]Contribuyentes ANSES'!H72)/('[1]Beneficiarios de jubilaciones'!V20)</f>
        <v>1.68411186273806</v>
      </c>
      <c r="J21" s="812" t="n">
        <f aca="false">J20+1</f>
        <v>2011</v>
      </c>
      <c r="K21" s="815" t="n">
        <f aca="false">(SUM('[1]Beneficiarios de AAFF y AUH'!C21:F21))/'[1]Población 1950-2100'!$BK$81</f>
        <v>0.283533164030937</v>
      </c>
      <c r="L21" s="815" t="n">
        <f aca="false">(SUM('[1]Beneficiarios de AAFF y AUH'!G21:H21))/'[1]Población 1950-2100'!$BK$81</f>
        <v>0.277432403195845</v>
      </c>
      <c r="M21" s="815" t="n">
        <f aca="false">K21+L21</f>
        <v>0.560965567226782</v>
      </c>
    </row>
    <row r="22" customFormat="false" ht="15" hidden="false" customHeight="false" outlineLevel="0" collapsed="false">
      <c r="C22" s="807" t="n">
        <f aca="false">C21+1</f>
        <v>2011</v>
      </c>
      <c r="D22" s="808" t="n">
        <f aca="false">('[1]Beneficiarios de jubilaciones'!O21+'[1]Beneficiarios de jubilaciones'!Q21+'[1]Beneficiarios de jubilaciones'!S21+'[1]Beneficiarios de jubilaciones'!U21)/'[1]Población 1950-2100'!BK80</f>
        <v>0.799365838051898</v>
      </c>
      <c r="E22" s="808" t="n">
        <f aca="false">'[1]Contribuyentes ANSES'!D73/'[1]Población 1950-2100'!$BK$82</f>
        <v>0.39150767662946</v>
      </c>
      <c r="F22" s="809"/>
      <c r="G22" s="809" t="n">
        <f aca="false">'[1]Contribuyentes ANSES'!D73/(+'[1]Beneficiarios de jubilaciones'!V21)</f>
        <v>2.15631455397416</v>
      </c>
      <c r="H22" s="809" t="n">
        <f aca="false">('[1]Contribuyentes ANSES'!D73-'[1]Contribuyentes ANSES'!F73-'[1]Contribuyentes ANSES'!H73)/('[1]Beneficiarios de jubilaciones'!V21)</f>
        <v>1.72355323761796</v>
      </c>
      <c r="J22" s="810" t="n">
        <f aca="false">J21+1</f>
        <v>2012</v>
      </c>
      <c r="K22" s="811" t="n">
        <f aca="false">(SUM('[1]Beneficiarios de AAFF y AUH'!C22:F22))/'[1]Población 1950-2100'!$BL$81</f>
        <v>0.256303561618946</v>
      </c>
      <c r="L22" s="811" t="n">
        <f aca="false">(SUM('[1]Beneficiarios de AAFF y AUH'!G22:H22))/'[1]Población 1950-2100'!$BL$81</f>
        <v>0.265419840607358</v>
      </c>
      <c r="M22" s="811" t="n">
        <f aca="false">K22+L22</f>
        <v>0.521723402226304</v>
      </c>
    </row>
    <row r="23" customFormat="false" ht="15" hidden="false" customHeight="false" outlineLevel="0" collapsed="false">
      <c r="C23" s="812" t="n">
        <f aca="false">C22+1</f>
        <v>2012</v>
      </c>
      <c r="D23" s="813" t="n">
        <f aca="false">('[1]Beneficiarios de jubilaciones'!O22+'[1]Beneficiarios de jubilaciones'!Q22+'[1]Beneficiarios de jubilaciones'!S22+'[1]Beneficiarios de jubilaciones'!U22)/'[1]Población 1950-2100'!BL80</f>
        <v>0.787979673083566</v>
      </c>
      <c r="E23" s="813" t="n">
        <f aca="false">'[1]Contribuyentes ANSES'!D74/'[1]Población 1950-2100'!$BL$82</f>
        <v>0.391994461323093</v>
      </c>
      <c r="F23" s="814"/>
      <c r="G23" s="814" t="n">
        <f aca="false">'[1]Contribuyentes ANSES'!D74/(+'[1]Beneficiarios de jubilaciones'!V22)</f>
        <v>2.1706679950859</v>
      </c>
      <c r="H23" s="814" t="n">
        <f aca="false">('[1]Contribuyentes ANSES'!D74-'[1]Contribuyentes ANSES'!F74-'[1]Contribuyentes ANSES'!H74)/('[1]Beneficiarios de jubilaciones'!V22)</f>
        <v>1.71988233555304</v>
      </c>
      <c r="J23" s="812" t="n">
        <f aca="false">J22+1</f>
        <v>2013</v>
      </c>
      <c r="K23" s="815" t="n">
        <f aca="false">(SUM('[1]Beneficiarios de AAFF y AUH'!C23:F23))/'[1]Población 1950-2100'!$BM$81</f>
        <v>0.298280426889674</v>
      </c>
      <c r="L23" s="815" t="n">
        <f aca="false">(SUM('[1]Beneficiarios de AAFF y AUH'!G23:H23))/'[1]Población 1950-2100'!$BM$81</f>
        <v>0.260316413846619</v>
      </c>
      <c r="M23" s="815" t="n">
        <f aca="false">K23+L23</f>
        <v>0.558596840736292</v>
      </c>
    </row>
    <row r="24" customFormat="false" ht="15" hidden="false" customHeight="false" outlineLevel="0" collapsed="false">
      <c r="C24" s="807" t="n">
        <f aca="false">C23+1</f>
        <v>2013</v>
      </c>
      <c r="D24" s="808" t="n">
        <f aca="false">('[1]Beneficiarios de jubilaciones'!O23+'[1]Beneficiarios de jubilaciones'!Q23+'[1]Beneficiarios de jubilaciones'!S23+'[1]Beneficiarios de jubilaciones'!U23)/'[1]Población 1950-2100'!BM80</f>
        <v>0.777724938534277</v>
      </c>
      <c r="E24" s="808" t="n">
        <f aca="false">'[1]Contribuyentes ANSES'!D75/'[1]Población 1950-2100'!$BM$82</f>
        <v>0.401764904649651</v>
      </c>
      <c r="F24" s="809"/>
      <c r="G24" s="809" t="n">
        <f aca="false">'[1]Contribuyentes ANSES'!D75/(+'[1]Beneficiarios de jubilaciones'!V23)</f>
        <v>2.23705824874923</v>
      </c>
      <c r="H24" s="809" t="n">
        <f aca="false">('[1]Contribuyentes ANSES'!D75-'[1]Contribuyentes ANSES'!F75-'[1]Contribuyentes ANSES'!H75)/('[1]Beneficiarios de jubilaciones'!V23)</f>
        <v>1.72863446165932</v>
      </c>
      <c r="J24" s="810" t="n">
        <f aca="false">J23+1</f>
        <v>2014</v>
      </c>
      <c r="K24" s="811" t="n">
        <f aca="false">(SUM('[1]Beneficiarios de AAFF y AUH'!C24:F24))/'[1]Población 1950-2100'!$BN$81</f>
        <v>0.327569516434364</v>
      </c>
      <c r="L24" s="811" t="n">
        <f aca="false">(SUM('[1]Beneficiarios de AAFF y AUH'!G24:H24))/'[1]Población 1950-2100'!$BN$81</f>
        <v>0.265648822789121</v>
      </c>
      <c r="M24" s="811" t="n">
        <f aca="false">K24+L24</f>
        <v>0.593218339223485</v>
      </c>
    </row>
    <row r="25" customFormat="false" ht="15" hidden="false" customHeight="false" outlineLevel="0" collapsed="false">
      <c r="C25" s="812" t="n">
        <f aca="false">C24+1</f>
        <v>2014</v>
      </c>
      <c r="D25" s="813" t="n">
        <f aca="false">('[1]Beneficiarios de jubilaciones'!O24+'[1]Beneficiarios de jubilaciones'!Q24+'[1]Beneficiarios de jubilaciones'!S24+'[1]Beneficiarios de jubilaciones'!U24)/'[1]Población 1950-2100'!BN80</f>
        <v>0.768773320409193</v>
      </c>
      <c r="E25" s="813" t="n">
        <f aca="false">'[1]Contribuyentes ANSES'!D76/'[1]Población 1950-2100'!$BN$82</f>
        <v>0.398102162892115</v>
      </c>
      <c r="F25" s="814"/>
      <c r="G25" s="814" t="n">
        <f aca="false">'[1]Contribuyentes ANSES'!D76/(+'[1]Beneficiarios de jubilaciones'!V24)</f>
        <v>2.22414059939898</v>
      </c>
      <c r="H25" s="814" t="n">
        <f aca="false">('[1]Contribuyentes ANSES'!D76-'[1]Contribuyentes ANSES'!F76-'[1]Contribuyentes ANSES'!H76)/('[1]Beneficiarios de jubilaciones'!V24)</f>
        <v>1.71940339717116</v>
      </c>
      <c r="J25" s="812" t="n">
        <f aca="false">J24+1</f>
        <v>2015</v>
      </c>
      <c r="K25" s="815" t="n">
        <f aca="false">(SUM('[1]Beneficiarios de AAFF y AUH'!C25:F25))/'[1]Población 1950-2100'!$BO$81</f>
        <v>0.295267369774937</v>
      </c>
      <c r="L25" s="815" t="n">
        <f aca="false">(SUM('[1]Beneficiarios de AAFF y AUH'!G25:H25))/'[1]Población 1950-2100'!$BO$81</f>
        <v>0.275595845412197</v>
      </c>
      <c r="M25" s="815" t="n">
        <f aca="false">K25+L25</f>
        <v>0.570863215187134</v>
      </c>
    </row>
    <row r="26" customFormat="false" ht="15" hidden="false" customHeight="false" outlineLevel="0" collapsed="false">
      <c r="C26" s="807" t="n">
        <f aca="false">C25+1</f>
        <v>2015</v>
      </c>
      <c r="D26" s="808" t="n">
        <f aca="false">('[1]Beneficiarios de jubilaciones'!O25+'[1]Beneficiarios de jubilaciones'!Q25+'[1]Beneficiarios de jubilaciones'!S25+'[1]Beneficiarios de jubilaciones'!U25)/'[1]Población 1950-2100'!BO80</f>
        <v>0.833199646077662</v>
      </c>
      <c r="E26" s="808" t="n">
        <f aca="false">'[1]Contribuyentes ANSES'!D77/'[1]Población 1950-2100'!$BO$82</f>
        <v>0.399576055536816</v>
      </c>
      <c r="F26" s="809"/>
      <c r="G26" s="809" t="n">
        <f aca="false">'[1]Contribuyentes ANSES'!D77/(+'[1]Beneficiarios de jubilaciones'!V25)</f>
        <v>2.04226479570593</v>
      </c>
      <c r="H26" s="809" t="n">
        <f aca="false">('[1]Contribuyentes ANSES'!D77-'[1]Contribuyentes ANSES'!F77-'[1]Contribuyentes ANSES'!H77)/('[1]Beneficiarios de jubilaciones'!V25)</f>
        <v>1.57719696805286</v>
      </c>
      <c r="J26" s="810" t="n">
        <f aca="false">J25+1</f>
        <v>2016</v>
      </c>
      <c r="K26" s="811" t="n">
        <f aca="false">(SUM('[1]Beneficiarios de AAFF y AUH'!C26:F26))/'[1]Población 1950-2100'!$BP$81</f>
        <v>0.347544212007722</v>
      </c>
      <c r="L26" s="811" t="n">
        <f aca="false">(SUM('[1]Beneficiarios de AAFF y AUH'!G26:H26))/'[1]Población 1950-2100'!$BP$81</f>
        <v>0.298096864169474</v>
      </c>
      <c r="M26" s="811" t="n">
        <f aca="false">K26+L26</f>
        <v>0.645641076177196</v>
      </c>
    </row>
    <row r="27" customFormat="false" ht="15" hidden="false" customHeight="false" outlineLevel="0" collapsed="false">
      <c r="C27" s="812" t="n">
        <f aca="false">C26+1</f>
        <v>2016</v>
      </c>
      <c r="D27" s="813" t="n">
        <f aca="false">('[1]Beneficiarios de jubilaciones'!O26+'[1]Beneficiarios de jubilaciones'!Q26+'[1]Beneficiarios de jubilaciones'!S26+'[1]Beneficiarios de jubilaciones'!U26)/'[1]Población 1950-2100'!BP80</f>
        <v>0.863103308314818</v>
      </c>
      <c r="E27" s="813" t="n">
        <f aca="false">'[1]Contribuyentes ANSES'!D78/'[1]Población 1950-2100'!$BP$82</f>
        <v>0.398213610092985</v>
      </c>
      <c r="F27" s="814"/>
      <c r="G27" s="814" t="n">
        <f aca="false">'[1]Contribuyentes ANSES'!D78/(+'[1]Beneficiarios de jubilaciones'!V26)</f>
        <v>1.94270018693761</v>
      </c>
      <c r="H27" s="814" t="n">
        <f aca="false">('[1]Contribuyentes ANSES'!D78-'[1]Contribuyentes ANSES'!F78-'[1]Contribuyentes ANSES'!H78)/('[1]Beneficiarios de jubilaciones'!V26)</f>
        <v>1.48536581595343</v>
      </c>
      <c r="J27" s="812" t="n">
        <f aca="false">J26+1</f>
        <v>2017</v>
      </c>
      <c r="K27" s="815" t="n">
        <f aca="false">(SUM('[1]Beneficiarios de AAFF y AUH'!C27:F27))/'[1]Población 1950-2100'!$BQ$81</f>
        <v>0.377740339976755</v>
      </c>
      <c r="L27" s="815" t="n">
        <f aca="false">(SUM('[1]Beneficiarios de AAFF y AUH'!G27:H27))/'[1]Población 1950-2100'!$BQ$81</f>
        <v>0.299303500751424</v>
      </c>
      <c r="M27" s="815" t="n">
        <f aca="false">K27+L27</f>
        <v>0.677043840728179</v>
      </c>
    </row>
    <row r="28" customFormat="false" ht="15" hidden="false" customHeight="false" outlineLevel="0" collapsed="false">
      <c r="C28" s="807" t="n">
        <f aca="false">C27+1</f>
        <v>2017</v>
      </c>
      <c r="D28" s="808" t="n">
        <f aca="false">('[1]Beneficiarios de jubilaciones'!O27+'[1]Beneficiarios de jubilaciones'!Q27+'[1]Beneficiarios de jubilaciones'!S27+'[1]Beneficiarios de jubilaciones'!U27)/'[1]Población 1950-2100'!BQ80</f>
        <v>0.870017671871194</v>
      </c>
      <c r="E28" s="808" t="n">
        <f aca="false">'[1]Contribuyentes ANSES'!D79/'[1]Población 1950-2100'!$BQ$82</f>
        <v>0.400671972234934</v>
      </c>
      <c r="F28" s="809"/>
      <c r="G28" s="809" t="n">
        <f aca="false">'[1]Contribuyentes ANSES'!D79/(+'[1]Beneficiarios de jubilaciones'!V27)</f>
        <v>1.92252503252826</v>
      </c>
      <c r="H28" s="809" t="n">
        <f aca="false">('[1]Contribuyentes ANSES'!D79-'[1]Contribuyentes ANSES'!F79-'[1]Contribuyentes ANSES'!H79)/('[1]Beneficiarios de jubilaciones'!V27)</f>
        <v>1.45867999776781</v>
      </c>
      <c r="J28" s="810" t="n">
        <f aca="false">J27+1</f>
        <v>2018</v>
      </c>
      <c r="K28" s="811" t="n">
        <f aca="false">(SUM('[1]Beneficiarios de AAFF y AUH'!C28:F28))/'[1]Población 1950-2100'!$BR$81</f>
        <v>0.386530208370114</v>
      </c>
      <c r="L28" s="811" t="n">
        <f aca="false">(SUM('[1]Beneficiarios de AAFF y AUH'!G28:H28))/'[1]Población 1950-2100'!$BR$81</f>
        <v>0.301193002122483</v>
      </c>
      <c r="M28" s="811" t="n">
        <f aca="false">K28+L28</f>
        <v>0.687723210492596</v>
      </c>
    </row>
    <row r="29" customFormat="false" ht="15" hidden="false" customHeight="false" outlineLevel="0" collapsed="false">
      <c r="C29" s="812" t="n">
        <f aca="false">C28+1</f>
        <v>2018</v>
      </c>
      <c r="D29" s="813" t="n">
        <f aca="false">('[1]Beneficiarios de jubilaciones'!O28+'[1]Beneficiarios de jubilaciones'!Q28+'[1]Beneficiarios de jubilaciones'!S28+'[1]Beneficiarios de jubilaciones'!U28)/'[1]Población 1950-2100'!BR80</f>
        <v>0.868073462837484</v>
      </c>
      <c r="E29" s="813" t="n">
        <f aca="false">AVERAGE('[1]Contribuyentes ANSES'!D80:D85)/'[1]Población 1950-2100'!$BR$82</f>
        <v>0.391165444601637</v>
      </c>
      <c r="F29" s="814"/>
      <c r="G29" s="814" t="n">
        <f aca="false">'[1]Contribuyentes ANSES'!D80/(+'[1]Beneficiarios de jubilaciones'!V28)</f>
        <v>1.90605735985539</v>
      </c>
      <c r="H29" s="814" t="n">
        <f aca="false">('[1]Contribuyentes ANSES'!D80-'[1]Contribuyentes ANSES'!F80-'[1]Contribuyentes ANSES'!H80)/('[1]Beneficiarios de jubilaciones'!V28)</f>
        <v>1.44673032098148</v>
      </c>
      <c r="J29" s="0" t="s">
        <v>1076</v>
      </c>
    </row>
    <row r="30" customFormat="false" ht="15" hidden="false" customHeight="false" outlineLevel="0" collapsed="false">
      <c r="B30" s="0" t="s">
        <v>1077</v>
      </c>
      <c r="D30" s="0" t="s">
        <v>1078</v>
      </c>
      <c r="E30" s="816" t="s">
        <v>1079</v>
      </c>
      <c r="F30" s="0" t="s">
        <v>1080</v>
      </c>
      <c r="G30" s="0" t="s">
        <v>1081</v>
      </c>
      <c r="H30" s="0" t="s">
        <v>1082</v>
      </c>
    </row>
    <row r="31" customFormat="false" ht="30" hidden="false" customHeight="false" outlineLevel="0" collapsed="false">
      <c r="J31" s="817"/>
      <c r="K31" s="818" t="str">
        <f aca="false">'[1]Contribuyentes ANSES'!D55</f>
        <v>Total de aportantes(1)</v>
      </c>
      <c r="L31" s="819" t="str">
        <f aca="false">'[1]Contribuyentes ANSES'!E55</f>
        <v>Relación de
dependencia</v>
      </c>
      <c r="M31" s="819" t="str">
        <f aca="false">'[1]Contribuyentes ANSES'!F55</f>
        <v>Casas Particulares</v>
      </c>
      <c r="N31" s="819" t="str">
        <f aca="false">'[1]Contribuyentes ANSES'!G55</f>
        <v>Autónomos</v>
      </c>
      <c r="O31" s="819" t="str">
        <f aca="false">'[1]Contribuyentes ANSES'!H55</f>
        <v>Monotributo(2)</v>
      </c>
      <c r="P31" s="819" t="s">
        <v>1083</v>
      </c>
    </row>
    <row r="32" customFormat="false" ht="15" hidden="false" customHeight="false" outlineLevel="0" collapsed="false">
      <c r="J32" s="820" t="n">
        <v>1994</v>
      </c>
      <c r="K32" s="821" t="n">
        <f aca="false">'[1]Contribuyentes ANSES'!D56</f>
        <v>5133337</v>
      </c>
      <c r="L32" s="821" t="n">
        <f aca="false">'[1]Contribuyentes ANSES'!E56</f>
        <v>3700589</v>
      </c>
      <c r="M32" s="821" t="n">
        <f aca="false">'[1]Contribuyentes ANSES'!F56</f>
        <v>0</v>
      </c>
      <c r="N32" s="821" t="n">
        <f aca="false">'[1]Contribuyentes ANSES'!G56</f>
        <v>1530834</v>
      </c>
      <c r="O32" s="821" t="n">
        <f aca="false">'[1]Contribuyentes ANSES'!H56</f>
        <v>0</v>
      </c>
      <c r="P32" s="820" t="n">
        <f aca="false">'[1]Contribuyentes ANSES'!D4*1000000</f>
        <v>2600000</v>
      </c>
    </row>
    <row r="33" customFormat="false" ht="15" hidden="false" customHeight="false" outlineLevel="0" collapsed="false">
      <c r="J33" s="812" t="n">
        <f aca="false">J32+1</f>
        <v>1995</v>
      </c>
      <c r="K33" s="822" t="n">
        <f aca="false">'[1]Contribuyentes ANSES'!D57</f>
        <v>4706946</v>
      </c>
      <c r="L33" s="822" t="n">
        <f aca="false">'[1]Contribuyentes ANSES'!E57</f>
        <v>3481583</v>
      </c>
      <c r="M33" s="822" t="n">
        <f aca="false">'[1]Contribuyentes ANSES'!F57</f>
        <v>0</v>
      </c>
      <c r="N33" s="822" t="n">
        <f aca="false">'[1]Contribuyentes ANSES'!G57</f>
        <v>1313960</v>
      </c>
      <c r="O33" s="822" t="n">
        <f aca="false">'[1]Contribuyentes ANSES'!H57</f>
        <v>0</v>
      </c>
      <c r="P33" s="812" t="n">
        <f aca="false">'[1]Contribuyentes ANSES'!D5*1000000</f>
        <v>2900000</v>
      </c>
    </row>
    <row r="34" customFormat="false" ht="15" hidden="false" customHeight="false" outlineLevel="0" collapsed="false">
      <c r="J34" s="820" t="n">
        <f aca="false">J33+1</f>
        <v>1996</v>
      </c>
      <c r="K34" s="821" t="n">
        <f aca="false">'[1]Contribuyentes ANSES'!D58</f>
        <v>4910831</v>
      </c>
      <c r="L34" s="821" t="n">
        <f aca="false">'[1]Contribuyentes ANSES'!E58</f>
        <v>3929008</v>
      </c>
      <c r="M34" s="821" t="n">
        <f aca="false">'[1]Contribuyentes ANSES'!F58</f>
        <v>0</v>
      </c>
      <c r="N34" s="821" t="n">
        <f aca="false">'[1]Contribuyentes ANSES'!G58</f>
        <v>1061710</v>
      </c>
      <c r="O34" s="821" t="n">
        <f aca="false">'[1]Contribuyentes ANSES'!H58</f>
        <v>0</v>
      </c>
      <c r="P34" s="820" t="n">
        <f aca="false">'[1]Contribuyentes ANSES'!D6*1000000</f>
        <v>3500000</v>
      </c>
    </row>
    <row r="35" customFormat="false" ht="15" hidden="false" customHeight="false" outlineLevel="0" collapsed="false">
      <c r="J35" s="812" t="n">
        <f aca="false">J34+1</f>
        <v>1997</v>
      </c>
      <c r="K35" s="822" t="n">
        <f aca="false">'[1]Contribuyentes ANSES'!D59</f>
        <v>5123196</v>
      </c>
      <c r="L35" s="822" t="n">
        <f aca="false">'[1]Contribuyentes ANSES'!E59</f>
        <v>4250090</v>
      </c>
      <c r="M35" s="822" t="n">
        <f aca="false">'[1]Contribuyentes ANSES'!F59</f>
        <v>0</v>
      </c>
      <c r="N35" s="822" t="n">
        <f aca="false">'[1]Contribuyentes ANSES'!G59</f>
        <v>947318</v>
      </c>
      <c r="O35" s="822" t="n">
        <f aca="false">'[1]Contribuyentes ANSES'!H59</f>
        <v>0</v>
      </c>
      <c r="P35" s="812" t="n">
        <f aca="false">'[1]Contribuyentes ANSES'!D7*1000000</f>
        <v>4100000</v>
      </c>
    </row>
    <row r="36" customFormat="false" ht="15" hidden="false" customHeight="false" outlineLevel="0" collapsed="false">
      <c r="J36" s="820" t="n">
        <f aca="false">J35+1</f>
        <v>1998</v>
      </c>
      <c r="K36" s="821" t="n">
        <f aca="false">'[1]Contribuyentes ANSES'!D60</f>
        <v>5492389</v>
      </c>
      <c r="L36" s="821" t="n">
        <f aca="false">'[1]Contribuyentes ANSES'!E60</f>
        <v>4428527</v>
      </c>
      <c r="M36" s="821" t="n">
        <f aca="false">'[1]Contribuyentes ANSES'!F60</f>
        <v>0</v>
      </c>
      <c r="N36" s="821" t="n">
        <f aca="false">'[1]Contribuyentes ANSES'!G60</f>
        <v>640733</v>
      </c>
      <c r="O36" s="821" t="n">
        <f aca="false">'[1]Contribuyentes ANSES'!H60</f>
        <v>520176</v>
      </c>
      <c r="P36" s="820" t="n">
        <f aca="false">'[1]Contribuyentes ANSES'!D8*1000000</f>
        <v>4400000</v>
      </c>
    </row>
    <row r="37" customFormat="false" ht="15" hidden="false" customHeight="false" outlineLevel="0" collapsed="false">
      <c r="J37" s="812" t="n">
        <f aca="false">J36+1</f>
        <v>1999</v>
      </c>
      <c r="K37" s="822" t="n">
        <f aca="false">'[1]Contribuyentes ANSES'!D61</f>
        <v>5430679</v>
      </c>
      <c r="L37" s="822" t="n">
        <f aca="false">'[1]Contribuyentes ANSES'!E61</f>
        <v>4426683</v>
      </c>
      <c r="M37" s="822" t="n">
        <f aca="false">'[1]Contribuyentes ANSES'!F61</f>
        <v>29408</v>
      </c>
      <c r="N37" s="822" t="n">
        <f aca="false">'[1]Contribuyentes ANSES'!G61</f>
        <v>550873</v>
      </c>
      <c r="O37" s="822" t="n">
        <f aca="false">'[1]Contribuyentes ANSES'!H61</f>
        <v>513105</v>
      </c>
      <c r="P37" s="812" t="n">
        <f aca="false">'[1]Contribuyentes ANSES'!D9*1000000</f>
        <v>4500000</v>
      </c>
    </row>
    <row r="38" customFormat="false" ht="15" hidden="false" customHeight="false" outlineLevel="0" collapsed="false">
      <c r="J38" s="820" t="n">
        <f aca="false">J37+1</f>
        <v>2000</v>
      </c>
      <c r="K38" s="821" t="n">
        <f aca="false">'[1]Contribuyentes ANSES'!D62</f>
        <v>5619684</v>
      </c>
      <c r="L38" s="821" t="n">
        <f aca="false">'[1]Contribuyentes ANSES'!E62</f>
        <v>4500218</v>
      </c>
      <c r="M38" s="821" t="n">
        <f aca="false">'[1]Contribuyentes ANSES'!F62</f>
        <v>228443</v>
      </c>
      <c r="N38" s="821" t="n">
        <f aca="false">'[1]Contribuyentes ANSES'!G62</f>
        <v>483737</v>
      </c>
      <c r="O38" s="821" t="n">
        <f aca="false">'[1]Contribuyentes ANSES'!H62</f>
        <v>489449</v>
      </c>
      <c r="P38" s="820" t="n">
        <f aca="false">'[1]Contribuyentes ANSES'!D10*1000000</f>
        <v>4500000</v>
      </c>
    </row>
    <row r="39" customFormat="false" ht="15" hidden="false" customHeight="false" outlineLevel="0" collapsed="false">
      <c r="J39" s="812" t="n">
        <f aca="false">J38+1</f>
        <v>2001</v>
      </c>
      <c r="K39" s="822" t="n">
        <f aca="false">'[1]Contribuyentes ANSES'!D63</f>
        <v>5153611</v>
      </c>
      <c r="L39" s="822" t="n">
        <f aca="false">'[1]Contribuyentes ANSES'!E63</f>
        <v>4206056</v>
      </c>
      <c r="M39" s="822" t="n">
        <f aca="false">'[1]Contribuyentes ANSES'!F63</f>
        <v>206202</v>
      </c>
      <c r="N39" s="822" t="n">
        <f aca="false">'[1]Contribuyentes ANSES'!G63</f>
        <v>382867</v>
      </c>
      <c r="O39" s="822" t="n">
        <f aca="false">'[1]Contribuyentes ANSES'!H63</f>
        <v>424417</v>
      </c>
      <c r="P39" s="812" t="n">
        <f aca="false">'[1]Contribuyentes ANSES'!D11*1000000</f>
        <v>4200000</v>
      </c>
    </row>
    <row r="40" customFormat="false" ht="15" hidden="false" customHeight="false" outlineLevel="0" collapsed="false">
      <c r="J40" s="820" t="n">
        <f aca="false">J39+1</f>
        <v>2002</v>
      </c>
      <c r="K40" s="821" t="n">
        <f aca="false">'[1]Contribuyentes ANSES'!D64</f>
        <v>4888873</v>
      </c>
      <c r="L40" s="821" t="n">
        <f aca="false">'[1]Contribuyentes ANSES'!E64</f>
        <v>4028297</v>
      </c>
      <c r="M40" s="821" t="n">
        <f aca="false">'[1]Contribuyentes ANSES'!F64</f>
        <v>154862</v>
      </c>
      <c r="N40" s="821" t="n">
        <f aca="false">'[1]Contribuyentes ANSES'!G64</f>
        <v>365312</v>
      </c>
      <c r="O40" s="821" t="n">
        <f aca="false">'[1]Contribuyentes ANSES'!H64</f>
        <v>400843</v>
      </c>
      <c r="P40" s="820" t="n">
        <f aca="false">'[1]Contribuyentes ANSES'!D12*1000000</f>
        <v>4000000</v>
      </c>
    </row>
    <row r="41" customFormat="false" ht="15" hidden="false" customHeight="false" outlineLevel="0" collapsed="false">
      <c r="J41" s="812" t="n">
        <f aca="false">J40+1</f>
        <v>2003</v>
      </c>
      <c r="K41" s="822" t="n">
        <f aca="false">'[1]Contribuyentes ANSES'!D65</f>
        <v>5334381</v>
      </c>
      <c r="L41" s="822" t="n">
        <f aca="false">'[1]Contribuyentes ANSES'!E65</f>
        <v>4424825</v>
      </c>
      <c r="M41" s="822" t="n">
        <f aca="false">'[1]Contribuyentes ANSES'!F65</f>
        <v>116073</v>
      </c>
      <c r="N41" s="822" t="n">
        <f aca="false">'[1]Contribuyentes ANSES'!G65</f>
        <v>376555</v>
      </c>
      <c r="O41" s="822" t="n">
        <f aca="false">'[1]Contribuyentes ANSES'!H65</f>
        <v>485924</v>
      </c>
      <c r="P41" s="812" t="n">
        <f aca="false">'[1]Contribuyentes ANSES'!D13*1000000</f>
        <v>4500000</v>
      </c>
    </row>
    <row r="42" customFormat="false" ht="15" hidden="false" customHeight="false" outlineLevel="0" collapsed="false">
      <c r="J42" s="820" t="n">
        <f aca="false">J41+1</f>
        <v>2004</v>
      </c>
      <c r="K42" s="821" t="n">
        <f aca="false">'[1]Contribuyentes ANSES'!D66</f>
        <v>6110177</v>
      </c>
      <c r="L42" s="821" t="n">
        <f aca="false">'[1]Contribuyentes ANSES'!E66</f>
        <v>4879470</v>
      </c>
      <c r="M42" s="821" t="n">
        <f aca="false">'[1]Contribuyentes ANSES'!F66</f>
        <v>87718</v>
      </c>
      <c r="N42" s="821" t="n">
        <f aca="false">'[1]Contribuyentes ANSES'!G66</f>
        <v>439787</v>
      </c>
      <c r="O42" s="821" t="n">
        <f aca="false">'[1]Contribuyentes ANSES'!H66</f>
        <v>779181</v>
      </c>
      <c r="P42" s="820" t="n">
        <f aca="false">'[1]Contribuyentes ANSES'!D14*1000000</f>
        <v>5100000</v>
      </c>
    </row>
    <row r="43" customFormat="false" ht="15" hidden="false" customHeight="false" outlineLevel="0" collapsed="false">
      <c r="J43" s="812" t="n">
        <f aca="false">J42+1</f>
        <v>2005</v>
      </c>
      <c r="K43" s="822" t="n">
        <f aca="false">'[1]Contribuyentes ANSES'!D67</f>
        <v>6764381</v>
      </c>
      <c r="L43" s="822" t="n">
        <f aca="false">'[1]Contribuyentes ANSES'!E67</f>
        <v>5389343</v>
      </c>
      <c r="M43" s="822" t="n">
        <f aca="false">'[1]Contribuyentes ANSES'!F67</f>
        <v>133458</v>
      </c>
      <c r="N43" s="822" t="n">
        <f aca="false">'[1]Contribuyentes ANSES'!G67</f>
        <v>440819</v>
      </c>
      <c r="O43" s="822" t="n">
        <f aca="false">'[1]Contribuyentes ANSES'!H67</f>
        <v>886284</v>
      </c>
      <c r="P43" s="812" t="n">
        <f aca="false">'[1]Contribuyentes ANSES'!D15*1000000</f>
        <v>5500000</v>
      </c>
    </row>
    <row r="44" customFormat="false" ht="15" hidden="false" customHeight="false" outlineLevel="0" collapsed="false">
      <c r="J44" s="820" t="n">
        <f aca="false">J43+1</f>
        <v>2006</v>
      </c>
      <c r="K44" s="821" t="n">
        <f aca="false">'[1]Contribuyentes ANSES'!D68</f>
        <v>7423536</v>
      </c>
      <c r="L44" s="821" t="n">
        <f aca="false">'[1]Contribuyentes ANSES'!E68</f>
        <v>5801523</v>
      </c>
      <c r="M44" s="821" t="n">
        <f aca="false">'[1]Contribuyentes ANSES'!F68</f>
        <v>239800</v>
      </c>
      <c r="N44" s="821" t="n">
        <f aca="false">'[1]Contribuyentes ANSES'!G68</f>
        <v>454273</v>
      </c>
      <c r="O44" s="821" t="n">
        <f aca="false">'[1]Contribuyentes ANSES'!H68</f>
        <v>1025496</v>
      </c>
      <c r="P44" s="820" t="n">
        <f aca="false">'[1]Contribuyentes ANSES'!D16*1000000</f>
        <v>5900000</v>
      </c>
    </row>
    <row r="45" customFormat="false" ht="15" hidden="false" customHeight="false" outlineLevel="0" collapsed="false">
      <c r="J45" s="812" t="n">
        <f aca="false">J44+1</f>
        <v>2007</v>
      </c>
      <c r="K45" s="822" t="n">
        <f aca="false">'[1]Contribuyentes ANSES'!D69</f>
        <v>7992422</v>
      </c>
      <c r="L45" s="822" t="n">
        <f aca="false">'[1]Contribuyentes ANSES'!E69</f>
        <v>6246984</v>
      </c>
      <c r="M45" s="822" t="n">
        <f aca="false">'[1]Contribuyentes ANSES'!F69</f>
        <v>295405</v>
      </c>
      <c r="N45" s="822" t="n">
        <f aca="false">'[1]Contribuyentes ANSES'!G69</f>
        <v>454473</v>
      </c>
      <c r="O45" s="822" t="n">
        <f aca="false">'[1]Contribuyentes ANSES'!H69</f>
        <v>1095610</v>
      </c>
      <c r="P45" s="812" t="n">
        <f aca="false">'[1]Contribuyentes ANSES'!D17*1000000</f>
        <v>5600000</v>
      </c>
    </row>
    <row r="46" customFormat="false" ht="15" hidden="false" customHeight="false" outlineLevel="0" collapsed="false">
      <c r="J46" s="820" t="n">
        <f aca="false">J45+1</f>
        <v>2008</v>
      </c>
      <c r="K46" s="821" t="n">
        <f aca="false">'[1]Contribuyentes ANSES'!D70</f>
        <v>8323526</v>
      </c>
      <c r="L46" s="821" t="n">
        <f aca="false">'[1]Contribuyentes ANSES'!E70</f>
        <v>6414915</v>
      </c>
      <c r="M46" s="821" t="n">
        <f aca="false">'[1]Contribuyentes ANSES'!F70</f>
        <v>337756</v>
      </c>
      <c r="N46" s="821" t="n">
        <f aca="false">'[1]Contribuyentes ANSES'!G70</f>
        <v>470958</v>
      </c>
      <c r="O46" s="821" t="n">
        <f aca="false">'[1]Contribuyentes ANSES'!H70</f>
        <v>1209482</v>
      </c>
      <c r="P46" s="820" t="n">
        <f aca="false">'[1]Contribuyentes ANSES'!D18*1000000</f>
        <v>4800000</v>
      </c>
    </row>
    <row r="47" customFormat="false" ht="15" hidden="false" customHeight="false" outlineLevel="0" collapsed="false">
      <c r="J47" s="812" t="n">
        <f aca="false">J46+1</f>
        <v>2009</v>
      </c>
      <c r="K47" s="822" t="n">
        <f aca="false">'[1]Contribuyentes ANSES'!D71</f>
        <v>8490198</v>
      </c>
      <c r="L47" s="822" t="n">
        <f aca="false">'[1]Contribuyentes ANSES'!E71</f>
        <v>6474374</v>
      </c>
      <c r="M47" s="822" t="n">
        <f aca="false">'[1]Contribuyentes ANSES'!F71</f>
        <v>367171</v>
      </c>
      <c r="N47" s="822" t="n">
        <f aca="false">'[1]Contribuyentes ANSES'!G71</f>
        <v>475396</v>
      </c>
      <c r="O47" s="822" t="n">
        <f aca="false">'[1]Contribuyentes ANSES'!H71</f>
        <v>1282208</v>
      </c>
      <c r="P47" s="812"/>
    </row>
    <row r="48" customFormat="false" ht="15" hidden="false" customHeight="false" outlineLevel="0" collapsed="false">
      <c r="J48" s="820" t="n">
        <f aca="false">J47+1</f>
        <v>2010</v>
      </c>
      <c r="K48" s="821" t="n">
        <f aca="false">'[1]Contribuyentes ANSES'!D72</f>
        <v>8857445</v>
      </c>
      <c r="L48" s="821" t="n">
        <f aca="false">'[1]Contribuyentes ANSES'!E72</f>
        <v>6732665</v>
      </c>
      <c r="M48" s="821" t="n">
        <f aca="false">'[1]Contribuyentes ANSES'!F72</f>
        <v>368967</v>
      </c>
      <c r="N48" s="821" t="n">
        <f aca="false">'[1]Contribuyentes ANSES'!G72</f>
        <v>487435</v>
      </c>
      <c r="O48" s="821" t="n">
        <f aca="false">'[1]Contribuyentes ANSES'!H72</f>
        <v>1375997</v>
      </c>
      <c r="P48" s="820"/>
    </row>
    <row r="49" customFormat="false" ht="15" hidden="false" customHeight="false" outlineLevel="0" collapsed="false">
      <c r="J49" s="812" t="n">
        <f aca="false">J48+1</f>
        <v>2011</v>
      </c>
      <c r="K49" s="822" t="n">
        <f aca="false">'[1]Contribuyentes ANSES'!D73</f>
        <v>9230788</v>
      </c>
      <c r="L49" s="822" t="n">
        <f aca="false">'[1]Contribuyentes ANSES'!E73</f>
        <v>6986246</v>
      </c>
      <c r="M49" s="822" t="n">
        <f aca="false">'[1]Contribuyentes ANSES'!F73</f>
        <v>359525</v>
      </c>
      <c r="N49" s="822" t="n">
        <f aca="false">'[1]Contribuyentes ANSES'!G73</f>
        <v>508622</v>
      </c>
      <c r="O49" s="822" t="n">
        <f aca="false">'[1]Contribuyentes ANSES'!H73</f>
        <v>1493047</v>
      </c>
      <c r="P49" s="812"/>
    </row>
    <row r="50" customFormat="false" ht="15" hidden="false" customHeight="false" outlineLevel="0" collapsed="false">
      <c r="J50" s="820" t="n">
        <f aca="false">J49+1</f>
        <v>2012</v>
      </c>
      <c r="K50" s="821" t="n">
        <f aca="false">'[1]Contribuyentes ANSES'!D74</f>
        <v>9351697</v>
      </c>
      <c r="L50" s="821" t="n">
        <f aca="false">'[1]Contribuyentes ANSES'!E74</f>
        <v>7002490</v>
      </c>
      <c r="M50" s="821" t="n">
        <f aca="false">'[1]Contribuyentes ANSES'!F74</f>
        <v>370095</v>
      </c>
      <c r="N50" s="821" t="n">
        <f aca="false">'[1]Contribuyentes ANSES'!G74</f>
        <v>523613</v>
      </c>
      <c r="O50" s="821" t="n">
        <f aca="false">'[1]Contribuyentes ANSES'!H74</f>
        <v>1571985</v>
      </c>
      <c r="P50" s="820"/>
    </row>
    <row r="51" customFormat="false" ht="15" hidden="false" customHeight="false" outlineLevel="0" collapsed="false">
      <c r="J51" s="812" t="n">
        <f aca="false">J50+1</f>
        <v>2013</v>
      </c>
      <c r="K51" s="822" t="n">
        <f aca="false">'[1]Contribuyentes ANSES'!D75</f>
        <v>9695337</v>
      </c>
      <c r="L51" s="822" t="n">
        <f aca="false">'[1]Contribuyentes ANSES'!E75</f>
        <v>7070532</v>
      </c>
      <c r="M51" s="822" t="n">
        <f aca="false">'[1]Contribuyentes ANSES'!F75</f>
        <v>435877</v>
      </c>
      <c r="N51" s="822" t="n">
        <f aca="false">'[1]Contribuyentes ANSES'!G75</f>
        <v>545582</v>
      </c>
      <c r="O51" s="822" t="n">
        <f aca="false">'[1]Contribuyentes ANSES'!H75</f>
        <v>1767615</v>
      </c>
      <c r="P51" s="812"/>
    </row>
    <row r="52" customFormat="false" ht="15" hidden="false" customHeight="false" outlineLevel="0" collapsed="false">
      <c r="J52" s="820" t="n">
        <f aca="false">J51+1</f>
        <v>2014</v>
      </c>
      <c r="K52" s="821" t="n">
        <f aca="false">'[1]Contribuyentes ANSES'!D76</f>
        <v>9714843</v>
      </c>
      <c r="L52" s="821" t="n">
        <f aca="false">'[1]Contribuyentes ANSES'!E76</f>
        <v>7094528</v>
      </c>
      <c r="M52" s="821" t="n">
        <f aca="false">'[1]Contribuyentes ANSES'!F76</f>
        <v>403386</v>
      </c>
      <c r="N52" s="821" t="n">
        <f aca="false">'[1]Contribuyentes ANSES'!G76</f>
        <v>535911</v>
      </c>
      <c r="O52" s="821" t="n">
        <f aca="false">'[1]Contribuyentes ANSES'!H76</f>
        <v>1801260</v>
      </c>
      <c r="P52" s="820"/>
    </row>
    <row r="53" customFormat="false" ht="15" hidden="false" customHeight="false" outlineLevel="0" collapsed="false">
      <c r="J53" s="812" t="n">
        <f aca="false">J52+1</f>
        <v>2015</v>
      </c>
      <c r="K53" s="822" t="n">
        <f aca="false">'[1]Contribuyentes ANSES'!D77</f>
        <v>9857400</v>
      </c>
      <c r="L53" s="822" t="n">
        <f aca="false">'[1]Contribuyentes ANSES'!E77</f>
        <v>7201832</v>
      </c>
      <c r="M53" s="822" t="n">
        <f aca="false">'[1]Contribuyentes ANSES'!F77</f>
        <v>415030</v>
      </c>
      <c r="N53" s="822" t="n">
        <f aca="false">'[1]Contribuyentes ANSES'!G77</f>
        <v>541906</v>
      </c>
      <c r="O53" s="822" t="n">
        <f aca="false">'[1]Contribuyentes ANSES'!H77</f>
        <v>1829713</v>
      </c>
      <c r="P53" s="812"/>
    </row>
    <row r="54" customFormat="false" ht="15" hidden="false" customHeight="false" outlineLevel="0" collapsed="false">
      <c r="J54" s="820" t="n">
        <f aca="false">J53+1</f>
        <v>2016</v>
      </c>
      <c r="K54" s="821" t="n">
        <f aca="false">'[1]Contribuyentes ANSES'!D78</f>
        <v>9927705</v>
      </c>
      <c r="L54" s="821" t="n">
        <f aca="false">'[1]Contribuyentes ANSES'!E78</f>
        <v>7167657</v>
      </c>
      <c r="M54" s="821" t="n">
        <f aca="false">'[1]Contribuyentes ANSES'!F78</f>
        <v>433905</v>
      </c>
      <c r="N54" s="821" t="n">
        <f aca="false">'[1]Contribuyentes ANSES'!G78</f>
        <v>551932</v>
      </c>
      <c r="O54" s="821" t="n">
        <f aca="false">'[1]Contribuyentes ANSES'!H78</f>
        <v>1903193</v>
      </c>
      <c r="P54" s="820"/>
    </row>
    <row r="55" customFormat="false" ht="15" hidden="false" customHeight="false" outlineLevel="0" collapsed="false">
      <c r="J55" s="812" t="n">
        <f aca="false">J54+1</f>
        <v>2017</v>
      </c>
      <c r="K55" s="822" t="n">
        <f aca="false">'[1]Contribuyentes ANSES'!D79</f>
        <v>10091261</v>
      </c>
      <c r="L55" s="822" t="n">
        <f aca="false">'[1]Contribuyentes ANSES'!E79</f>
        <v>7246488</v>
      </c>
      <c r="M55" s="822" t="n">
        <f aca="false">'[1]Contribuyentes ANSES'!F79</f>
        <v>440285</v>
      </c>
      <c r="N55" s="822" t="n">
        <f aca="false">'[1]Contribuyentes ANSES'!G79</f>
        <v>531204</v>
      </c>
      <c r="O55" s="822" t="n">
        <f aca="false">'[1]Contribuyentes ANSES'!H79</f>
        <v>1994420</v>
      </c>
      <c r="P55" s="812"/>
    </row>
    <row r="56" customFormat="false" ht="15" hidden="false" customHeight="false" outlineLevel="0" collapsed="false">
      <c r="J56" s="820" t="n">
        <v>2018</v>
      </c>
      <c r="K56" s="821" t="n">
        <f aca="false">AVERAGE(K57:K62)</f>
        <v>9950337.66666667</v>
      </c>
      <c r="L56" s="821" t="n">
        <f aca="false">AVERAGE(L57:L62)</f>
        <v>7195407.16666667</v>
      </c>
      <c r="M56" s="821" t="n">
        <f aca="false">AVERAGE(M57:M62)</f>
        <v>435632.5</v>
      </c>
      <c r="N56" s="821" t="n">
        <f aca="false">AVERAGE(N57:N62)</f>
        <v>507878.5</v>
      </c>
      <c r="O56" s="821" t="n">
        <f aca="false">AVERAGE(O57:O62)</f>
        <v>1925394</v>
      </c>
      <c r="P56" s="820"/>
    </row>
    <row r="57" customFormat="false" ht="15" hidden="false" customHeight="false" outlineLevel="0" collapsed="false">
      <c r="J57" s="812" t="str">
        <f aca="false">'[1]Contribuyentes ANSES'!C80</f>
        <v>ene-18</v>
      </c>
      <c r="K57" s="822" t="n">
        <f aca="false">'[1]Contribuyentes ANSES'!D80</f>
        <v>10038343</v>
      </c>
      <c r="L57" s="822" t="n">
        <f aca="false">'[1]Contribuyentes ANSES'!E80</f>
        <v>7215590</v>
      </c>
      <c r="M57" s="822" t="n">
        <f aca="false">'[1]Contribuyentes ANSES'!F80</f>
        <v>438700</v>
      </c>
      <c r="N57" s="822" t="n">
        <f aca="false">'[1]Contribuyentes ANSES'!G80</f>
        <v>521741</v>
      </c>
      <c r="O57" s="822" t="n">
        <f aca="false">'[1]Contribuyentes ANSES'!H80</f>
        <v>1980368</v>
      </c>
      <c r="P57" s="812"/>
    </row>
    <row r="58" customFormat="false" ht="15" hidden="false" customHeight="false" outlineLevel="0" collapsed="false">
      <c r="J58" s="820" t="str">
        <f aca="false">'[1]Contribuyentes ANSES'!C81</f>
        <v>feb-18</v>
      </c>
      <c r="K58" s="821" t="n">
        <f aca="false">'[1]Contribuyentes ANSES'!D81</f>
        <v>10021368</v>
      </c>
      <c r="L58" s="821" t="n">
        <f aca="false">'[1]Contribuyentes ANSES'!E81</f>
        <v>7225474</v>
      </c>
      <c r="M58" s="821" t="n">
        <f aca="false">'[1]Contribuyentes ANSES'!F81</f>
        <v>437882</v>
      </c>
      <c r="N58" s="821" t="n">
        <f aca="false">'[1]Contribuyentes ANSES'!G81</f>
        <v>518010</v>
      </c>
      <c r="O58" s="821" t="n">
        <f aca="false">'[1]Contribuyentes ANSES'!H81</f>
        <v>1956393</v>
      </c>
      <c r="P58" s="820"/>
    </row>
    <row r="59" customFormat="false" ht="15" hidden="false" customHeight="false" outlineLevel="0" collapsed="false">
      <c r="J59" s="812" t="str">
        <f aca="false">'[1]Contribuyentes ANSES'!C82</f>
        <v>mar-18</v>
      </c>
      <c r="K59" s="822" t="n">
        <f aca="false">'[1]Contribuyentes ANSES'!D82</f>
        <v>10022307</v>
      </c>
      <c r="L59" s="822" t="n">
        <f aca="false">'[1]Contribuyentes ANSES'!E82</f>
        <v>7238154</v>
      </c>
      <c r="M59" s="822" t="n">
        <f aca="false">'[1]Contribuyentes ANSES'!F82</f>
        <v>435924</v>
      </c>
      <c r="N59" s="822" t="n">
        <f aca="false">'[1]Contribuyentes ANSES'!G82</f>
        <v>513556</v>
      </c>
      <c r="O59" s="822" t="n">
        <f aca="false">'[1]Contribuyentes ANSES'!H82</f>
        <v>1952185</v>
      </c>
      <c r="P59" s="812"/>
    </row>
    <row r="60" customFormat="false" ht="15" hidden="false" customHeight="false" outlineLevel="0" collapsed="false">
      <c r="J60" s="820" t="str">
        <f aca="false">'[1]Contribuyentes ANSES'!C83</f>
        <v>abr-18</v>
      </c>
      <c r="K60" s="821" t="n">
        <f aca="false">'[1]Contribuyentes ANSES'!D83</f>
        <v>9960986</v>
      </c>
      <c r="L60" s="821" t="n">
        <f aca="false">'[1]Contribuyentes ANSES'!E83</f>
        <v>7189145</v>
      </c>
      <c r="M60" s="821" t="n">
        <f aca="false">'[1]Contribuyentes ANSES'!F83</f>
        <v>436013</v>
      </c>
      <c r="N60" s="821" t="n">
        <f aca="false">'[1]Contribuyentes ANSES'!G83</f>
        <v>507462</v>
      </c>
      <c r="O60" s="821" t="n">
        <f aca="false">'[1]Contribuyentes ANSES'!H83</f>
        <v>1942634</v>
      </c>
      <c r="P60" s="820"/>
    </row>
    <row r="61" customFormat="false" ht="15" hidden="false" customHeight="false" outlineLevel="0" collapsed="false">
      <c r="J61" s="812" t="str">
        <f aca="false">'[1]Contribuyentes ANSES'!C84</f>
        <v>may-18</v>
      </c>
      <c r="K61" s="822" t="n">
        <f aca="false">'[1]Contribuyentes ANSES'!D84</f>
        <v>9854133</v>
      </c>
      <c r="L61" s="822" t="n">
        <f aca="false">'[1]Contribuyentes ANSES'!E84</f>
        <v>7155155</v>
      </c>
      <c r="M61" s="822" t="n">
        <f aca="false">'[1]Contribuyentes ANSES'!F84</f>
        <v>434552</v>
      </c>
      <c r="N61" s="822" t="n">
        <f aca="false">'[1]Contribuyentes ANSES'!G84</f>
        <v>498482</v>
      </c>
      <c r="O61" s="822" t="n">
        <f aca="false">'[1]Contribuyentes ANSES'!H84</f>
        <v>1876179</v>
      </c>
      <c r="P61" s="812"/>
    </row>
    <row r="62" customFormat="false" ht="15" hidden="false" customHeight="false" outlineLevel="0" collapsed="false">
      <c r="J62" s="820" t="str">
        <f aca="false">'[1]Contribuyentes ANSES'!C85</f>
        <v>jun-18 </v>
      </c>
      <c r="K62" s="821" t="n">
        <f aca="false">'[1]Contribuyentes ANSES'!D85</f>
        <v>9804889</v>
      </c>
      <c r="L62" s="821" t="n">
        <f aca="false">'[1]Contribuyentes ANSES'!E85</f>
        <v>7148925</v>
      </c>
      <c r="M62" s="821" t="n">
        <f aca="false">'[1]Contribuyentes ANSES'!F85</f>
        <v>430724</v>
      </c>
      <c r="N62" s="821" t="n">
        <f aca="false">'[1]Contribuyentes ANSES'!G85</f>
        <v>488020</v>
      </c>
      <c r="O62" s="821" t="n">
        <f aca="false">'[1]Contribuyentes ANSES'!H85</f>
        <v>1844605</v>
      </c>
      <c r="P62" s="820"/>
    </row>
    <row r="63" customFormat="false" ht="15" hidden="false" customHeight="false" outlineLevel="0" collapsed="false">
      <c r="J63" s="823" t="s">
        <v>1084</v>
      </c>
      <c r="L63" s="823"/>
    </row>
    <row r="64" customFormat="false" ht="15" hidden="false" customHeight="false" outlineLevel="0" collapsed="false">
      <c r="J64" s="0" t="s">
        <v>1085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sheetPr filterMode="false">
    <pageSetUpPr fitToPage="false"/>
  </sheetPr>
  <dimension ref="A2:AK98"/>
  <sheetViews>
    <sheetView showFormulas="false" showGridLines="true" showRowColHeaders="true" showZeros="true" rightToLeft="false" tabSelected="true" showOutlineSymbols="true" defaultGridColor="true" view="normal" topLeftCell="R1" colorId="64" zoomScale="75" zoomScaleNormal="75" zoomScalePageLayoutView="100" workbookViewId="0">
      <selection pane="topLeft" activeCell="U16" activeCellId="0" sqref="U16"/>
    </sheetView>
  </sheetViews>
  <sheetFormatPr defaultColWidth="11.43359375" defaultRowHeight="15" zeroHeight="false" outlineLevelRow="0" outlineLevelCol="0"/>
  <cols>
    <col collapsed="false" customWidth="false" hidden="false" outlineLevel="0" max="1" min="1" style="1" width="11.42"/>
    <col collapsed="false" customWidth="true" hidden="false" outlineLevel="0" max="4" min="2" style="1" width="16.42"/>
    <col collapsed="false" customWidth="true" hidden="false" outlineLevel="0" max="6" min="5" style="1" width="24.42"/>
    <col collapsed="false" customWidth="true" hidden="false" outlineLevel="0" max="7" min="7" style="1" width="22.86"/>
    <col collapsed="false" customWidth="true" hidden="false" outlineLevel="0" max="8" min="8" style="1" width="24.15"/>
    <col collapsed="false" customWidth="true" hidden="false" outlineLevel="0" max="9" min="9" style="1" width="17.42"/>
    <col collapsed="false" customWidth="true" hidden="false" outlineLevel="0" max="10" min="10" style="1" width="16.42"/>
    <col collapsed="false" customWidth="true" hidden="false" outlineLevel="0" max="11" min="11" style="1" width="18.29"/>
    <col collapsed="false" customWidth="false" hidden="false" outlineLevel="0" max="12" min="12" style="1" width="11.42"/>
    <col collapsed="false" customWidth="true" hidden="false" outlineLevel="0" max="13" min="13" style="1" width="27.29"/>
    <col collapsed="false" customWidth="true" hidden="false" outlineLevel="0" max="19" min="14" style="1" width="17.42"/>
    <col collapsed="false" customWidth="true" hidden="false" outlineLevel="0" max="20" min="20" style="1" width="24.86"/>
    <col collapsed="false" customWidth="true" hidden="false" outlineLevel="0" max="21" min="21" style="1" width="18.71"/>
    <col collapsed="false" customWidth="true" hidden="false" outlineLevel="0" max="22" min="22" style="1" width="19.14"/>
    <col collapsed="false" customWidth="false" hidden="false" outlineLevel="0" max="23" min="23" style="1" width="11.42"/>
    <col collapsed="false" customWidth="true" hidden="false" outlineLevel="0" max="24" min="24" style="1" width="15"/>
    <col collapsed="false" customWidth="false" hidden="false" outlineLevel="0" max="25" min="25" style="1" width="11.42"/>
    <col collapsed="false" customWidth="true" hidden="false" outlineLevel="0" max="27" min="26" style="1" width="15"/>
    <col collapsed="false" customWidth="true" hidden="false" outlineLevel="0" max="28" min="28" style="1" width="19.14"/>
    <col collapsed="false" customWidth="true" hidden="false" outlineLevel="0" max="29" min="29" style="1" width="16.42"/>
    <col collapsed="false" customWidth="false" hidden="false" outlineLevel="0" max="30" min="30" style="1" width="11.42"/>
    <col collapsed="false" customWidth="true" hidden="false" outlineLevel="0" max="31" min="31" style="1" width="16.42"/>
    <col collapsed="false" customWidth="false" hidden="false" outlineLevel="0" max="32" min="32" style="1" width="11.42"/>
    <col collapsed="false" customWidth="true" hidden="false" outlineLevel="0" max="33" min="33" style="1" width="16.42"/>
    <col collapsed="false" customWidth="false" hidden="false" outlineLevel="0" max="35" min="34" style="1" width="11.42"/>
    <col collapsed="false" customWidth="true" hidden="false" outlineLevel="0" max="36" min="36" style="1" width="13.86"/>
    <col collapsed="false" customWidth="false" hidden="false" outlineLevel="0" max="37" min="37" style="1" width="11.42"/>
    <col collapsed="false" customWidth="true" hidden="false" outlineLevel="0" max="257" min="255" style="0" width="16.42"/>
    <col collapsed="false" customWidth="true" hidden="false" outlineLevel="0" max="259" min="258" style="0" width="24.42"/>
    <col collapsed="false" customWidth="true" hidden="false" outlineLevel="0" max="260" min="260" style="0" width="22.86"/>
    <col collapsed="false" customWidth="true" hidden="false" outlineLevel="0" max="261" min="261" style="0" width="24.15"/>
    <col collapsed="false" customWidth="true" hidden="false" outlineLevel="0" max="262" min="262" style="0" width="17.42"/>
    <col collapsed="false" customWidth="true" hidden="false" outlineLevel="0" max="263" min="263" style="0" width="16.42"/>
    <col collapsed="false" customWidth="true" hidden="false" outlineLevel="0" max="264" min="264" style="0" width="18.29"/>
    <col collapsed="false" customWidth="true" hidden="false" outlineLevel="0" max="272" min="267" style="0" width="17.42"/>
    <col collapsed="false" customWidth="true" hidden="false" outlineLevel="0" max="273" min="273" style="0" width="18.71"/>
    <col collapsed="false" customWidth="true" hidden="false" outlineLevel="0" max="274" min="274" style="0" width="19.14"/>
    <col collapsed="false" customWidth="true" hidden="false" outlineLevel="0" max="276" min="276" style="0" width="15.42"/>
    <col collapsed="false" customWidth="true" hidden="false" outlineLevel="0" max="513" min="511" style="0" width="16.42"/>
    <col collapsed="false" customWidth="true" hidden="false" outlineLevel="0" max="515" min="514" style="0" width="24.42"/>
    <col collapsed="false" customWidth="true" hidden="false" outlineLevel="0" max="516" min="516" style="0" width="22.86"/>
    <col collapsed="false" customWidth="true" hidden="false" outlineLevel="0" max="517" min="517" style="0" width="24.15"/>
    <col collapsed="false" customWidth="true" hidden="false" outlineLevel="0" max="518" min="518" style="0" width="17.42"/>
    <col collapsed="false" customWidth="true" hidden="false" outlineLevel="0" max="519" min="519" style="0" width="16.42"/>
    <col collapsed="false" customWidth="true" hidden="false" outlineLevel="0" max="520" min="520" style="0" width="18.29"/>
    <col collapsed="false" customWidth="true" hidden="false" outlineLevel="0" max="528" min="523" style="0" width="17.42"/>
    <col collapsed="false" customWidth="true" hidden="false" outlineLevel="0" max="529" min="529" style="0" width="18.71"/>
    <col collapsed="false" customWidth="true" hidden="false" outlineLevel="0" max="530" min="530" style="0" width="19.14"/>
    <col collapsed="false" customWidth="true" hidden="false" outlineLevel="0" max="532" min="532" style="0" width="15.42"/>
    <col collapsed="false" customWidth="true" hidden="false" outlineLevel="0" max="769" min="767" style="0" width="16.42"/>
    <col collapsed="false" customWidth="true" hidden="false" outlineLevel="0" max="771" min="770" style="0" width="24.42"/>
    <col collapsed="false" customWidth="true" hidden="false" outlineLevel="0" max="772" min="772" style="0" width="22.86"/>
    <col collapsed="false" customWidth="true" hidden="false" outlineLevel="0" max="773" min="773" style="0" width="24.15"/>
    <col collapsed="false" customWidth="true" hidden="false" outlineLevel="0" max="774" min="774" style="0" width="17.42"/>
    <col collapsed="false" customWidth="true" hidden="false" outlineLevel="0" max="775" min="775" style="0" width="16.42"/>
    <col collapsed="false" customWidth="true" hidden="false" outlineLevel="0" max="776" min="776" style="0" width="18.29"/>
    <col collapsed="false" customWidth="true" hidden="false" outlineLevel="0" max="784" min="779" style="0" width="17.42"/>
    <col collapsed="false" customWidth="true" hidden="false" outlineLevel="0" max="785" min="785" style="0" width="18.71"/>
    <col collapsed="false" customWidth="true" hidden="false" outlineLevel="0" max="786" min="786" style="0" width="19.14"/>
    <col collapsed="false" customWidth="true" hidden="false" outlineLevel="0" max="788" min="788" style="0" width="15.42"/>
    <col collapsed="false" customWidth="true" hidden="false" outlineLevel="0" max="1025" min="1023" style="0" width="16.42"/>
  </cols>
  <sheetData>
    <row r="2" customFormat="false" ht="15" hidden="false" customHeight="false" outlineLevel="0" collapsed="false">
      <c r="C2" s="1" t="s">
        <v>1086</v>
      </c>
      <c r="D2" s="456" t="n">
        <f aca="false">B5+C5+E5</f>
        <v>0.0581347504711977</v>
      </c>
      <c r="N2" s="1" t="s">
        <v>1087</v>
      </c>
    </row>
    <row r="3" customFormat="false" ht="12.75" hidden="false" customHeight="true" outlineLevel="0" collapsed="false">
      <c r="A3" s="584"/>
      <c r="B3" s="824" t="s">
        <v>790</v>
      </c>
      <c r="C3" s="824" t="s">
        <v>1088</v>
      </c>
      <c r="D3" s="824" t="s">
        <v>1089</v>
      </c>
      <c r="E3" s="824" t="s">
        <v>945</v>
      </c>
      <c r="F3" s="825" t="s">
        <v>1090</v>
      </c>
      <c r="G3" s="826" t="s">
        <v>1091</v>
      </c>
      <c r="H3" s="824" t="s">
        <v>1092</v>
      </c>
      <c r="I3" s="825" t="s">
        <v>1093</v>
      </c>
      <c r="J3" s="824" t="s">
        <v>1094</v>
      </c>
      <c r="L3" s="584"/>
      <c r="M3" s="827" t="str">
        <f aca="false">'Cuenta Ahorro-Inversión-Financi'!S40</f>
        <v>Prestaciones de la seguridad social, excluyendo reparación histórica % PIB</v>
      </c>
      <c r="N3" s="827" t="s">
        <v>1095</v>
      </c>
      <c r="O3" s="827" t="s">
        <v>1096</v>
      </c>
      <c r="P3" s="827" t="s">
        <v>1097</v>
      </c>
      <c r="Q3" s="827" t="s">
        <v>1098</v>
      </c>
      <c r="R3" s="827" t="s">
        <v>1099</v>
      </c>
      <c r="S3" s="827" t="s">
        <v>1100</v>
      </c>
      <c r="T3" s="827" t="s">
        <v>1101</v>
      </c>
      <c r="U3" s="827" t="s">
        <v>1102</v>
      </c>
      <c r="V3" s="827" t="s">
        <v>794</v>
      </c>
      <c r="W3" s="827" t="s">
        <v>1103</v>
      </c>
    </row>
    <row r="4" customFormat="false" ht="38.25" hidden="false" customHeight="true" outlineLevel="0" collapsed="false">
      <c r="A4" s="584"/>
      <c r="B4" s="824"/>
      <c r="C4" s="824"/>
      <c r="D4" s="824"/>
      <c r="E4" s="824"/>
      <c r="F4" s="825"/>
      <c r="G4" s="826"/>
      <c r="H4" s="824"/>
      <c r="I4" s="825"/>
      <c r="J4" s="824"/>
      <c r="L4" s="584"/>
      <c r="M4" s="827"/>
      <c r="N4" s="827"/>
      <c r="O4" s="827"/>
      <c r="P4" s="827"/>
      <c r="Q4" s="827"/>
      <c r="R4" s="827"/>
      <c r="S4" s="827"/>
      <c r="T4" s="827"/>
      <c r="U4" s="827"/>
      <c r="V4" s="827"/>
      <c r="W4" s="827"/>
      <c r="X4" s="828" t="s">
        <v>1104</v>
      </c>
      <c r="Y4" s="828" t="s">
        <v>1105</v>
      </c>
      <c r="Z4" s="828" t="s">
        <v>1106</v>
      </c>
      <c r="AB4" s="828" t="s">
        <v>1107</v>
      </c>
      <c r="AC4" s="828" t="s">
        <v>1108</v>
      </c>
      <c r="AD4" s="828" t="s">
        <v>1109</v>
      </c>
    </row>
    <row r="5" customFormat="false" ht="15.75" hidden="false" customHeight="false" outlineLevel="0" collapsed="false">
      <c r="A5" s="829" t="n">
        <v>1993</v>
      </c>
      <c r="B5" s="830" t="n">
        <f aca="false">('Cuenta Ahorro-Inversión-Financi'!T9-'Cuenta Ahorro-Inversión-Financi'!V9)/1000/'PIB corriente base 1993'!V8</f>
        <v>0.045352832912549</v>
      </c>
      <c r="C5" s="830" t="n">
        <f aca="false">'Cuenta Ahorro-Inversión-Financi'!G42</f>
        <v>0.0114261586914329</v>
      </c>
      <c r="D5" s="830" t="n">
        <f aca="false">'Cuenta Ahorro-Inversión-Financi'!L42</f>
        <v>0.012477115671009</v>
      </c>
      <c r="E5" s="830" t="n">
        <f aca="false">'Cuenta Ahorro-Inversión-Financi'!H42</f>
        <v>0.00135575886721573</v>
      </c>
      <c r="F5" s="830"/>
      <c r="G5" s="830"/>
      <c r="H5" s="830" t="n">
        <f aca="false">('Cuenta Ahorro-Inversión-Financi'!AH9-SUM('Cuenta Ahorro-Inversión-Financi'!AI9:AM9))/1000/'PIB corriente base 1993'!V8</f>
        <v>-0.000274691126269683</v>
      </c>
      <c r="I5" s="830"/>
      <c r="J5" s="830" t="n">
        <f aca="false">SUM(B5:F5)</f>
        <v>0.0706118661422067</v>
      </c>
      <c r="L5" s="831" t="n">
        <v>1993</v>
      </c>
      <c r="M5" s="832" t="n">
        <f aca="false">'Cuenta Ahorro-Inversión-Financi'!R42</f>
        <v>0.0526370931910582</v>
      </c>
      <c r="N5" s="832" t="n">
        <f aca="false">U5-O5</f>
        <v>0.011642303700453</v>
      </c>
      <c r="O5" s="832"/>
      <c r="P5" s="832" t="n">
        <f aca="false">'Cuenta Ahorro-Inversión-Financi'!AY9/1000/'PIB corriente base 1993'!V8+V5</f>
        <v>0.00148990999175634</v>
      </c>
      <c r="Q5" s="832" t="n">
        <f aca="false">'Cuenta Ahorro-Inversión-Financi'!AV42</f>
        <v>0.00528862853440302</v>
      </c>
      <c r="R5" s="832"/>
      <c r="S5" s="832"/>
      <c r="T5" s="832"/>
      <c r="U5" s="832" t="n">
        <f aca="false">'Cuenta Ahorro-Inversión-Financi'!T42</f>
        <v>0.011642303700453</v>
      </c>
      <c r="V5" s="832" t="n">
        <f aca="false">'Cuenta Ahorro-Inversión-Financi'!BC9/1000/'PIB corriente base 1993'!V8</f>
        <v>0</v>
      </c>
      <c r="W5" s="832" t="n">
        <f aca="false">M5-T5+O5+Q5+R5+N5+P5</f>
        <v>0.0710579354176705</v>
      </c>
      <c r="X5" s="710" t="n">
        <f aca="false">J5-W5</f>
        <v>-0.000446069275463895</v>
      </c>
      <c r="Y5" s="710"/>
      <c r="Z5" s="710"/>
      <c r="AA5" s="456"/>
      <c r="AB5" s="710" t="n">
        <f aca="false">X5</f>
        <v>-0.000446069275463895</v>
      </c>
      <c r="AC5" s="710"/>
      <c r="AD5" s="710"/>
      <c r="AJ5" s="833"/>
      <c r="AK5" s="834"/>
    </row>
    <row r="6" customFormat="false" ht="15.75" hidden="false" customHeight="false" outlineLevel="0" collapsed="false">
      <c r="A6" s="829" t="n">
        <v>1994</v>
      </c>
      <c r="B6" s="835" t="n">
        <f aca="false">('Cuenta Ahorro-Inversión-Financi'!T10-'Cuenta Ahorro-Inversión-Financi'!V10)/1000/'PIB corriente base 1993'!V9</f>
        <v>0.0412406410701487</v>
      </c>
      <c r="C6" s="835" t="n">
        <f aca="false">'Cuenta Ahorro-Inversión-Financi'!G43</f>
        <v>0.0120869185800861</v>
      </c>
      <c r="D6" s="835" t="n">
        <f aca="false">'Cuenta Ahorro-Inversión-Financi'!L43</f>
        <v>0.0103138055803019</v>
      </c>
      <c r="E6" s="835" t="n">
        <f aca="false">'Cuenta Ahorro-Inversión-Financi'!H43</f>
        <v>9.53195096879308E-005</v>
      </c>
      <c r="F6" s="835"/>
      <c r="G6" s="835"/>
      <c r="H6" s="835" t="n">
        <f aca="false">('Cuenta Ahorro-Inversión-Financi'!AH10-SUM('Cuenta Ahorro-Inversión-Financi'!AI10:AM10))/1000/'PIB corriente base 1993'!V9</f>
        <v>-0.00221925079928651</v>
      </c>
      <c r="I6" s="835"/>
      <c r="J6" s="835" t="n">
        <f aca="false">SUM(B6:F6)</f>
        <v>0.0637366847402247</v>
      </c>
      <c r="L6" s="836" t="n">
        <v>1994</v>
      </c>
      <c r="M6" s="835" t="n">
        <f aca="false">'Cuenta Ahorro-Inversión-Financi'!R43</f>
        <v>0.0564644262203535</v>
      </c>
      <c r="N6" s="835" t="n">
        <f aca="false">U6-O6</f>
        <v>0.0124360211037753</v>
      </c>
      <c r="O6" s="835"/>
      <c r="P6" s="835" t="n">
        <f aca="false">'Cuenta Ahorro-Inversión-Financi'!AY10/1000/'PIB corriente base 1993'!V9+V6</f>
        <v>0.00114625800779694</v>
      </c>
      <c r="Q6" s="835" t="n">
        <f aca="false">'Cuenta Ahorro-Inversión-Financi'!AV43</f>
        <v>0.00677530886936053</v>
      </c>
      <c r="R6" s="835"/>
      <c r="S6" s="835"/>
      <c r="T6" s="835"/>
      <c r="U6" s="835" t="n">
        <f aca="false">'Cuenta Ahorro-Inversión-Financi'!T43</f>
        <v>0.0124360211037753</v>
      </c>
      <c r="V6" s="835" t="n">
        <f aca="false">'Cuenta Ahorro-Inversión-Financi'!BC10/1000/'PIB corriente base 1993'!V9</f>
        <v>5.16428861051758E-006</v>
      </c>
      <c r="W6" s="835" t="n">
        <f aca="false">M6-T6+O6+Q6+R6+N6+P6</f>
        <v>0.0768220142012863</v>
      </c>
      <c r="X6" s="713" t="n">
        <f aca="false">J6-W6</f>
        <v>-0.0130853294610615</v>
      </c>
      <c r="Y6" s="713"/>
      <c r="Z6" s="713"/>
      <c r="AA6" s="456"/>
      <c r="AB6" s="713" t="n">
        <f aca="false">X6</f>
        <v>-0.0130853294610615</v>
      </c>
      <c r="AC6" s="713"/>
      <c r="AD6" s="713"/>
    </row>
    <row r="7" customFormat="false" ht="15.75" hidden="false" customHeight="false" outlineLevel="0" collapsed="false">
      <c r="A7" s="829" t="n">
        <v>1995</v>
      </c>
      <c r="B7" s="830" t="n">
        <f aca="false">('Cuenta Ahorro-Inversión-Financi'!T11-'Cuenta Ahorro-Inversión-Financi'!V11)/1000/'PIB corriente base 1993'!V10</f>
        <v>0.0367162842262927</v>
      </c>
      <c r="C7" s="830" t="n">
        <f aca="false">'Cuenta Ahorro-Inversión-Financi'!G44</f>
        <v>0.0121121840535182</v>
      </c>
      <c r="D7" s="830" t="n">
        <f aca="false">'Cuenta Ahorro-Inversión-Financi'!L44</f>
        <v>0.011591546064283</v>
      </c>
      <c r="E7" s="830" t="n">
        <f aca="false">'Cuenta Ahorro-Inversión-Financi'!H44</f>
        <v>3.16975206724679E-005</v>
      </c>
      <c r="F7" s="830"/>
      <c r="G7" s="830"/>
      <c r="H7" s="830" t="n">
        <f aca="false">('Cuenta Ahorro-Inversión-Financi'!AH11-SUM('Cuenta Ahorro-Inversión-Financi'!AI11:AM11))/1000/'PIB corriente base 1993'!V10</f>
        <v>0.00088214038134443</v>
      </c>
      <c r="I7" s="830"/>
      <c r="J7" s="830" t="n">
        <f aca="false">SUM(B7:F7)</f>
        <v>0.0604517118647663</v>
      </c>
      <c r="L7" s="836" t="n">
        <v>1995</v>
      </c>
      <c r="M7" s="832" t="n">
        <f aca="false">'Cuenta Ahorro-Inversión-Financi'!R44</f>
        <v>0.0536446703997522</v>
      </c>
      <c r="N7" s="832" t="n">
        <f aca="false">U7-O7</f>
        <v>0.00535587988298989</v>
      </c>
      <c r="O7" s="832"/>
      <c r="P7" s="832" t="n">
        <f aca="false">'Cuenta Ahorro-Inversión-Financi'!AY11/1000/'PIB corriente base 1993'!V10+V7</f>
        <v>0.00119215327226036</v>
      </c>
      <c r="Q7" s="832" t="n">
        <f aca="false">'Cuenta Ahorro-Inversión-Financi'!AV44</f>
        <v>0.00663835790735207</v>
      </c>
      <c r="R7" s="832"/>
      <c r="S7" s="832"/>
      <c r="T7" s="832"/>
      <c r="U7" s="832" t="n">
        <f aca="false">'Cuenta Ahorro-Inversión-Financi'!T44</f>
        <v>0.00535587988298989</v>
      </c>
      <c r="V7" s="832" t="n">
        <f aca="false">'Cuenta Ahorro-Inversión-Financi'!BC11/1000/'PIB corriente base 1993'!V10</f>
        <v>4.14119630549516E-005</v>
      </c>
      <c r="W7" s="832" t="n">
        <f aca="false">M7-T7+O7+Q7+R7+N7+P7</f>
        <v>0.0668310614623545</v>
      </c>
      <c r="X7" s="710" t="n">
        <f aca="false">J7-W7</f>
        <v>-0.00637934959758821</v>
      </c>
      <c r="Y7" s="710"/>
      <c r="Z7" s="710"/>
      <c r="AA7" s="456"/>
      <c r="AB7" s="710" t="n">
        <f aca="false">X7</f>
        <v>-0.00637934959758821</v>
      </c>
      <c r="AC7" s="710"/>
      <c r="AD7" s="710"/>
    </row>
    <row r="8" customFormat="false" ht="15.75" hidden="false" customHeight="false" outlineLevel="0" collapsed="false">
      <c r="A8" s="829" t="n">
        <v>1996</v>
      </c>
      <c r="B8" s="835" t="n">
        <f aca="false">('Cuenta Ahorro-Inversión-Financi'!T12-'Cuenta Ahorro-Inversión-Financi'!V12)/1000/'PIB corriente base 1993'!V11</f>
        <v>0.0363846758844649</v>
      </c>
      <c r="C8" s="835" t="n">
        <f aca="false">'Cuenta Ahorro-Inversión-Financi'!G45</f>
        <v>0.0146741320077489</v>
      </c>
      <c r="D8" s="835" t="n">
        <f aca="false">'Cuenta Ahorro-Inversión-Financi'!L45</f>
        <v>0.0118734138888744</v>
      </c>
      <c r="E8" s="835" t="n">
        <f aca="false">'Cuenta Ahorro-Inversión-Financi'!H45</f>
        <v>0.000116523274740473</v>
      </c>
      <c r="F8" s="835"/>
      <c r="G8" s="835"/>
      <c r="H8" s="835" t="n">
        <f aca="false">('Cuenta Ahorro-Inversión-Financi'!AH12-SUM('Cuenta Ahorro-Inversión-Financi'!AI12:AM12))/1000/'PIB corriente base 1993'!V11</f>
        <v>0.0102753152574486</v>
      </c>
      <c r="I8" s="835"/>
      <c r="J8" s="835" t="n">
        <f aca="false">SUM(B8:F8)</f>
        <v>0.0630487450558287</v>
      </c>
      <c r="L8" s="836" t="n">
        <v>1996</v>
      </c>
      <c r="M8" s="835" t="n">
        <f aca="false">'Cuenta Ahorro-Inversión-Financi'!R45</f>
        <v>0.0531622526632245</v>
      </c>
      <c r="N8" s="835" t="n">
        <f aca="false">U8-O8</f>
        <v>0.00600272468782676</v>
      </c>
      <c r="O8" s="835"/>
      <c r="P8" s="835" t="n">
        <f aca="false">'Cuenta Ahorro-Inversión-Financi'!AY12/1000/'PIB corriente base 1993'!V11+V8</f>
        <v>0.00171031345294353</v>
      </c>
      <c r="Q8" s="835" t="n">
        <f aca="false">'Cuenta Ahorro-Inversión-Financi'!AV45</f>
        <v>0.0074607589826253</v>
      </c>
      <c r="R8" s="835"/>
      <c r="S8" s="835"/>
      <c r="T8" s="835"/>
      <c r="U8" s="835" t="n">
        <f aca="false">'Cuenta Ahorro-Inversión-Financi'!T45</f>
        <v>0.00600272468782676</v>
      </c>
      <c r="V8" s="835" t="n">
        <f aca="false">'Cuenta Ahorro-Inversión-Financi'!BC12/1000/'PIB corriente base 1993'!V11</f>
        <v>0.000494498650604381</v>
      </c>
      <c r="W8" s="835" t="n">
        <f aca="false">M8-T8+O8+Q8+R8+N8+P8</f>
        <v>0.0683360497866201</v>
      </c>
      <c r="X8" s="713" t="n">
        <f aca="false">J8-W8</f>
        <v>-0.00528730473079139</v>
      </c>
      <c r="Y8" s="713"/>
      <c r="Z8" s="713"/>
      <c r="AA8" s="456"/>
      <c r="AB8" s="713" t="n">
        <f aca="false">X8</f>
        <v>-0.00528730473079139</v>
      </c>
      <c r="AC8" s="713"/>
      <c r="AD8" s="713"/>
    </row>
    <row r="9" customFormat="false" ht="15.75" hidden="false" customHeight="false" outlineLevel="0" collapsed="false">
      <c r="A9" s="829" t="n">
        <v>1997</v>
      </c>
      <c r="B9" s="830" t="n">
        <f aca="false">('Cuenta Ahorro-Inversión-Financi'!T13-'Cuenta Ahorro-Inversión-Financi'!V13)/1000/'PIB corriente base 1993'!V12</f>
        <v>0.0281819888678765</v>
      </c>
      <c r="C9" s="830" t="n">
        <f aca="false">'Cuenta Ahorro-Inversión-Financi'!G46</f>
        <v>0.0200853946887565</v>
      </c>
      <c r="D9" s="830" t="n">
        <f aca="false">'Cuenta Ahorro-Inversión-Financi'!L46</f>
        <v>0.0122864231415156</v>
      </c>
      <c r="E9" s="830" t="n">
        <f aca="false">'Cuenta Ahorro-Inversión-Financi'!H46</f>
        <v>0.000108303900462984</v>
      </c>
      <c r="F9" s="830"/>
      <c r="G9" s="830"/>
      <c r="H9" s="830" t="n">
        <f aca="false">('Cuenta Ahorro-Inversión-Financi'!AH13-SUM('Cuenta Ahorro-Inversión-Financi'!AI13:AM13))/1000/'PIB corriente base 1993'!V12</f>
        <v>0.00224140388833553</v>
      </c>
      <c r="I9" s="830"/>
      <c r="J9" s="830" t="n">
        <f aca="false">SUM(B9:F9)</f>
        <v>0.0606621105986117</v>
      </c>
      <c r="L9" s="836" t="n">
        <v>1997</v>
      </c>
      <c r="M9" s="832" t="n">
        <f aca="false">'Cuenta Ahorro-Inversión-Financi'!R46</f>
        <v>0.0500659666860674</v>
      </c>
      <c r="N9" s="832" t="n">
        <f aca="false">U9-O9</f>
        <v>0.00539903006587295</v>
      </c>
      <c r="O9" s="832"/>
      <c r="P9" s="832" t="n">
        <f aca="false">'Cuenta Ahorro-Inversión-Financi'!AY13/1000/'PIB corriente base 1993'!V12+V9</f>
        <v>0.00113559901995312</v>
      </c>
      <c r="Q9" s="832" t="n">
        <f aca="false">'Cuenta Ahorro-Inversión-Financi'!AV46</f>
        <v>0.00721746011483045</v>
      </c>
      <c r="R9" s="832"/>
      <c r="S9" s="832"/>
      <c r="T9" s="832"/>
      <c r="U9" s="832" t="n">
        <f aca="false">'Cuenta Ahorro-Inversión-Financi'!T46</f>
        <v>0.00539903006587295</v>
      </c>
      <c r="V9" s="832" t="n">
        <f aca="false">'Cuenta Ahorro-Inversión-Financi'!BC13/1000/'PIB corriente base 1993'!V12</f>
        <v>0.000295252991811143</v>
      </c>
      <c r="W9" s="832" t="n">
        <f aca="false">M9-T9+O9+Q9+R9+N9+P9</f>
        <v>0.0638180558867239</v>
      </c>
      <c r="X9" s="710" t="n">
        <f aca="false">J9-W9</f>
        <v>-0.00315594528811226</v>
      </c>
      <c r="Y9" s="710"/>
      <c r="Z9" s="710"/>
      <c r="AA9" s="456"/>
      <c r="AB9" s="710" t="n">
        <f aca="false">X9</f>
        <v>-0.00315594528811226</v>
      </c>
      <c r="AC9" s="710"/>
      <c r="AD9" s="710"/>
    </row>
    <row r="10" customFormat="false" ht="15.75" hidden="false" customHeight="false" outlineLevel="0" collapsed="false">
      <c r="A10" s="829" t="n">
        <v>1998</v>
      </c>
      <c r="B10" s="835" t="n">
        <f aca="false">('Cuenta Ahorro-Inversión-Financi'!T14-'Cuenta Ahorro-Inversión-Financi'!V14)/1000/'PIB corriente base 1993'!V13</f>
        <v>0.0264965219233464</v>
      </c>
      <c r="C10" s="835" t="n">
        <f aca="false">'Cuenta Ahorro-Inversión-Financi'!G47</f>
        <v>0.0212578403477591</v>
      </c>
      <c r="D10" s="835" t="n">
        <f aca="false">'Cuenta Ahorro-Inversión-Financi'!L47</f>
        <v>0.0127033327129764</v>
      </c>
      <c r="E10" s="835" t="n">
        <f aca="false">'Cuenta Ahorro-Inversión-Financi'!H47</f>
        <v>4.84963051482054E-005</v>
      </c>
      <c r="F10" s="835"/>
      <c r="G10" s="835"/>
      <c r="H10" s="835" t="n">
        <f aca="false">('Cuenta Ahorro-Inversión-Financi'!AH14-SUM('Cuenta Ahorro-Inversión-Financi'!AI14:AM14))/1000/'PIB corriente base 1993'!V13</f>
        <v>0.00559181882152598</v>
      </c>
      <c r="I10" s="835"/>
      <c r="J10" s="835" t="n">
        <f aca="false">SUM(B10:F10)</f>
        <v>0.0605061912892302</v>
      </c>
      <c r="L10" s="836" t="n">
        <v>1998</v>
      </c>
      <c r="M10" s="835" t="n">
        <f aca="false">'Cuenta Ahorro-Inversión-Financi'!R47</f>
        <v>0.0491903555478579</v>
      </c>
      <c r="N10" s="835" t="n">
        <f aca="false">U10-O10</f>
        <v>0.00477034993055969</v>
      </c>
      <c r="O10" s="835"/>
      <c r="P10" s="835" t="n">
        <f aca="false">'Cuenta Ahorro-Inversión-Financi'!AY14/1000/'PIB corriente base 1993'!V13+V10</f>
        <v>0.00102481315686651</v>
      </c>
      <c r="Q10" s="835" t="n">
        <f aca="false">'Cuenta Ahorro-Inversión-Financi'!AV47</f>
        <v>0.00818073477793168</v>
      </c>
      <c r="R10" s="835"/>
      <c r="S10" s="835"/>
      <c r="T10" s="835"/>
      <c r="U10" s="835" t="n">
        <f aca="false">'Cuenta Ahorro-Inversión-Financi'!T47</f>
        <v>0.00477034993055969</v>
      </c>
      <c r="V10" s="835" t="n">
        <f aca="false">'Cuenta Ahorro-Inversión-Financi'!BC14/1000/'PIB corriente base 1993'!V13</f>
        <v>0.000249813424503076</v>
      </c>
      <c r="W10" s="835" t="n">
        <f aca="false">M10-T10+O10+Q10+R10+N10+P10</f>
        <v>0.0631662534132158</v>
      </c>
      <c r="X10" s="713" t="n">
        <f aca="false">J10-W10</f>
        <v>-0.00266006212398563</v>
      </c>
      <c r="Y10" s="713"/>
      <c r="Z10" s="713"/>
      <c r="AA10" s="456"/>
      <c r="AB10" s="713" t="n">
        <f aca="false">X10</f>
        <v>-0.00266006212398563</v>
      </c>
      <c r="AC10" s="713"/>
      <c r="AD10" s="713"/>
    </row>
    <row r="11" customFormat="false" ht="15.75" hidden="false" customHeight="false" outlineLevel="0" collapsed="false">
      <c r="A11" s="829" t="n">
        <v>1999</v>
      </c>
      <c r="B11" s="830" t="n">
        <f aca="false">('Cuenta Ahorro-Inversión-Financi'!T15-'Cuenta Ahorro-Inversión-Financi'!V15)/1000/'PIB corriente base 1993'!V14</f>
        <v>0.0249055646687138</v>
      </c>
      <c r="C11" s="830" t="n">
        <f aca="false">'Cuenta Ahorro-Inversión-Financi'!G48</f>
        <v>0.0214303302315375</v>
      </c>
      <c r="D11" s="830" t="n">
        <f aca="false">'Cuenta Ahorro-Inversión-Financi'!L48</f>
        <v>0.0130590610333592</v>
      </c>
      <c r="E11" s="830" t="n">
        <f aca="false">'Cuenta Ahorro-Inversión-Financi'!H48</f>
        <v>8.90089000381151E-006</v>
      </c>
      <c r="F11" s="830"/>
      <c r="G11" s="830"/>
      <c r="H11" s="830" t="n">
        <f aca="false">('Cuenta Ahorro-Inversión-Financi'!AH15-SUM('Cuenta Ahorro-Inversión-Financi'!AI15:AM15))/1000/'PIB corriente base 1993'!V14</f>
        <v>0.0114855646880225</v>
      </c>
      <c r="I11" s="830"/>
      <c r="J11" s="830" t="n">
        <f aca="false">SUM(B11:F11)</f>
        <v>0.0594038568236144</v>
      </c>
      <c r="L11" s="836" t="n">
        <v>1999</v>
      </c>
      <c r="M11" s="832" t="n">
        <f aca="false">'Cuenta Ahorro-Inversión-Financi'!R48</f>
        <v>0.0517496903211291</v>
      </c>
      <c r="N11" s="832" t="n">
        <f aca="false">U11-O11</f>
        <v>0.00587322823822414</v>
      </c>
      <c r="O11" s="832"/>
      <c r="P11" s="832" t="n">
        <f aca="false">'Cuenta Ahorro-Inversión-Financi'!AY15/1000/'PIB corriente base 1993'!V14+V11</f>
        <v>0.000859047973636882</v>
      </c>
      <c r="Q11" s="832" t="n">
        <f aca="false">'Cuenta Ahorro-Inversión-Financi'!AV48</f>
        <v>0.00868157830525175</v>
      </c>
      <c r="R11" s="832"/>
      <c r="S11" s="832"/>
      <c r="T11" s="832"/>
      <c r="U11" s="832" t="n">
        <f aca="false">'Cuenta Ahorro-Inversión-Financi'!T48</f>
        <v>0.00587322823822414</v>
      </c>
      <c r="V11" s="832" t="n">
        <f aca="false">'Cuenta Ahorro-Inversión-Financi'!BC15/1000/'PIB corriente base 1993'!V14</f>
        <v>1.42265538204577E-005</v>
      </c>
      <c r="W11" s="832" t="n">
        <f aca="false">M11-T11+O11+Q11+R11+N11+P11</f>
        <v>0.0671635448382419</v>
      </c>
      <c r="X11" s="710" t="n">
        <f aca="false">J11-W11</f>
        <v>-0.00775968801462749</v>
      </c>
      <c r="Y11" s="710"/>
      <c r="Z11" s="710"/>
      <c r="AA11" s="456"/>
      <c r="AB11" s="710" t="n">
        <f aca="false">X11</f>
        <v>-0.00775968801462749</v>
      </c>
      <c r="AC11" s="710"/>
      <c r="AD11" s="710"/>
    </row>
    <row r="12" customFormat="false" ht="15.75" hidden="false" customHeight="false" outlineLevel="0" collapsed="false">
      <c r="A12" s="829" t="n">
        <v>2000</v>
      </c>
      <c r="B12" s="835" t="n">
        <f aca="false">('Cuenta Ahorro-Inversión-Financi'!T16-'Cuenta Ahorro-Inversión-Financi'!V16)/1000/'PIB corriente base 1993'!V15</f>
        <v>0.0236198765665383</v>
      </c>
      <c r="C12" s="835" t="n">
        <f aca="false">'Cuenta Ahorro-Inversión-Financi'!G49</f>
        <v>0.023556870770298</v>
      </c>
      <c r="D12" s="835" t="n">
        <f aca="false">'Cuenta Ahorro-Inversión-Financi'!L49</f>
        <v>0.0132482904466693</v>
      </c>
      <c r="E12" s="835" t="n">
        <f aca="false">'Cuenta Ahorro-Inversión-Financi'!H49</f>
        <v>5.08058139376392E-006</v>
      </c>
      <c r="F12" s="835"/>
      <c r="G12" s="835"/>
      <c r="H12" s="835" t="n">
        <f aca="false">('Cuenta Ahorro-Inversión-Financi'!AH16-SUM('Cuenta Ahorro-Inversión-Financi'!AI16:AM16))/1000/'PIB corriente base 1993'!V15</f>
        <v>0.00804847134329282</v>
      </c>
      <c r="I12" s="835"/>
      <c r="J12" s="835" t="n">
        <f aca="false">SUM(B12:F12)</f>
        <v>0.0604301183648993</v>
      </c>
      <c r="L12" s="836" t="n">
        <v>2000</v>
      </c>
      <c r="M12" s="835" t="n">
        <f aca="false">'Cuenta Ahorro-Inversión-Financi'!R49</f>
        <v>0.0518501300658357</v>
      </c>
      <c r="N12" s="835" t="n">
        <f aca="false">U12-O12</f>
        <v>0.00613084017631838</v>
      </c>
      <c r="O12" s="835"/>
      <c r="P12" s="835" t="n">
        <f aca="false">'Cuenta Ahorro-Inversión-Financi'!AY16/1000/'PIB corriente base 1993'!V15+V12</f>
        <v>0.000763899147434019</v>
      </c>
      <c r="Q12" s="835" t="n">
        <f aca="false">'Cuenta Ahorro-Inversión-Financi'!AV49</f>
        <v>0.00842379342908535</v>
      </c>
      <c r="R12" s="835"/>
      <c r="S12" s="835"/>
      <c r="T12" s="835"/>
      <c r="U12" s="835" t="n">
        <f aca="false">'Cuenta Ahorro-Inversión-Financi'!T49</f>
        <v>0.00613084017631838</v>
      </c>
      <c r="V12" s="835" t="n">
        <f aca="false">'Cuenta Ahorro-Inversión-Financi'!BC16/1000/'PIB corriente base 1993'!V15</f>
        <v>5.98162432380261E-006</v>
      </c>
      <c r="W12" s="835" t="n">
        <f aca="false">M12-T12+O12+Q12+R12+N12+P12</f>
        <v>0.0671686628186734</v>
      </c>
      <c r="X12" s="713" t="n">
        <f aca="false">J12-W12</f>
        <v>-0.00673854445377408</v>
      </c>
      <c r="Y12" s="713"/>
      <c r="Z12" s="713"/>
      <c r="AA12" s="456"/>
      <c r="AB12" s="713" t="n">
        <f aca="false">X12</f>
        <v>-0.00673854445377408</v>
      </c>
      <c r="AC12" s="713"/>
      <c r="AD12" s="713"/>
    </row>
    <row r="13" customFormat="false" ht="15.75" hidden="false" customHeight="false" outlineLevel="0" collapsed="false">
      <c r="A13" s="829" t="n">
        <v>2001</v>
      </c>
      <c r="B13" s="830" t="n">
        <f aca="false">('Cuenta Ahorro-Inversión-Financi'!T17-'Cuenta Ahorro-Inversión-Financi'!V17)/1000/'PIB corriente base 1993'!V16</f>
        <v>0.0238758696338049</v>
      </c>
      <c r="C13" s="830" t="n">
        <f aca="false">'Cuenta Ahorro-Inversión-Financi'!G50</f>
        <v>0.0214457736331774</v>
      </c>
      <c r="D13" s="830" t="n">
        <f aca="false">'Cuenta Ahorro-Inversión-Financi'!L50</f>
        <v>0.0124450443431941</v>
      </c>
      <c r="E13" s="830" t="n">
        <f aca="false">'Cuenta Ahorro-Inversión-Financi'!H50</f>
        <v>1.27950379999639E-006</v>
      </c>
      <c r="F13" s="830"/>
      <c r="G13" s="830"/>
      <c r="H13" s="830" t="n">
        <f aca="false">('Cuenta Ahorro-Inversión-Financi'!AH17-SUM('Cuenta Ahorro-Inversión-Financi'!AI17:AM17))/1000/'PIB corriente base 1993'!V16</f>
        <v>0.0116979033026615</v>
      </c>
      <c r="I13" s="830"/>
      <c r="J13" s="830" t="n">
        <f aca="false">SUM(B13:F13)</f>
        <v>0.0577679671139764</v>
      </c>
      <c r="L13" s="836" t="n">
        <v>2001</v>
      </c>
      <c r="M13" s="832" t="n">
        <f aca="false">'Cuenta Ahorro-Inversión-Financi'!R50</f>
        <v>0.0525215308255347</v>
      </c>
      <c r="N13" s="832" t="n">
        <f aca="false">U13-O13</f>
        <v>0.00621669920590712</v>
      </c>
      <c r="O13" s="832"/>
      <c r="P13" s="832" t="n">
        <f aca="false">'Cuenta Ahorro-Inversión-Financi'!AY17/1000/'PIB corriente base 1993'!V16+V13</f>
        <v>0.000688492360671558</v>
      </c>
      <c r="Q13" s="832" t="n">
        <f aca="false">'Cuenta Ahorro-Inversión-Financi'!AV50</f>
        <v>0.00850617345912317</v>
      </c>
      <c r="R13" s="832"/>
      <c r="S13" s="832"/>
      <c r="T13" s="832"/>
      <c r="U13" s="832" t="n">
        <f aca="false">'Cuenta Ahorro-Inversión-Financi'!T50</f>
        <v>0.00621669920590712</v>
      </c>
      <c r="V13" s="832" t="n">
        <f aca="false">'Cuenta Ahorro-Inversión-Financi'!BC17/1000/'PIB corriente base 1993'!V16</f>
        <v>7.22561883404885E-008</v>
      </c>
      <c r="W13" s="832" t="n">
        <f aca="false">M13-T13+O13+Q13+R13+N13+P13</f>
        <v>0.0679328958512366</v>
      </c>
      <c r="X13" s="710" t="n">
        <f aca="false">J13-W13</f>
        <v>-0.0101649287372602</v>
      </c>
      <c r="Y13" s="710"/>
      <c r="Z13" s="710"/>
      <c r="AA13" s="456"/>
      <c r="AB13" s="710" t="n">
        <f aca="false">X13</f>
        <v>-0.0101649287372602</v>
      </c>
      <c r="AC13" s="710"/>
      <c r="AD13" s="710"/>
      <c r="AE13" s="837"/>
      <c r="AG13" s="664"/>
      <c r="AI13" s="838"/>
      <c r="AJ13" s="839"/>
      <c r="AK13" s="840"/>
    </row>
    <row r="14" customFormat="false" ht="15.75" hidden="false" customHeight="false" outlineLevel="0" collapsed="false">
      <c r="A14" s="829" t="n">
        <v>2002</v>
      </c>
      <c r="B14" s="835" t="n">
        <f aca="false">('Cuenta Ahorro-Inversión-Financi'!T18-'Cuenta Ahorro-Inversión-Financi'!V18)/1000/'PIB corriente base 1993'!V17</f>
        <v>0.0204511996433966</v>
      </c>
      <c r="C14" s="835" t="n">
        <f aca="false">'Cuenta Ahorro-Inversión-Financi'!G51</f>
        <v>0.0170555199717405</v>
      </c>
      <c r="D14" s="835" t="n">
        <f aca="false">'Cuenta Ahorro-Inversión-Financi'!L51</f>
        <v>0.00963695804700716</v>
      </c>
      <c r="E14" s="835" t="n">
        <f aca="false">'Cuenta Ahorro-Inversión-Financi'!H51</f>
        <v>1.71830895387883E-005</v>
      </c>
      <c r="F14" s="835"/>
      <c r="G14" s="835"/>
      <c r="H14" s="835" t="n">
        <f aca="false">('Cuenta Ahorro-Inversión-Financi'!AH18-SUM('Cuenta Ahorro-Inversión-Financi'!AI18:AM18))/1000/'PIB corriente base 1993'!V17</f>
        <v>0.0137708624102913</v>
      </c>
      <c r="I14" s="835"/>
      <c r="J14" s="835" t="n">
        <f aca="false">SUM(B14:F14)</f>
        <v>0.047160860751683</v>
      </c>
      <c r="L14" s="836" t="n">
        <v>2002</v>
      </c>
      <c r="M14" s="835" t="n">
        <f aca="false">'Cuenta Ahorro-Inversión-Financi'!R51</f>
        <v>0.0443421627477132</v>
      </c>
      <c r="N14" s="835" t="n">
        <f aca="false">U14-O14</f>
        <v>0.00678591755475529</v>
      </c>
      <c r="O14" s="835"/>
      <c r="P14" s="835" t="n">
        <f aca="false">'Cuenta Ahorro-Inversión-Financi'!AY18/1000/'PIB corriente base 1993'!V17+V14</f>
        <v>0.000674115579920293</v>
      </c>
      <c r="Q14" s="835" t="n">
        <f aca="false">'Cuenta Ahorro-Inversión-Financi'!AV51</f>
        <v>0.00679872793896764</v>
      </c>
      <c r="R14" s="835"/>
      <c r="S14" s="835"/>
      <c r="T14" s="835"/>
      <c r="U14" s="835" t="n">
        <f aca="false">'Cuenta Ahorro-Inversión-Financi'!T51</f>
        <v>0.00678591755475529</v>
      </c>
      <c r="V14" s="835" t="n">
        <f aca="false">'Cuenta Ahorro-Inversión-Financi'!BC18/1000/'PIB corriente base 1993'!V17</f>
        <v>0</v>
      </c>
      <c r="W14" s="835" t="n">
        <f aca="false">M14-T14+O14+Q14+R14+N14+P14</f>
        <v>0.0586009238213564</v>
      </c>
      <c r="X14" s="713" t="n">
        <f aca="false">J14-W14</f>
        <v>-0.0114400630696734</v>
      </c>
      <c r="Y14" s="713"/>
      <c r="Z14" s="713"/>
      <c r="AA14" s="456"/>
      <c r="AB14" s="713" t="n">
        <f aca="false">X14</f>
        <v>-0.0114400630696734</v>
      </c>
      <c r="AC14" s="713"/>
      <c r="AD14" s="713"/>
      <c r="AE14" s="837"/>
      <c r="AG14" s="664"/>
      <c r="AI14" s="838"/>
      <c r="AJ14" s="839"/>
      <c r="AK14" s="840"/>
    </row>
    <row r="15" customFormat="false" ht="15.75" hidden="false" customHeight="false" outlineLevel="0" collapsed="false">
      <c r="A15" s="829" t="n">
        <v>2003</v>
      </c>
      <c r="B15" s="830" t="n">
        <f aca="false">'Cuenta Ahorro-Inversión-Financi'!F52</f>
        <v>0.0204726739831029</v>
      </c>
      <c r="C15" s="830" t="n">
        <f aca="false">'Cuenta Ahorro-Inversión-Financi'!G52</f>
        <v>0.0198553916144812</v>
      </c>
      <c r="D15" s="830" t="n">
        <f aca="false">'Cuenta Ahorro-Inversión-Financi'!L52</f>
        <v>0.0118026727120887</v>
      </c>
      <c r="E15" s="830" t="n">
        <f aca="false">'Cuenta Ahorro-Inversión-Financi'!H52</f>
        <v>5.45970901702129E-006</v>
      </c>
      <c r="F15" s="830"/>
      <c r="G15" s="830"/>
      <c r="H15" s="830" t="n">
        <f aca="false">('Cuenta Ahorro-Inversión-Financi'!AH19-SUM('Cuenta Ahorro-Inversión-Financi'!AI19:AM19))/1000/'PIB corriente base 1993'!V18</f>
        <v>0.00793855080899741</v>
      </c>
      <c r="I15" s="830"/>
      <c r="J15" s="830" t="n">
        <f aca="false">SUM(B15:F15)</f>
        <v>0.0521361980186898</v>
      </c>
      <c r="L15" s="836" t="n">
        <v>2003</v>
      </c>
      <c r="M15" s="832" t="n">
        <f aca="false">'Cuenta Ahorro-Inversión-Financi'!R52</f>
        <v>0.0414155099169041</v>
      </c>
      <c r="N15" s="832" t="n">
        <f aca="false">U15-O15</f>
        <v>0.00815617118660916</v>
      </c>
      <c r="O15" s="832"/>
      <c r="P15" s="832" t="n">
        <f aca="false">'Cuenta Ahorro-Inversión-Financi'!AY19/1000/'PIB corriente base 1993'!V18+V15</f>
        <v>0.000695611243275441</v>
      </c>
      <c r="Q15" s="832" t="n">
        <f aca="false">'Cuenta Ahorro-Inversión-Financi'!AV52</f>
        <v>0.00679617546093593</v>
      </c>
      <c r="R15" s="832"/>
      <c r="S15" s="832"/>
      <c r="T15" s="832"/>
      <c r="U15" s="832" t="n">
        <f aca="false">'Cuenta Ahorro-Inversión-Financi'!T52</f>
        <v>0.00815617118660916</v>
      </c>
      <c r="V15" s="832" t="n">
        <f aca="false">'Cuenta Ahorro-Inversión-Financi'!BC19/1000/'PIB corriente base 1993'!V18</f>
        <v>1.30531749775246E-005</v>
      </c>
      <c r="W15" s="832" t="n">
        <f aca="false">M15-T15+O15+Q15+R15+N15+P15</f>
        <v>0.0570634678077246</v>
      </c>
      <c r="X15" s="710" t="n">
        <f aca="false">J15-W15</f>
        <v>-0.00492726978903478</v>
      </c>
      <c r="Y15" s="710"/>
      <c r="Z15" s="710"/>
      <c r="AA15" s="456"/>
      <c r="AB15" s="710" t="n">
        <f aca="false">X15</f>
        <v>-0.00492726978903478</v>
      </c>
      <c r="AC15" s="710"/>
      <c r="AD15" s="710"/>
      <c r="AE15" s="837"/>
      <c r="AG15" s="664"/>
      <c r="AI15" s="838"/>
      <c r="AJ15" s="839"/>
      <c r="AK15" s="840"/>
    </row>
    <row r="16" customFormat="false" ht="15.75" hidden="false" customHeight="false" outlineLevel="0" collapsed="false">
      <c r="A16" s="829" t="n">
        <v>2004</v>
      </c>
      <c r="B16" s="835" t="n">
        <f aca="false">'Cuenta Ahorro-Inversión-Financi'!F53</f>
        <v>0.0198583830686151</v>
      </c>
      <c r="C16" s="835" t="n">
        <f aca="false">'Cuenta Ahorro-Inversión-Financi'!G53</f>
        <v>0.0216742076161843</v>
      </c>
      <c r="D16" s="835" t="n">
        <f aca="false">'Cuenta Ahorro-Inversión-Financi'!L53</f>
        <v>0.0133242836449752</v>
      </c>
      <c r="E16" s="835" t="n">
        <f aca="false">'Cuenta Ahorro-Inversión-Financi'!H53</f>
        <v>2.30880969959205E-005</v>
      </c>
      <c r="F16" s="835"/>
      <c r="G16" s="835"/>
      <c r="H16" s="835" t="n">
        <f aca="false">('Cuenta Ahorro-Inversión-Financi'!AH20-SUM('Cuenta Ahorro-Inversión-Financi'!AI20:AM20))/1000/'PIB corriente base 2004'!X8</f>
        <v>-0.000308408259922678</v>
      </c>
      <c r="I16" s="835"/>
      <c r="J16" s="835" t="n">
        <f aca="false">SUM(B16:F16)</f>
        <v>0.0548799624267706</v>
      </c>
      <c r="L16" s="836" t="n">
        <v>2004</v>
      </c>
      <c r="M16" s="835" t="n">
        <f aca="false">'Cuenta Ahorro-Inversión-Financi'!R53</f>
        <v>0.036705436096272</v>
      </c>
      <c r="N16" s="835" t="n">
        <f aca="false">U16-O16</f>
        <v>0.00601253522505087</v>
      </c>
      <c r="O16" s="835" t="n">
        <f aca="false">'Cuenta Ahorro-Inversión-Financi'!BS20/1000/'PIB corriente base 2004'!X8</f>
        <v>0.00147841859387012</v>
      </c>
      <c r="P16" s="835" t="n">
        <f aca="false">'Cuenta Ahorro-Inversión-Financi'!AY20/1000/'PIB corriente base 2004'!X8+V16</f>
        <v>0.000620174834207575</v>
      </c>
      <c r="Q16" s="835" t="n">
        <f aca="false">'Cuenta Ahorro-Inversión-Financi'!AV53</f>
        <v>0.0062422259511128</v>
      </c>
      <c r="R16" s="835"/>
      <c r="S16" s="835"/>
      <c r="T16" s="835"/>
      <c r="U16" s="835" t="n">
        <f aca="false">'Cuenta Ahorro-Inversión-Financi'!T53</f>
        <v>0.00749095381892099</v>
      </c>
      <c r="V16" s="835" t="n">
        <f aca="false">'Cuenta Ahorro-Inversión-Financi'!BC20/1000/'PIB corriente base 2004'!X8</f>
        <v>1.74603072262164E-005</v>
      </c>
      <c r="W16" s="835" t="n">
        <f aca="false">M16-T16+O16+Q16+R16+N16+P16</f>
        <v>0.0510587907005133</v>
      </c>
      <c r="X16" s="713" t="n">
        <f aca="false">J16-W16</f>
        <v>0.00382117172625724</v>
      </c>
      <c r="Y16" s="713"/>
      <c r="Z16" s="713"/>
      <c r="AA16" s="456"/>
      <c r="AB16" s="713" t="n">
        <f aca="false">X16</f>
        <v>0.00382117172625724</v>
      </c>
      <c r="AC16" s="713"/>
      <c r="AD16" s="713"/>
      <c r="AE16" s="837"/>
      <c r="AG16" s="664"/>
      <c r="AI16" s="838"/>
      <c r="AJ16" s="839"/>
      <c r="AK16" s="840"/>
    </row>
    <row r="17" customFormat="false" ht="15.75" hidden="false" customHeight="false" outlineLevel="0" collapsed="false">
      <c r="A17" s="829" t="n">
        <v>2005</v>
      </c>
      <c r="B17" s="830" t="n">
        <f aca="false">'Cuenta Ahorro-Inversión-Financi'!F54</f>
        <v>0.0214249777603053</v>
      </c>
      <c r="C17" s="830" t="n">
        <f aca="false">'Cuenta Ahorro-Inversión-Financi'!G54</f>
        <v>0.0219471405894574</v>
      </c>
      <c r="D17" s="830" t="n">
        <f aca="false">'Cuenta Ahorro-Inversión-Financi'!L54</f>
        <v>0.0139618318212355</v>
      </c>
      <c r="E17" s="830" t="n">
        <f aca="false">'Cuenta Ahorro-Inversión-Financi'!H54</f>
        <v>6.64758507150565E-005</v>
      </c>
      <c r="F17" s="830"/>
      <c r="G17" s="830"/>
      <c r="H17" s="830" t="n">
        <f aca="false">('Cuenta Ahorro-Inversión-Financi'!AH21-SUM('Cuenta Ahorro-Inversión-Financi'!AI21:AM21))/1000/'PIB corriente base 2004'!X9</f>
        <v>-2.23358829159163E-005</v>
      </c>
      <c r="I17" s="830"/>
      <c r="J17" s="830" t="n">
        <f aca="false">SUM(B17:F17)</f>
        <v>0.0574004260217132</v>
      </c>
      <c r="L17" s="836" t="n">
        <v>2005</v>
      </c>
      <c r="M17" s="832" t="n">
        <f aca="false">'Cuenta Ahorro-Inversión-Financi'!R54</f>
        <v>0.0345505912680116</v>
      </c>
      <c r="N17" s="832" t="n">
        <f aca="false">U17-O17</f>
        <v>0.00717141324245859</v>
      </c>
      <c r="O17" s="832" t="n">
        <f aca="false">'Cuenta Ahorro-Inversión-Financi'!BS21/1000/'PIB corriente base 2004'!X9</f>
        <v>0.0013544936722026</v>
      </c>
      <c r="P17" s="832" t="n">
        <f aca="false">'Cuenta Ahorro-Inversión-Financi'!AY21/1000/'PIB corriente base 2004'!X9+V17</f>
        <v>0.000775276229474887</v>
      </c>
      <c r="Q17" s="832" t="n">
        <f aca="false">'Cuenta Ahorro-Inversión-Financi'!AV54</f>
        <v>0.00597111538341118</v>
      </c>
      <c r="R17" s="832"/>
      <c r="S17" s="832"/>
      <c r="T17" s="832"/>
      <c r="U17" s="832" t="n">
        <f aca="false">'Cuenta Ahorro-Inversión-Financi'!T54</f>
        <v>0.00852590691466118</v>
      </c>
      <c r="V17" s="832" t="n">
        <f aca="false">'Cuenta Ahorro-Inversión-Financi'!BC21/1000/'PIB corriente base 2004'!X9</f>
        <v>1.43195789521217E-005</v>
      </c>
      <c r="W17" s="832" t="n">
        <f aca="false">M17-T17+O17+Q17+R17+N17+P17</f>
        <v>0.0498228897955588</v>
      </c>
      <c r="X17" s="710" t="n">
        <f aca="false">J17-W17</f>
        <v>0.00757753622615441</v>
      </c>
      <c r="Y17" s="710"/>
      <c r="Z17" s="710"/>
      <c r="AA17" s="456"/>
      <c r="AB17" s="710" t="n">
        <f aca="false">X17</f>
        <v>0.00757753622615441</v>
      </c>
      <c r="AC17" s="710"/>
      <c r="AD17" s="710"/>
      <c r="AE17" s="837"/>
      <c r="AG17" s="664"/>
      <c r="AI17" s="838"/>
      <c r="AJ17" s="839"/>
      <c r="AK17" s="840"/>
    </row>
    <row r="18" customFormat="false" ht="15.75" hidden="false" customHeight="false" outlineLevel="0" collapsed="false">
      <c r="A18" s="829" t="n">
        <v>2006</v>
      </c>
      <c r="B18" s="835" t="n">
        <f aca="false">'Cuenta Ahorro-Inversión-Financi'!F55</f>
        <v>0.0252575877444441</v>
      </c>
      <c r="C18" s="835" t="n">
        <f aca="false">'Cuenta Ahorro-Inversión-Financi'!G55</f>
        <v>0.0212196799431274</v>
      </c>
      <c r="D18" s="835" t="n">
        <f aca="false">'Cuenta Ahorro-Inversión-Financi'!L55</f>
        <v>0.0141131235333867</v>
      </c>
      <c r="E18" s="835" t="n">
        <f aca="false">'Cuenta Ahorro-Inversión-Financi'!H55</f>
        <v>0.000401428799431498</v>
      </c>
      <c r="F18" s="835"/>
      <c r="G18" s="835"/>
      <c r="H18" s="835" t="n">
        <f aca="false">('Cuenta Ahorro-Inversión-Financi'!AH22-SUM('Cuenta Ahorro-Inversión-Financi'!AI22:AM22))/1000/'PIB corriente base 2004'!X10</f>
        <v>6.39115825222325E-005</v>
      </c>
      <c r="I18" s="835"/>
      <c r="J18" s="835" t="n">
        <f aca="false">SUM(B18:F18)</f>
        <v>0.0609918200203897</v>
      </c>
      <c r="L18" s="836" t="n">
        <v>2006</v>
      </c>
      <c r="M18" s="835" t="n">
        <f aca="false">'Cuenta Ahorro-Inversión-Financi'!R55</f>
        <v>0.0368418871162505</v>
      </c>
      <c r="N18" s="835" t="n">
        <f aca="false">U18-O18</f>
        <v>0.00645013061743081</v>
      </c>
      <c r="O18" s="835" t="n">
        <f aca="false">'Cuenta Ahorro-Inversión-Financi'!BS22/1000/'PIB corriente base 2004'!X10</f>
        <v>0.001420898634906</v>
      </c>
      <c r="P18" s="835" t="n">
        <f aca="false">'Cuenta Ahorro-Inversión-Financi'!AY22/1000/'PIB corriente base 2004'!X10+V18</f>
        <v>0.000837384263622429</v>
      </c>
      <c r="Q18" s="835" t="n">
        <f aca="false">'Cuenta Ahorro-Inversión-Financi'!AV55</f>
        <v>0.00626372424192923</v>
      </c>
      <c r="R18" s="835"/>
      <c r="S18" s="835"/>
      <c r="T18" s="835"/>
      <c r="U18" s="835" t="n">
        <f aca="false">'Cuenta Ahorro-Inversión-Financi'!T55</f>
        <v>0.00787102925233681</v>
      </c>
      <c r="V18" s="835" t="n">
        <f aca="false">'Cuenta Ahorro-Inversión-Financi'!BC22/1000/'PIB corriente base 2004'!X10</f>
        <v>3.88399291607207E-006</v>
      </c>
      <c r="W18" s="835" t="n">
        <f aca="false">M18-T18+O18+Q18+R18+N18+P18</f>
        <v>0.051814024874139</v>
      </c>
      <c r="X18" s="713" t="n">
        <f aca="false">J18-W18</f>
        <v>0.00917779514625071</v>
      </c>
      <c r="Y18" s="713"/>
      <c r="Z18" s="713"/>
      <c r="AA18" s="456"/>
      <c r="AB18" s="713" t="n">
        <f aca="false">X18</f>
        <v>0.00917779514625071</v>
      </c>
      <c r="AC18" s="713"/>
      <c r="AD18" s="713"/>
      <c r="AE18" s="837"/>
      <c r="AG18" s="664"/>
      <c r="AI18" s="838"/>
      <c r="AJ18" s="839"/>
      <c r="AK18" s="840"/>
    </row>
    <row r="19" customFormat="false" ht="15.75" hidden="false" customHeight="false" outlineLevel="0" collapsed="false">
      <c r="A19" s="829" t="n">
        <v>2007</v>
      </c>
      <c r="B19" s="830" t="n">
        <f aca="false">'Cuenta Ahorro-Inversión-Financi'!F56</f>
        <v>0.0385047966381489</v>
      </c>
      <c r="C19" s="830" t="n">
        <f aca="false">'Cuenta Ahorro-Inversión-Financi'!G56</f>
        <v>0.0209548679959935</v>
      </c>
      <c r="D19" s="830" t="n">
        <f aca="false">'Cuenta Ahorro-Inversión-Financi'!L56</f>
        <v>0.0149068047295749</v>
      </c>
      <c r="E19" s="830" t="n">
        <f aca="false">'Cuenta Ahorro-Inversión-Financi'!H56</f>
        <v>0.000737928817183578</v>
      </c>
      <c r="F19" s="830"/>
      <c r="G19" s="830"/>
      <c r="H19" s="830" t="n">
        <f aca="false">('Cuenta Ahorro-Inversión-Financi'!AH23-SUM('Cuenta Ahorro-Inversión-Financi'!AI23:AM23))/1000/'PIB corriente base 2004'!X11</f>
        <v>-4.9152714044835E-007</v>
      </c>
      <c r="I19" s="830"/>
      <c r="J19" s="830" t="n">
        <f aca="false">SUM(B19:F19)</f>
        <v>0.0751043981809009</v>
      </c>
      <c r="K19" s="456"/>
      <c r="L19" s="836" t="n">
        <v>2007</v>
      </c>
      <c r="M19" s="832" t="n">
        <f aca="false">'Cuenta Ahorro-Inversión-Financi'!R56</f>
        <v>0.0489808558686249</v>
      </c>
      <c r="N19" s="832" t="n">
        <f aca="false">U19-O19</f>
        <v>0.00559034382813241</v>
      </c>
      <c r="O19" s="832" t="n">
        <f aca="false">'Cuenta Ahorro-Inversión-Financi'!BS23/1000/'PIB corriente base 2004'!X11</f>
        <v>0.0018084480471694</v>
      </c>
      <c r="P19" s="832" t="n">
        <f aca="false">'Cuenta Ahorro-Inversión-Financi'!AY23/1000/'PIB corriente base 2004'!X11+V19</f>
        <v>0.000934433666315139</v>
      </c>
      <c r="Q19" s="832" t="n">
        <f aca="false">'Cuenta Ahorro-Inversión-Financi'!AV56</f>
        <v>0.00694374082135591</v>
      </c>
      <c r="R19" s="832"/>
      <c r="S19" s="832"/>
      <c r="T19" s="832"/>
      <c r="U19" s="832" t="n">
        <f aca="false">'Cuenta Ahorro-Inversión-Financi'!T56</f>
        <v>0.00739879187530181</v>
      </c>
      <c r="V19" s="832" t="n">
        <f aca="false">'Cuenta Ahorro-Inversión-Financi'!BC23/1000/'PIB corriente base 2004'!X11</f>
        <v>0</v>
      </c>
      <c r="W19" s="832" t="n">
        <f aca="false">M19-T19+O19+Q19+R19+N19+P19</f>
        <v>0.0642578222315978</v>
      </c>
      <c r="X19" s="710" t="n">
        <f aca="false">J19-W19</f>
        <v>0.0108465759493031</v>
      </c>
      <c r="Y19" s="710"/>
      <c r="AA19" s="456"/>
      <c r="AB19" s="710" t="n">
        <f aca="false">X19</f>
        <v>0.0108465759493031</v>
      </c>
      <c r="AC19" s="710"/>
      <c r="AE19" s="837"/>
      <c r="AG19" s="664"/>
      <c r="AI19" s="838"/>
      <c r="AJ19" s="839"/>
      <c r="AK19" s="840"/>
    </row>
    <row r="20" customFormat="false" ht="15.75" hidden="false" customHeight="false" outlineLevel="0" collapsed="false">
      <c r="A20" s="829" t="n">
        <v>2008</v>
      </c>
      <c r="B20" s="835" t="n">
        <f aca="false">'Cuenta Ahorro-Inversión-Financi'!F57</f>
        <v>0.0368508016736982</v>
      </c>
      <c r="C20" s="835" t="n">
        <f aca="false">'Cuenta Ahorro-Inversión-Financi'!G57</f>
        <v>0.0204392279016501</v>
      </c>
      <c r="D20" s="835" t="n">
        <f aca="false">'Cuenta Ahorro-Inversión-Financi'!L57</f>
        <v>0.0145730376476074</v>
      </c>
      <c r="E20" s="835" t="n">
        <f aca="false">'Cuenta Ahorro-Inversión-Financi'!H57</f>
        <v>0.000971980550364607</v>
      </c>
      <c r="F20" s="835"/>
      <c r="G20" s="835"/>
      <c r="H20" s="835" t="n">
        <f aca="false">('Cuenta Ahorro-Inversión-Financi'!AH24-SUM('Cuenta Ahorro-Inversión-Financi'!AI24:AM24))/1000/'PIB corriente base 2004'!X12</f>
        <v>0.000309302566600715</v>
      </c>
      <c r="I20" s="835"/>
      <c r="J20" s="835" t="n">
        <f aca="false">SUM(B20:F20)</f>
        <v>0.0728350477733203</v>
      </c>
      <c r="L20" s="836" t="n">
        <v>2008</v>
      </c>
      <c r="M20" s="835" t="n">
        <f aca="false">'Cuenta Ahorro-Inversión-Financi'!R57</f>
        <v>0.0483764714177785</v>
      </c>
      <c r="N20" s="835" t="n">
        <f aca="false">U20-O20</f>
        <v>0.00717673059001263</v>
      </c>
      <c r="O20" s="835" t="n">
        <f aca="false">'Cuenta Ahorro-Inversión-Financi'!BS24/1000/'PIB corriente base 2004'!X12</f>
        <v>0.00175828728657165</v>
      </c>
      <c r="P20" s="835" t="n">
        <f aca="false">'Cuenta Ahorro-Inversión-Financi'!AY24/1000/'PIB corriente base 2004'!X12+V20</f>
        <v>0.00110112913760037</v>
      </c>
      <c r="Q20" s="835" t="n">
        <f aca="false">'Cuenta Ahorro-Inversión-Financi'!AV57-R20</f>
        <v>0.00755471749320767</v>
      </c>
      <c r="R20" s="835" t="n">
        <f aca="false">'Cuenta Ahorro-Inversión-Financi'!Y57</f>
        <v>0.00116689653702815</v>
      </c>
      <c r="S20" s="835"/>
      <c r="T20" s="835"/>
      <c r="U20" s="835" t="n">
        <f aca="false">'Cuenta Ahorro-Inversión-Financi'!T57</f>
        <v>0.00893501787658427</v>
      </c>
      <c r="V20" s="835" t="n">
        <f aca="false">'Cuenta Ahorro-Inversión-Financi'!BC24/1000/'PIB corriente base 2004'!X12</f>
        <v>0</v>
      </c>
      <c r="W20" s="835" t="n">
        <f aca="false">M20-T20+O20+Q20+R20+N20+P20</f>
        <v>0.067134232462199</v>
      </c>
      <c r="X20" s="713" t="n">
        <f aca="false">J20-W20</f>
        <v>0.00570081531112138</v>
      </c>
      <c r="Y20" s="713" t="n">
        <f aca="false">X20-E20</f>
        <v>0.00472883476075677</v>
      </c>
      <c r="Z20" s="713"/>
      <c r="AA20" s="456"/>
      <c r="AB20" s="713" t="n">
        <f aca="false">Y20</f>
        <v>0.00472883476075677</v>
      </c>
      <c r="AC20" s="713" t="n">
        <f aca="false">X20</f>
        <v>0.00570081531112138</v>
      </c>
      <c r="AD20" s="713"/>
      <c r="AE20" s="837"/>
      <c r="AG20" s="664"/>
      <c r="AI20" s="838"/>
      <c r="AJ20" s="839"/>
      <c r="AK20" s="840"/>
    </row>
    <row r="21" customFormat="false" ht="15.75" hidden="false" customHeight="false" outlineLevel="0" collapsed="false">
      <c r="A21" s="829" t="n">
        <v>2009</v>
      </c>
      <c r="B21" s="830" t="n">
        <f aca="false">'Cuenta Ahorro-Inversión-Financi'!F58</f>
        <v>0.0507701371819389</v>
      </c>
      <c r="C21" s="830" t="n">
        <f aca="false">'Cuenta Ahorro-Inversión-Financi'!G58</f>
        <v>0.0203921181346288</v>
      </c>
      <c r="D21" s="830" t="n">
        <f aca="false">'Cuenta Ahorro-Inversión-Financi'!L58</f>
        <v>0.0146173597980544</v>
      </c>
      <c r="E21" s="830" t="n">
        <f aca="false">'Cuenta Ahorro-Inversión-Financi'!H58</f>
        <v>0.00680095700317286</v>
      </c>
      <c r="F21" s="830"/>
      <c r="G21" s="830"/>
      <c r="H21" s="830" t="n">
        <f aca="false">('Cuenta Ahorro-Inversión-Financi'!AH25-SUM('Cuenta Ahorro-Inversión-Financi'!AI25:AM25))/1000/'PIB corriente base 2004'!X13</f>
        <v>0.000374296304471138</v>
      </c>
      <c r="I21" s="830"/>
      <c r="J21" s="830" t="n">
        <f aca="false">SUM(B21:F21)</f>
        <v>0.092580572117795</v>
      </c>
      <c r="L21" s="836" t="n">
        <v>2009</v>
      </c>
      <c r="M21" s="832" t="n">
        <f aca="false">'Cuenta Ahorro-Inversión-Financi'!R58</f>
        <v>0.0568162745570319</v>
      </c>
      <c r="N21" s="832" t="n">
        <f aca="false">U21-O21</f>
        <v>0.0103548744113128</v>
      </c>
      <c r="O21" s="832" t="n">
        <f aca="false">'Cuenta Ahorro-Inversión-Financi'!BS25/1000/'PIB corriente base 2004'!X13</f>
        <v>0.0020413731238185</v>
      </c>
      <c r="P21" s="832" t="n">
        <f aca="false">'Cuenta Ahorro-Inversión-Financi'!AY25/1000/'PIB corriente base 2004'!X13+V21</f>
        <v>0.00178122445365416</v>
      </c>
      <c r="Q21" s="832" t="n">
        <f aca="false">'Cuenta Ahorro-Inversión-Financi'!AV58-R21</f>
        <v>0.0096326646023175</v>
      </c>
      <c r="R21" s="832" t="n">
        <f aca="false">'Cuenta Ahorro-Inversión-Financi'!Y58</f>
        <v>0.00167502693461996</v>
      </c>
      <c r="S21" s="832"/>
      <c r="T21" s="832"/>
      <c r="U21" s="832" t="n">
        <f aca="false">'Cuenta Ahorro-Inversión-Financi'!T58</f>
        <v>0.0123962475351313</v>
      </c>
      <c r="V21" s="832" t="n">
        <f aca="false">'Cuenta Ahorro-Inversión-Financi'!BC25/1000/'PIB corriente base 2004'!X13</f>
        <v>3.47760459512129E-006</v>
      </c>
      <c r="W21" s="832" t="n">
        <f aca="false">M21-T21+O21+Q21+R21+N21+P21</f>
        <v>0.0823014380827548</v>
      </c>
      <c r="X21" s="710" t="n">
        <f aca="false">J21-W21</f>
        <v>0.0102791340350402</v>
      </c>
      <c r="Y21" s="710" t="n">
        <f aca="false">X21-E21</f>
        <v>0.00347817703186733</v>
      </c>
      <c r="Z21" s="710"/>
      <c r="AA21" s="456"/>
      <c r="AB21" s="710" t="n">
        <f aca="false">Y21</f>
        <v>0.00347817703186733</v>
      </c>
      <c r="AC21" s="710" t="n">
        <f aca="false">X21</f>
        <v>0.0102791340350402</v>
      </c>
      <c r="AD21" s="710"/>
      <c r="AE21" s="837"/>
      <c r="AG21" s="664"/>
      <c r="AI21" s="838"/>
      <c r="AJ21" s="839"/>
      <c r="AK21" s="841"/>
    </row>
    <row r="22" customFormat="false" ht="15.75" hidden="false" customHeight="false" outlineLevel="0" collapsed="false">
      <c r="A22" s="829" t="n">
        <v>2010</v>
      </c>
      <c r="B22" s="835" t="n">
        <f aca="false">'Cuenta Ahorro-Inversión-Financi'!F59</f>
        <v>0.0504873115779599</v>
      </c>
      <c r="C22" s="835" t="n">
        <f aca="false">'Cuenta Ahorro-Inversión-Financi'!G59</f>
        <v>0.0206407631065506</v>
      </c>
      <c r="D22" s="835" t="n">
        <f aca="false">'Cuenta Ahorro-Inversión-Financi'!AI26/1000/'PIB corriente base 2004'!X14</f>
        <v>0.0147442218942046</v>
      </c>
      <c r="E22" s="835" t="n">
        <f aca="false">'Cuenta Ahorro-Inversión-Financi'!H59</f>
        <v>0.00524439899269864</v>
      </c>
      <c r="F22" s="835" t="n">
        <f aca="false">SUM('Cuenta Ahorro-Inversión-Financi'!AJ26:AM26)/1000/'PIB corriente base 2004'!X14</f>
        <v>4.78419683827532E-005</v>
      </c>
      <c r="G22" s="835"/>
      <c r="H22" s="835" t="n">
        <f aca="false">('Cuenta Ahorro-Inversión-Financi'!AH26-SUM('Cuenta Ahorro-Inversión-Financi'!AI26:AM26))/1000/'PIB corriente base 2004'!X14</f>
        <v>1.42111157784053E-005</v>
      </c>
      <c r="I22" s="835"/>
      <c r="J22" s="835" t="n">
        <f aca="false">SUM(B22:F22)</f>
        <v>0.0911645375397965</v>
      </c>
      <c r="L22" s="836" t="n">
        <v>2010</v>
      </c>
      <c r="M22" s="835" t="n">
        <f aca="false">'Cuenta Ahorro-Inversión-Financi'!R59</f>
        <v>0.0531723252388029</v>
      </c>
      <c r="N22" s="835" t="n">
        <f aca="false">U22-O22</f>
        <v>0.013401132173323</v>
      </c>
      <c r="O22" s="835" t="n">
        <f aca="false">'Cuenta Ahorro-Inversión-Financi'!BS26/1000/'PIB corriente base 2004'!X14</f>
        <v>0.00190415963472409</v>
      </c>
      <c r="P22" s="835" t="n">
        <f aca="false">'Cuenta Ahorro-Inversión-Financi'!AY26/1000/'PIB corriente base 2004'!X14+V22</f>
        <v>0.00193273387962204</v>
      </c>
      <c r="Q22" s="835" t="n">
        <f aca="false">'Cuenta Ahorro-Inversión-Financi'!AV59-R22</f>
        <v>0.0101063370292179</v>
      </c>
      <c r="R22" s="835" t="n">
        <f aca="false">'Cuenta Ahorro-Inversión-Financi'!Y59</f>
        <v>0.00129161278918117</v>
      </c>
      <c r="S22" s="835"/>
      <c r="T22" s="835"/>
      <c r="U22" s="835" t="n">
        <f aca="false">'Cuenta Ahorro-Inversión-Financi'!T59</f>
        <v>0.0153052918080471</v>
      </c>
      <c r="V22" s="835" t="n">
        <f aca="false">'Cuenta Ahorro-Inversión-Financi'!BC26/1000/'PIB corriente base 2004'!X14</f>
        <v>4.5054226152591E-006</v>
      </c>
      <c r="W22" s="835" t="n">
        <f aca="false">M22-T22+O22+Q22+R22+N22+P22</f>
        <v>0.0818083007448712</v>
      </c>
      <c r="X22" s="713" t="n">
        <f aca="false">J22-W22</f>
        <v>0.00935623679492528</v>
      </c>
      <c r="Y22" s="713" t="n">
        <f aca="false">X22-E22</f>
        <v>0.00411183780222665</v>
      </c>
      <c r="Z22" s="713"/>
      <c r="AA22" s="456"/>
      <c r="AB22" s="713" t="n">
        <f aca="false">Y22</f>
        <v>0.00411183780222665</v>
      </c>
      <c r="AC22" s="713" t="n">
        <f aca="false">X22</f>
        <v>0.00935623679492528</v>
      </c>
      <c r="AD22" s="713"/>
      <c r="AE22" s="837"/>
      <c r="AG22" s="664"/>
      <c r="AI22" s="838"/>
      <c r="AJ22" s="839"/>
      <c r="AK22" s="840"/>
    </row>
    <row r="23" customFormat="false" ht="15.75" hidden="false" customHeight="false" outlineLevel="0" collapsed="false">
      <c r="A23" s="829" t="n">
        <v>2011</v>
      </c>
      <c r="B23" s="830" t="n">
        <f aca="false">'Cuenta Ahorro-Inversión-Financi'!F60</f>
        <v>0.051623947009386</v>
      </c>
      <c r="C23" s="830" t="n">
        <f aca="false">'Cuenta Ahorro-Inversión-Financi'!G60</f>
        <v>0.0210555255476486</v>
      </c>
      <c r="D23" s="830" t="n">
        <f aca="false">'Cuenta Ahorro-Inversión-Financi'!AI27/1000/'PIB corriente base 2004'!X15</f>
        <v>0.0148856065446608</v>
      </c>
      <c r="E23" s="830" t="n">
        <f aca="false">'Cuenta Ahorro-Inversión-Financi'!H60</f>
        <v>0.00506588207799855</v>
      </c>
      <c r="F23" s="830" t="n">
        <f aca="false">('Cuenta Ahorro-Inversión-Financi'!AH27-'Cuenta Ahorro-Inversión-Financi'!AI27)/1000/'PIB corriente base 2004'!X15</f>
        <v>0.00127650660654248</v>
      </c>
      <c r="G23" s="830"/>
      <c r="H23" s="830" t="n">
        <f aca="false">('Cuenta Ahorro-Inversión-Financi'!AH27-SUM('Cuenta Ahorro-Inversión-Financi'!AI27:AM27))/1000/'PIB corriente base 2004'!X15</f>
        <v>-0.000375333771910671</v>
      </c>
      <c r="I23" s="830"/>
      <c r="J23" s="830" t="n">
        <f aca="false">SUM(B23:F23)</f>
        <v>0.0939074677862365</v>
      </c>
      <c r="L23" s="836" t="n">
        <v>2011</v>
      </c>
      <c r="M23" s="832" t="n">
        <f aca="false">'Cuenta Ahorro-Inversión-Financi'!R60</f>
        <v>0.0559923504050296</v>
      </c>
      <c r="N23" s="832" t="n">
        <f aca="false">U23-O23</f>
        <v>0.0109799924049</v>
      </c>
      <c r="O23" s="832" t="n">
        <f aca="false">'Cuenta Ahorro-Inversión-Financi'!BS27/1000/'PIB corriente base 2004'!X15</f>
        <v>0.00200692451763306</v>
      </c>
      <c r="P23" s="832" t="n">
        <f aca="false">'Cuenta Ahorro-Inversión-Financi'!AY27/1000/'PIB corriente base 2004'!X15+V23</f>
        <v>0.00219213433804649</v>
      </c>
      <c r="Q23" s="832" t="n">
        <f aca="false">'Cuenta Ahorro-Inversión-Financi'!AV60-R23</f>
        <v>0.0120992651321526</v>
      </c>
      <c r="R23" s="832" t="n">
        <f aca="false">'Cuenta Ahorro-Inversión-Financi'!Y60</f>
        <v>0.00103133324512357</v>
      </c>
      <c r="S23" s="832"/>
      <c r="T23" s="832"/>
      <c r="U23" s="832" t="n">
        <f aca="false">'Cuenta Ahorro-Inversión-Financi'!T60</f>
        <v>0.0129869169225331</v>
      </c>
      <c r="V23" s="832" t="n">
        <f aca="false">'Cuenta Ahorro-Inversión-Financi'!BC27/1000/'PIB corriente base 2004'!X15</f>
        <v>3.41028583741594E-006</v>
      </c>
      <c r="W23" s="832" t="n">
        <f aca="false">M23-T23+O23+Q23+R23+N23+P23</f>
        <v>0.0843020000428854</v>
      </c>
      <c r="X23" s="710" t="n">
        <f aca="false">J23-W23</f>
        <v>0.00960546774335111</v>
      </c>
      <c r="Y23" s="710" t="n">
        <f aca="false">X23-E23</f>
        <v>0.00453958566535256</v>
      </c>
      <c r="Z23" s="710"/>
      <c r="AA23" s="456"/>
      <c r="AB23" s="710" t="n">
        <f aca="false">Y23</f>
        <v>0.00453958566535256</v>
      </c>
      <c r="AC23" s="710" t="n">
        <f aca="false">X23</f>
        <v>0.00960546774335111</v>
      </c>
      <c r="AD23" s="710"/>
      <c r="AE23" s="837"/>
      <c r="AG23" s="664"/>
      <c r="AI23" s="838"/>
      <c r="AJ23" s="839"/>
      <c r="AK23" s="840"/>
    </row>
    <row r="24" customFormat="false" ht="15.75" hidden="false" customHeight="false" outlineLevel="0" collapsed="false">
      <c r="A24" s="829" t="n">
        <v>2012</v>
      </c>
      <c r="B24" s="835" t="n">
        <f aca="false">'Cuenta Ahorro-Inversión-Financi'!F61</f>
        <v>0.055778278265298</v>
      </c>
      <c r="C24" s="835" t="n">
        <f aca="false">'Cuenta Ahorro-Inversión-Financi'!G61</f>
        <v>0.0224400989125377</v>
      </c>
      <c r="D24" s="835" t="n">
        <f aca="false">'Cuenta Ahorro-Inversión-Financi'!AI28/1000/'PIB corriente base 2004'!X16</f>
        <v>0.0155583049965991</v>
      </c>
      <c r="E24" s="835" t="n">
        <f aca="false">'Cuenta Ahorro-Inversión-Financi'!H61</f>
        <v>0.00657689666047515</v>
      </c>
      <c r="F24" s="835" t="n">
        <f aca="false">('Cuenta Ahorro-Inversión-Financi'!AH28-'Cuenta Ahorro-Inversión-Financi'!AI28)/1000/'PIB corriente base 2004'!X16</f>
        <v>0.000474495124682221</v>
      </c>
      <c r="G24" s="835"/>
      <c r="H24" s="835" t="n">
        <f aca="false">('Cuenta Ahorro-Inversión-Financi'!AH28-SUM('Cuenta Ahorro-Inversión-Financi'!AI28:AM28))/1000/'PIB corriente base 2004'!X16</f>
        <v>-2.28314495338047E-006</v>
      </c>
      <c r="I24" s="835"/>
      <c r="J24" s="835" t="n">
        <f aca="false">SUM(B24:F24)</f>
        <v>0.100828073959592</v>
      </c>
      <c r="L24" s="836" t="n">
        <v>2012</v>
      </c>
      <c r="M24" s="835" t="n">
        <f aca="false">'Cuenta Ahorro-Inversión-Financi'!R61</f>
        <v>0.0639576874295608</v>
      </c>
      <c r="N24" s="835" t="n">
        <f aca="false">U24-O24</f>
        <v>0.00995515308893217</v>
      </c>
      <c r="O24" s="835" t="n">
        <f aca="false">'Cuenta Ahorro-Inversión-Financi'!BS28/1000/'PIB corriente base 2004'!X16</f>
        <v>0.0022917701706974</v>
      </c>
      <c r="P24" s="835" t="n">
        <f aca="false">'Cuenta Ahorro-Inversión-Financi'!AY28/1000/'PIB corriente base 2004'!X16+V24</f>
        <v>0.00236681220168485</v>
      </c>
      <c r="Q24" s="835" t="n">
        <f aca="false">'Cuenta Ahorro-Inversión-Financi'!AV61-R24</f>
        <v>0.0129182716332613</v>
      </c>
      <c r="R24" s="835" t="n">
        <f aca="false">'Cuenta Ahorro-Inversión-Financi'!Y61</f>
        <v>0.00123537014000835</v>
      </c>
      <c r="S24" s="835"/>
      <c r="T24" s="835"/>
      <c r="U24" s="835" t="n">
        <f aca="false">'Cuenta Ahorro-Inversión-Financi'!T61</f>
        <v>0.0122469232596296</v>
      </c>
      <c r="V24" s="835" t="n">
        <f aca="false">'Cuenta Ahorro-Inversión-Financi'!BC28/1000/'PIB corriente base 2004'!X16</f>
        <v>1.94831880255554E-006</v>
      </c>
      <c r="W24" s="835" t="n">
        <f aca="false">M24-T24+O24+Q24+R24+N24+P24</f>
        <v>0.0927250646641448</v>
      </c>
      <c r="X24" s="713" t="n">
        <f aca="false">J24-W24</f>
        <v>0.0081030092954474</v>
      </c>
      <c r="Y24" s="713" t="n">
        <f aca="false">X24-E24</f>
        <v>0.00152611263497225</v>
      </c>
      <c r="Z24" s="713"/>
      <c r="AA24" s="456"/>
      <c r="AB24" s="713" t="n">
        <f aca="false">Y24</f>
        <v>0.00152611263497225</v>
      </c>
      <c r="AC24" s="713" t="n">
        <f aca="false">X24</f>
        <v>0.0081030092954474</v>
      </c>
      <c r="AD24" s="713"/>
      <c r="AE24" s="837"/>
      <c r="AG24" s="664"/>
      <c r="AI24" s="838"/>
      <c r="AJ24" s="839"/>
      <c r="AK24" s="840"/>
    </row>
    <row r="25" customFormat="false" ht="15.75" hidden="false" customHeight="false" outlineLevel="0" collapsed="false">
      <c r="A25" s="829" t="n">
        <f aca="false">A24+1</f>
        <v>2013</v>
      </c>
      <c r="B25" s="830" t="n">
        <f aca="false">'Cuenta Ahorro-Inversión-Financi'!F62</f>
        <v>0.0576719027752101</v>
      </c>
      <c r="C25" s="830" t="n">
        <f aca="false">'Cuenta Ahorro-Inversión-Financi'!G62</f>
        <v>0.0223318530313047</v>
      </c>
      <c r="D25" s="830" t="n">
        <f aca="false">'Cuenta Ahorro-Inversión-Financi'!AI29/1000/'PIB corriente base 2004'!X17</f>
        <v>0.0159148002617685</v>
      </c>
      <c r="E25" s="830" t="n">
        <f aca="false">'Cuenta Ahorro-Inversión-Financi'!H62</f>
        <v>0.00683124675183988</v>
      </c>
      <c r="F25" s="830" t="n">
        <f aca="false">SUM('Cuenta Ahorro-Inversión-Financi'!AJ29:AM29)/1000/'PIB corriente base 2004'!X17</f>
        <v>0.00122193042080368</v>
      </c>
      <c r="G25" s="830"/>
      <c r="H25" s="830" t="n">
        <f aca="false">('Cuenta Ahorro-Inversión-Financi'!AH29-SUM('Cuenta Ahorro-Inversión-Financi'!AI29:AM29))/1000/'PIB corriente base 2004'!X17</f>
        <v>5.01139097487515E-005</v>
      </c>
      <c r="I25" s="830"/>
      <c r="J25" s="830" t="n">
        <f aca="false">SUM(B25:F25)</f>
        <v>0.103971733240927</v>
      </c>
      <c r="L25" s="836" t="n">
        <v>2013</v>
      </c>
      <c r="M25" s="832" t="n">
        <f aca="false">'Cuenta Ahorro-Inversión-Financi'!R62</f>
        <v>0.0665922944987349</v>
      </c>
      <c r="N25" s="832" t="n">
        <f aca="false">U25-O25</f>
        <v>0.0107146720941459</v>
      </c>
      <c r="O25" s="832" t="n">
        <f aca="false">'Cuenta Ahorro-Inversión-Financi'!BS29/1000/'PIB corriente base 2004'!X17</f>
        <v>0.00238561996391175</v>
      </c>
      <c r="P25" s="832" t="n">
        <f aca="false">'Cuenta Ahorro-Inversión-Financi'!AY29/1000/'PIB corriente base 2004'!X17+V25</f>
        <v>0.00210806956969702</v>
      </c>
      <c r="Q25" s="832" t="n">
        <f aca="false">'Cuenta Ahorro-Inversión-Financi'!AV62-R25</f>
        <v>0.0146218200307587</v>
      </c>
      <c r="R25" s="832" t="n">
        <f aca="false">'Cuenta Ahorro-Inversión-Financi'!Y62</f>
        <v>0.00166967888999977</v>
      </c>
      <c r="S25" s="832"/>
      <c r="T25" s="832"/>
      <c r="U25" s="832" t="n">
        <f aca="false">'Cuenta Ahorro-Inversión-Financi'!T62</f>
        <v>0.0131002920580577</v>
      </c>
      <c r="V25" s="832" t="n">
        <f aca="false">'Cuenta Ahorro-Inversión-Financi'!BC29/1000/'PIB corriente base 2004'!X17</f>
        <v>4.67935434715442E-006</v>
      </c>
      <c r="W25" s="832" t="n">
        <f aca="false">M25-T25+O25+Q25+R25+N25+P25</f>
        <v>0.0980921550472481</v>
      </c>
      <c r="X25" s="710" t="n">
        <f aca="false">J25-W25</f>
        <v>0.00587957819367872</v>
      </c>
      <c r="Y25" s="710" t="n">
        <f aca="false">X25-E25</f>
        <v>-0.000951668558161159</v>
      </c>
      <c r="Z25" s="710"/>
      <c r="AA25" s="456"/>
      <c r="AB25" s="710" t="n">
        <f aca="false">Y25</f>
        <v>-0.000951668558161159</v>
      </c>
      <c r="AC25" s="710" t="n">
        <f aca="false">X25</f>
        <v>0.00587957819367872</v>
      </c>
      <c r="AD25" s="710"/>
      <c r="AE25" s="837"/>
      <c r="AI25" s="838"/>
      <c r="AJ25" s="839"/>
      <c r="AK25" s="840"/>
    </row>
    <row r="26" customFormat="false" ht="15.75" hidden="false" customHeight="false" outlineLevel="0" collapsed="false">
      <c r="A26" s="829" t="n">
        <f aca="false">A25+1</f>
        <v>2014</v>
      </c>
      <c r="B26" s="835" t="n">
        <f aca="false">'Cuenta Ahorro-Inversión-Financi'!F63</f>
        <v>0.0542098068652894</v>
      </c>
      <c r="C26" s="835" t="n">
        <f aca="false">'Cuenta Ahorro-Inversión-Financi'!G63</f>
        <v>0.0225793750807335</v>
      </c>
      <c r="D26" s="835" t="n">
        <f aca="false">'Cuenta Ahorro-Inversión-Financi'!AI30/1000/'PIB corriente base 2004'!X18</f>
        <v>0.015871302582137</v>
      </c>
      <c r="E26" s="835" t="n">
        <f aca="false">'Cuenta Ahorro-Inversión-Financi'!H63</f>
        <v>0.00838241527111434</v>
      </c>
      <c r="F26" s="835" t="n">
        <f aca="false">SUM('Cuenta Ahorro-Inversión-Financi'!AJ30:AM30)/1000/'PIB corriente base 2004'!X18</f>
        <v>0.0016327062141725</v>
      </c>
      <c r="G26" s="835"/>
      <c r="H26" s="835" t="n">
        <f aca="false">('Cuenta Ahorro-Inversión-Financi'!AH30-SUM('Cuenta Ahorro-Inversión-Financi'!AI30:AM30))/1000/'PIB corriente base 2004'!X18</f>
        <v>0.00458152310243</v>
      </c>
      <c r="I26" s="835"/>
      <c r="J26" s="835" t="n">
        <f aca="false">SUM(B26:F26)</f>
        <v>0.102675606013447</v>
      </c>
      <c r="L26" s="836" t="n">
        <v>2014</v>
      </c>
      <c r="M26" s="835" t="n">
        <f aca="false">'Cuenta Ahorro-Inversión-Financi'!R63</f>
        <v>0.0645559228265026</v>
      </c>
      <c r="N26" s="835" t="n">
        <f aca="false">U26-O26</f>
        <v>0.0106751453935426</v>
      </c>
      <c r="O26" s="835" t="n">
        <f aca="false">'Cuenta Ahorro-Inversión-Financi'!BS30/1000/'PIB corriente base 2004'!X18</f>
        <v>0.0023272132721661</v>
      </c>
      <c r="P26" s="835" t="n">
        <f aca="false">'Cuenta Ahorro-Inversión-Financi'!AY30/1000/'PIB corriente base 2004'!X18+V26</f>
        <v>0.00208133381503417</v>
      </c>
      <c r="Q26" s="835" t="n">
        <f aca="false">'Cuenta Ahorro-Inversión-Financi'!AV63-R26</f>
        <v>0.0141412319440096</v>
      </c>
      <c r="R26" s="835" t="n">
        <f aca="false">'Cuenta Ahorro-Inversión-Financi'!Y63</f>
        <v>0.00180520724704594</v>
      </c>
      <c r="S26" s="835"/>
      <c r="T26" s="835"/>
      <c r="U26" s="835" t="n">
        <f aca="false">'Cuenta Ahorro-Inversión-Financi'!T63</f>
        <v>0.0130023586657087</v>
      </c>
      <c r="V26" s="835" t="n">
        <f aca="false">'Cuenta Ahorro-Inversión-Financi'!BC30/1000/'PIB corriente base 2004'!X18</f>
        <v>3.01355346416379E-006</v>
      </c>
      <c r="W26" s="835" t="n">
        <f aca="false">M26-T26+O26+Q26+R26+N26+P26</f>
        <v>0.095586054498301</v>
      </c>
      <c r="X26" s="713" t="n">
        <f aca="false">J26-W26</f>
        <v>0.00708955151514587</v>
      </c>
      <c r="Y26" s="713" t="n">
        <f aca="false">X26-E26</f>
        <v>-0.00129286375596847</v>
      </c>
      <c r="Z26" s="713"/>
      <c r="AA26" s="456"/>
      <c r="AB26" s="713" t="n">
        <f aca="false">Y26</f>
        <v>-0.00129286375596847</v>
      </c>
      <c r="AC26" s="713" t="n">
        <f aca="false">X26</f>
        <v>0.00708955151514587</v>
      </c>
      <c r="AD26" s="713"/>
      <c r="AE26" s="837"/>
      <c r="AI26" s="838"/>
      <c r="AJ26" s="839"/>
      <c r="AK26" s="840"/>
    </row>
    <row r="27" customFormat="false" ht="15.75" hidden="false" customHeight="false" outlineLevel="0" collapsed="false">
      <c r="A27" s="829" t="n">
        <f aca="false">A26+1</f>
        <v>2015</v>
      </c>
      <c r="B27" s="830" t="n">
        <f aca="false">'Cuenta Ahorro-Inversión-Financi'!F64</f>
        <v>0.0564297158299164</v>
      </c>
      <c r="C27" s="830" t="n">
        <f aca="false">'Cuenta Ahorro-Inversión-Financi'!G64</f>
        <v>0.0236426052651485</v>
      </c>
      <c r="D27" s="830" t="n">
        <f aca="false">'Cuenta Ahorro-Inversión-Financi'!AI31/1000/'PIB corriente base 2004'!X19</f>
        <v>0.0160551081025211</v>
      </c>
      <c r="E27" s="830" t="n">
        <f aca="false">'Cuenta Ahorro-Inversión-Financi'!H64</f>
        <v>0.00893120932488722</v>
      </c>
      <c r="F27" s="830" t="n">
        <f aca="false">SUM('Cuenta Ahorro-Inversión-Financi'!AJ31:AM31)/1000/'PIB corriente base 2004'!X19</f>
        <v>0.00174808358257101</v>
      </c>
      <c r="G27" s="830"/>
      <c r="H27" s="830" t="n">
        <f aca="false">('Cuenta Ahorro-Inversión-Financi'!AH31-SUM('Cuenta Ahorro-Inversión-Financi'!AI31:AM31))/1000/'PIB corriente base 2004'!X19</f>
        <v>0.00847418708688297</v>
      </c>
      <c r="I27" s="830"/>
      <c r="J27" s="830" t="n">
        <f aca="false">SUM(B27:F27)</f>
        <v>0.106806722105044</v>
      </c>
      <c r="L27" s="836" t="n">
        <f aca="false">L26+1</f>
        <v>2015</v>
      </c>
      <c r="M27" s="832" t="n">
        <f aca="false">'Cuenta Ahorro-Inversión-Financi'!R64</f>
        <v>0.0727904762035428</v>
      </c>
      <c r="N27" s="832" t="n">
        <f aca="false">U27-O27</f>
        <v>0.0116328503756657</v>
      </c>
      <c r="O27" s="832" t="n">
        <f aca="false">'Cuenta Ahorro-Inversión-Financi'!BS31/1000/'PIB corriente base 2004'!X19</f>
        <v>0.00260688705263258</v>
      </c>
      <c r="P27" s="832" t="n">
        <f aca="false">'Cuenta Ahorro-Inversión-Financi'!AY31/1000/'PIB corriente base 2004'!X19+V27</f>
        <v>0.00209925380408706</v>
      </c>
      <c r="Q27" s="832" t="n">
        <f aca="false">'Cuenta Ahorro-Inversión-Financi'!AV64-R27</f>
        <v>0.014539131815676</v>
      </c>
      <c r="R27" s="832" t="n">
        <f aca="false">'Cuenta Ahorro-Inversión-Financi'!Y64</f>
        <v>0.00171424659032606</v>
      </c>
      <c r="S27" s="832"/>
      <c r="T27" s="832"/>
      <c r="U27" s="832" t="n">
        <f aca="false">'Cuenta Ahorro-Inversión-Financi'!T64</f>
        <v>0.0142397374282983</v>
      </c>
      <c r="V27" s="832" t="n">
        <f aca="false">'Cuenta Ahorro-Inversión-Financi'!BC31/1000/'PIB corriente base 2004'!X19</f>
        <v>2.44288872332455E-006</v>
      </c>
      <c r="W27" s="832" t="n">
        <f aca="false">M27-T27+O27+Q27+R27+N27+P27</f>
        <v>0.10538284584193</v>
      </c>
      <c r="X27" s="710" t="n">
        <f aca="false">J27-W27</f>
        <v>0.00142387626311399</v>
      </c>
      <c r="Y27" s="710" t="n">
        <f aca="false">X27-E27</f>
        <v>-0.00750733306177323</v>
      </c>
      <c r="Z27" s="710"/>
      <c r="AA27" s="456"/>
      <c r="AB27" s="710" t="n">
        <f aca="false">Y27</f>
        <v>-0.00750733306177323</v>
      </c>
      <c r="AC27" s="710" t="n">
        <f aca="false">X27</f>
        <v>0.00142387626311399</v>
      </c>
      <c r="AD27" s="710"/>
      <c r="AE27" s="837"/>
      <c r="AH27" s="28"/>
      <c r="AI27" s="838"/>
      <c r="AJ27" s="839"/>
      <c r="AK27" s="840"/>
    </row>
    <row r="28" customFormat="false" ht="15.75" hidden="false" customHeight="false" outlineLevel="0" collapsed="false">
      <c r="A28" s="829" t="n">
        <f aca="false">A27+1</f>
        <v>2016</v>
      </c>
      <c r="B28" s="835" t="n">
        <f aca="false">'Cuenta Ahorro-Inversión-Financi'!F65</f>
        <v>0.0546875274954749</v>
      </c>
      <c r="C28" s="835" t="n">
        <f aca="false">'Cuenta Ahorro-Inversión-Financi'!G65-'Cuenta Ahorro-Inversión-Financi'!I32/1000/'PIB corriente base 2004'!X20</f>
        <v>0.021229363568432</v>
      </c>
      <c r="D28" s="835" t="n">
        <f aca="false">('Cuenta Ahorro-Inversión-Financi'!AI32-'Cuenta Ahorro-Inversión-Financi'!CS32)/1000/'PIB corriente base 2004'!X20</f>
        <v>0.0115333980628038</v>
      </c>
      <c r="E28" s="835" t="n">
        <f aca="false">'Cuenta Ahorro-Inversión-Financi'!H65</f>
        <v>0.00880758496959625</v>
      </c>
      <c r="F28" s="835" t="n">
        <f aca="false">SUM('Cuenta Ahorro-Inversión-Financi'!AK32:AM32)/1000/'PIB corriente base 2004'!X20</f>
        <v>0.00171059175545749</v>
      </c>
      <c r="G28" s="835" t="n">
        <f aca="false">('Cuenta Ahorro-Inversión-Financi'!CS32+'Cuenta Ahorro-Inversión-Financi'!AJ32)/1000/'PIB corriente base 2004'!X20</f>
        <v>0.00380628674306788</v>
      </c>
      <c r="H28" s="835" t="n">
        <f aca="false">('Cuenta Ahorro-Inversión-Financi'!AH32-SUM('Cuenta Ahorro-Inversión-Financi'!AI32:AM32))/1000/'PIB corriente base 2004'!X20</f>
        <v>0.0185367690806319</v>
      </c>
      <c r="I28" s="835" t="n">
        <f aca="false">'Cuenta Ahorro-Inversión-Financi'!I32/1000/'PIB corriente base 2004'!X20</f>
        <v>0.0125824966432202</v>
      </c>
      <c r="J28" s="835" t="n">
        <f aca="false">SUM(B28:F28)+G28</f>
        <v>0.101774752594832</v>
      </c>
      <c r="L28" s="836" t="n">
        <f aca="false">L27+1</f>
        <v>2016</v>
      </c>
      <c r="M28" s="835" t="n">
        <f aca="false">'Cuenta Ahorro-Inversión-Financi'!S65</f>
        <v>0.0730410743804782</v>
      </c>
      <c r="N28" s="835" t="n">
        <f aca="false">U28-O28</f>
        <v>0.0163460286188939</v>
      </c>
      <c r="O28" s="835" t="n">
        <f aca="false">'Cuenta Ahorro-Inversión-Financi'!BS32/1000/'PIB corriente base 2004'!X20</f>
        <v>0.00263630884740172</v>
      </c>
      <c r="P28" s="835" t="n">
        <f aca="false">'Cuenta Ahorro-Inversión-Financi'!AY32/1000/'PIB corriente base 2004'!X20+V28</f>
        <v>0.00177072549143578</v>
      </c>
      <c r="Q28" s="835" t="n">
        <f aca="false">'Cuenta Ahorro-Inversión-Financi'!AV65-R28</f>
        <v>0.0137424706216159</v>
      </c>
      <c r="R28" s="835" t="n">
        <f aca="false">'Cuenta Ahorro-Inversión-Financi'!Y65</f>
        <v>0.00197107261819154</v>
      </c>
      <c r="S28" s="835"/>
      <c r="T28" s="835" t="n">
        <f aca="false">6344600/1000/'PIB corriente base 2004'!X20</f>
        <v>0.000771083734631746</v>
      </c>
      <c r="U28" s="835" t="n">
        <f aca="false">'Cuenta Ahorro-Inversión-Financi'!T65</f>
        <v>0.0189823374662956</v>
      </c>
      <c r="V28" s="835" t="n">
        <f aca="false">'Cuenta Ahorro-Inversión-Financi'!BC32/1000/'PIB corriente base 2004'!X20</f>
        <v>1.86341658601162E-006</v>
      </c>
      <c r="W28" s="835" t="n">
        <f aca="false">M28+O28+Q28+R28+N28+P28</f>
        <v>0.109507680578017</v>
      </c>
      <c r="X28" s="713" t="n">
        <f aca="false">J28-W28</f>
        <v>-0.00773292798318478</v>
      </c>
      <c r="Y28" s="713" t="n">
        <f aca="false">X28-E28</f>
        <v>-0.016540512952781</v>
      </c>
      <c r="Z28" s="713" t="n">
        <f aca="false">Y28-G28</f>
        <v>-0.0203467996958489</v>
      </c>
      <c r="AA28" s="456"/>
      <c r="AB28" s="713" t="n">
        <f aca="false">Z28</f>
        <v>-0.0203467996958489</v>
      </c>
      <c r="AC28" s="713" t="n">
        <f aca="false">AD28+Z28-Y28</f>
        <v>-0.0115392147262527</v>
      </c>
      <c r="AD28" s="713" t="n">
        <f aca="false">X28</f>
        <v>-0.00773292798318478</v>
      </c>
      <c r="AE28" s="837"/>
      <c r="AH28" s="28"/>
      <c r="AI28" s="838"/>
      <c r="AJ28" s="839"/>
      <c r="AK28" s="840"/>
    </row>
    <row r="29" customFormat="false" ht="15.75" hidden="false" customHeight="false" outlineLevel="0" collapsed="false">
      <c r="A29" s="829" t="n">
        <f aca="false">A28+1</f>
        <v>2017</v>
      </c>
      <c r="B29" s="830" t="n">
        <f aca="false">'Cuenta Ahorro-Inversión-Financi'!F66</f>
        <v>0.055590096056665</v>
      </c>
      <c r="C29" s="830" t="n">
        <f aca="false">'Cuenta Ahorro-Inversión-Financi'!G66-'Cuenta Ahorro-Inversión-Financi'!I33/1000/'PIB corriente base 2004'!X21</f>
        <v>0.0213651993139403</v>
      </c>
      <c r="D29" s="830" t="n">
        <f aca="false">('Cuenta Ahorro-Inversión-Financi'!AI33-'Cuenta Ahorro-Inversión-Financi'!CS33)/1000/'PIB corriente base 2004'!X21</f>
        <v>0.00831240027666563</v>
      </c>
      <c r="E29" s="830" t="n">
        <f aca="false">'Cuenta Ahorro-Inversión-Financi'!H66</f>
        <v>0.0103596875406384</v>
      </c>
      <c r="F29" s="830" t="n">
        <f aca="false">SUM('Cuenta Ahorro-Inversión-Financi'!AK33:AM33)/1000/'PIB corriente base 2004'!X21</f>
        <v>0.00110535464672093</v>
      </c>
      <c r="G29" s="830" t="n">
        <f aca="false">('Cuenta Ahorro-Inversión-Financi'!CS33+'Cuenta Ahorro-Inversión-Financi'!AJ33)/1000/'PIB corriente base 2004'!X21</f>
        <v>0.0076045316092612</v>
      </c>
      <c r="H29" s="830" t="n">
        <f aca="false">('Cuenta Ahorro-Inversión-Financi'!AH33-SUM('Cuenta Ahorro-Inversión-Financi'!AI33:AM33))/1000/'PIB corriente base 2004'!X21</f>
        <v>0.0184092378046352</v>
      </c>
      <c r="I29" s="830" t="n">
        <f aca="false">'Cuenta Ahorro-Inversión-Financi'!I33/1000/'PIB corriente base 2004'!X21</f>
        <v>0.00420963634008006</v>
      </c>
      <c r="J29" s="830" t="n">
        <f aca="false">SUM(B29:F29)+G29</f>
        <v>0.104337269443891</v>
      </c>
      <c r="L29" s="836" t="n">
        <f aca="false">L28+1</f>
        <v>2017</v>
      </c>
      <c r="M29" s="832" t="n">
        <f aca="false">'Cuenta Ahorro-Inversión-Financi'!S66</f>
        <v>0.0763864240518465</v>
      </c>
      <c r="N29" s="832" t="n">
        <f aca="false">U29-O29</f>
        <v>0.0149136250605212</v>
      </c>
      <c r="O29" s="832" t="n">
        <f aca="false">'Cuenta Ahorro-Inversión-Financi'!BS33/1000/'PIB corriente base 2004'!X21</f>
        <v>0.00297079733174157</v>
      </c>
      <c r="P29" s="832" t="n">
        <f aca="false">'Cuenta Ahorro-Inversión-Financi'!AY33/1000/'PIB corriente base 2004'!X21+V29</f>
        <v>0.00172705093781381</v>
      </c>
      <c r="Q29" s="832" t="n">
        <f aca="false">'Cuenta Ahorro-Inversión-Financi'!AV66-R29</f>
        <v>0.0127866721432285</v>
      </c>
      <c r="R29" s="832" t="n">
        <f aca="false">'Cuenta Ahorro-Inversión-Financi'!Y66</f>
        <v>0.00169318277702991</v>
      </c>
      <c r="S29" s="832" t="n">
        <f aca="false">'Cuenta Ahorro-Inversión-Financi'!CN33/'PIB corriente base 2004'!X21/1000</f>
        <v>0.000189033375650164</v>
      </c>
      <c r="T29" s="832" t="n">
        <f aca="false">41598953.80094/1000/'PIB corriente base 2004'!X21-S29</f>
        <v>0.00371888754837215</v>
      </c>
      <c r="U29" s="832" t="n">
        <f aca="false">'Cuenta Ahorro-Inversión-Financi'!T66</f>
        <v>0.0178844223922627</v>
      </c>
      <c r="V29" s="832" t="n">
        <f aca="false">'Cuenta Ahorro-Inversión-Financi'!BC33/1000/'PIB corriente base 2004'!X21</f>
        <v>5.75140920867836E-006</v>
      </c>
      <c r="W29" s="832" t="n">
        <f aca="false">M29+O29+Q29+R29+N29+P29</f>
        <v>0.110477752302181</v>
      </c>
      <c r="X29" s="710" t="n">
        <f aca="false">J29-W29</f>
        <v>-0.00614048285829008</v>
      </c>
      <c r="Y29" s="710" t="n">
        <f aca="false">X29-E29</f>
        <v>-0.0165001703989284</v>
      </c>
      <c r="Z29" s="710" t="n">
        <f aca="false">Y29-G29</f>
        <v>-0.0241047020081896</v>
      </c>
      <c r="AA29" s="456"/>
      <c r="AB29" s="710" t="n">
        <f aca="false">Z29</f>
        <v>-0.0241047020081896</v>
      </c>
      <c r="AC29" s="710" t="n">
        <f aca="false">AD29+Z29-Y29</f>
        <v>-0.0137450144675513</v>
      </c>
      <c r="AD29" s="710" t="n">
        <f aca="false">X29</f>
        <v>-0.00614048285829008</v>
      </c>
      <c r="AE29" s="837"/>
      <c r="AH29" s="28"/>
      <c r="AI29" s="838"/>
      <c r="AJ29" s="839"/>
      <c r="AK29" s="840"/>
    </row>
    <row r="30" customFormat="false" ht="15.75" hidden="false" customHeight="false" outlineLevel="0" collapsed="false">
      <c r="A30" s="829" t="n">
        <f aca="false">A29+1</f>
        <v>2018</v>
      </c>
      <c r="B30" s="835" t="n">
        <f aca="false">'Cuenta Ahorro-Inversión-Financi'!F67</f>
        <v>0.0507048464919942</v>
      </c>
      <c r="C30" s="835" t="n">
        <f aca="false">'Cuenta Ahorro-Inversión-Financi'!G67</f>
        <v>0.0267202526606726</v>
      </c>
      <c r="D30" s="835" t="n">
        <f aca="false">('Cuenta Ahorro-Inversión-Financi'!AI34-'Cuenta Ahorro-Inversión-Financi'!CS34)/1000/'PIB corriente base 2004'!X22</f>
        <v>0.00633564870628469</v>
      </c>
      <c r="E30" s="835" t="n">
        <f aca="false">'Cuenta Ahorro-Inversión-Financi'!H67</f>
        <v>0.0125788869347148</v>
      </c>
      <c r="F30" s="835" t="n">
        <f aca="false">SUM('Cuenta Ahorro-Inversión-Financi'!AK34:AM34)/1000/'PIB corriente base 2004'!X22</f>
        <v>0.00032264996405818</v>
      </c>
      <c r="G30" s="835" t="n">
        <f aca="false">('Cuenta Ahorro-Inversión-Financi'!CS34+'Cuenta Ahorro-Inversión-Financi'!AJ34)/1000/'PIB corriente base 2004'!X22</f>
        <v>0.0121336604883658</v>
      </c>
      <c r="H30" s="835" t="n">
        <f aca="false">('Cuenta Ahorro-Inversión-Financi'!AH34-SUM('Cuenta Ahorro-Inversión-Financi'!AI34:AM34))/1000/'PIB corriente base 2004'!X22</f>
        <v>0.00750050766027807</v>
      </c>
      <c r="I30" s="835"/>
      <c r="J30" s="835" t="n">
        <f aca="false">SUM(B30:F30)+G30</f>
        <v>0.10879594524609</v>
      </c>
      <c r="L30" s="836" t="n">
        <f aca="false">L29+1</f>
        <v>2018</v>
      </c>
      <c r="M30" s="835" t="n">
        <f aca="false">'Cuenta Ahorro-Inversión-Financi'!S67</f>
        <v>0.0719771065625742</v>
      </c>
      <c r="N30" s="835" t="n">
        <f aca="false">U30-O30</f>
        <v>0.0148720651077345</v>
      </c>
      <c r="O30" s="835" t="n">
        <f aca="false">'Cuenta Ahorro-Inversión-Financi'!BS34/1000/'PIB corriente base 2004'!X22</f>
        <v>0.00281753105217518</v>
      </c>
      <c r="P30" s="835" t="n">
        <f aca="false">'Cuenta Ahorro-Inversión-Financi'!AY34/1000/'PIB corriente base 2004'!X22+V30</f>
        <v>0.00148225469051734</v>
      </c>
      <c r="Q30" s="835" t="n">
        <f aca="false">'Cuenta Ahorro-Inversión-Financi'!AV67-R30</f>
        <v>0.00965041777837607</v>
      </c>
      <c r="R30" s="835" t="n">
        <f aca="false">'Cuenta Ahorro-Inversión-Financi'!Y67</f>
        <v>0.00155582043184477</v>
      </c>
      <c r="S30" s="835" t="n">
        <f aca="false">'Cuenta Ahorro-Inversión-Financi'!CN34/'PIB corriente base 2004'!X22/1000</f>
        <v>0.000375397103292598</v>
      </c>
      <c r="T30" s="835" t="n">
        <f aca="false">79630981548.32/1000000/'PIB corriente base 2004'!X22-S30</f>
        <v>0.00509130111541257</v>
      </c>
      <c r="U30" s="835" t="n">
        <f aca="false">'Cuenta Ahorro-Inversión-Financi'!T67</f>
        <v>0.0176895961599097</v>
      </c>
      <c r="V30" s="835" t="n">
        <f aca="false">'Cuenta Ahorro-Inversión-Financi'!BC34/1000/'PIB corriente base 2004'!X22</f>
        <v>4.52320338714705E-006</v>
      </c>
      <c r="W30" s="835" t="n">
        <f aca="false">M30+O30+Q30+R30+N30+P30</f>
        <v>0.102355195623222</v>
      </c>
      <c r="X30" s="713" t="n">
        <f aca="false">J30-W30</f>
        <v>0.00644074962286809</v>
      </c>
      <c r="Y30" s="713" t="n">
        <f aca="false">X30-E30</f>
        <v>-0.00613813731184667</v>
      </c>
      <c r="Z30" s="713" t="n">
        <f aca="false">Y30-G30</f>
        <v>-0.0182717978002125</v>
      </c>
      <c r="AA30" s="456"/>
      <c r="AB30" s="713" t="n">
        <f aca="false">Z30</f>
        <v>-0.0182717978002125</v>
      </c>
      <c r="AC30" s="713" t="n">
        <f aca="false">AD30+Z30-Y30</f>
        <v>-0.0056929108654977</v>
      </c>
      <c r="AD30" s="713" t="n">
        <f aca="false">X30</f>
        <v>0.00644074962286809</v>
      </c>
      <c r="AE30" s="837"/>
      <c r="AH30" s="28"/>
      <c r="AI30" s="838"/>
      <c r="AJ30" s="839"/>
      <c r="AK30" s="840"/>
    </row>
    <row r="31" customFormat="false" ht="15" hidden="false" customHeight="false" outlineLevel="0" collapsed="false">
      <c r="A31" s="829" t="n">
        <f aca="false">A30+1</f>
        <v>2019</v>
      </c>
      <c r="B31" s="830" t="n">
        <f aca="false">'Cuenta Ahorro-Inversión-Financi'!F68</f>
        <v>0.045482634112618</v>
      </c>
      <c r="C31" s="830" t="n">
        <f aca="false">'Cuenta Ahorro-Inversión-Financi'!G68</f>
        <v>0.025992153910621</v>
      </c>
      <c r="D31" s="830" t="n">
        <f aca="false">('Cuenta Ahorro-Inversión-Financi'!AI35-'Cuenta Ahorro-Inversión-Financi'!CS35)/1000/'PIB corriente base 2004'!X23</f>
        <v>0.00305405926972561</v>
      </c>
      <c r="E31" s="830" t="n">
        <f aca="false">'Cuenta Ahorro-Inversión-Financi'!H68</f>
        <v>0.0141101595741833</v>
      </c>
      <c r="F31" s="830" t="n">
        <f aca="false">SUM('Cuenta Ahorro-Inversión-Financi'!AK35:AM35)/1000/'PIB corriente base 2004'!X23</f>
        <v>0.000222538509524099</v>
      </c>
      <c r="G31" s="830" t="n">
        <f aca="false">('Cuenta Ahorro-Inversión-Financi'!CS35+'Cuenta Ahorro-Inversión-Financi'!AJ35)/1000/'PIB corriente base 2004'!X23</f>
        <v>0.0149805572266182</v>
      </c>
      <c r="H31" s="830" t="n">
        <f aca="false">('Cuenta Ahorro-Inversión-Financi'!AH35-SUM('Cuenta Ahorro-Inversión-Financi'!AI35:AM35))/1000/'PIB corriente base 2004'!X23-'Cuenta Ahorro-Inversión-Financi'!CJ35/1000/'PIB corriente base 2004'!X23</f>
        <v>0.00907082725707152</v>
      </c>
      <c r="I31" s="830"/>
      <c r="J31" s="830" t="n">
        <f aca="false">SUM(B31:F31)+G31</f>
        <v>0.10384210260329</v>
      </c>
      <c r="L31" s="836" t="n">
        <f aca="false">L30+1</f>
        <v>2019</v>
      </c>
      <c r="M31" s="832" t="n">
        <f aca="false">'Cuenta Ahorro-Inversión-Financi'!S68</f>
        <v>0.0705199284475343</v>
      </c>
      <c r="N31" s="832" t="n">
        <f aca="false">U31-O31</f>
        <v>0.0147840604707147</v>
      </c>
      <c r="O31" s="832" t="n">
        <f aca="false">'Cuenta Ahorro-Inversión-Financi'!BS35/1000/'PIB corriente base 2004'!X23</f>
        <v>0.00271152710171896</v>
      </c>
      <c r="P31" s="832" t="n">
        <f aca="false">'Cuenta Ahorro-Inversión-Financi'!AY35/1000/'PIB corriente base 2004'!X23+V31</f>
        <v>0.00125780693193743</v>
      </c>
      <c r="Q31" s="832" t="n">
        <f aca="false">'Cuenta Ahorro-Inversión-Financi'!AV68-R31-'Cuenta Ahorro-Inversión-Financi'!CJ35/1000/'PIB corriente base 2004'!X23</f>
        <v>0.00678412545890775</v>
      </c>
      <c r="R31" s="832" t="n">
        <f aca="false">'Cuenta Ahorro-Inversión-Financi'!Y68-S31</f>
        <v>0.00132323571147159</v>
      </c>
      <c r="S31" s="832" t="n">
        <f aca="false">'Cuenta Ahorro-Inversión-Financi'!CN35/'PIB corriente base 2004'!X23/1000</f>
        <v>0.000283424808484046</v>
      </c>
      <c r="T31" s="832" t="n">
        <f aca="false">96967000/1000/'PIB corriente base 2004'!X23-S31</f>
        <v>0.00420457805592881</v>
      </c>
      <c r="U31" s="832" t="n">
        <f aca="false">'Cuenta Ahorro-Inversión-Financi'!T68</f>
        <v>0.0174955875724337</v>
      </c>
      <c r="V31" s="832" t="n">
        <f aca="false">'Cuenta Ahorro-Inversión-Financi'!BC35/1000/'PIB corriente base 2004'!X23</f>
        <v>4.96322893817889E-006</v>
      </c>
      <c r="W31" s="832" t="n">
        <f aca="false">M31+O31+Q31+R31+N31+P31</f>
        <v>0.0973806841222848</v>
      </c>
      <c r="X31" s="710" t="n">
        <f aca="false">J31-W31</f>
        <v>0.00646141848100539</v>
      </c>
      <c r="Y31" s="710" t="n">
        <f aca="false">X31-E31</f>
        <v>-0.00764874109317795</v>
      </c>
      <c r="Z31" s="710" t="n">
        <f aca="false">Y31-G31</f>
        <v>-0.0226292983197961</v>
      </c>
      <c r="AA31" s="456"/>
      <c r="AB31" s="710" t="n">
        <f aca="false">Z31</f>
        <v>-0.0226292983197961</v>
      </c>
      <c r="AC31" s="710" t="n">
        <f aca="false">AD31+Z31-Y31</f>
        <v>-0.00851913874561277</v>
      </c>
      <c r="AD31" s="710" t="n">
        <f aca="false">X31</f>
        <v>0.00646141848100539</v>
      </c>
      <c r="AE31" s="837"/>
      <c r="AH31" s="28"/>
      <c r="AI31" s="838"/>
      <c r="AJ31" s="839"/>
      <c r="AK31" s="840"/>
    </row>
    <row r="32" customFormat="false" ht="13.8" hidden="false" customHeight="false" outlineLevel="0" collapsed="false">
      <c r="B32" s="456"/>
      <c r="E32" s="646"/>
      <c r="F32" s="646"/>
      <c r="U32" s="456" t="n">
        <f aca="false">T32/1000/'PIB corriente base 2004'!X23</f>
        <v>0</v>
      </c>
      <c r="Z32" s="456"/>
      <c r="AE32" s="837"/>
      <c r="AH32" s="28"/>
      <c r="AI32" s="838"/>
      <c r="AJ32" s="839"/>
      <c r="AK32" s="840"/>
    </row>
    <row r="33" customFormat="false" ht="15" hidden="false" customHeight="false" outlineLevel="0" collapsed="false">
      <c r="B33" s="646"/>
      <c r="K33" s="28" t="n">
        <f aca="false">+'Cuenta Ahorro-Inversión-Financi'!CJ35</f>
        <v>68320169.71474</v>
      </c>
      <c r="T33" s="456" t="n">
        <f aca="false">T29+S29</f>
        <v>0.00390792092402232</v>
      </c>
      <c r="AC33" s="456"/>
      <c r="AE33" s="837"/>
      <c r="AH33" s="28"/>
      <c r="AI33" s="838"/>
      <c r="AJ33" s="839"/>
      <c r="AK33" s="840"/>
    </row>
    <row r="34" customFormat="false" ht="15" hidden="false" customHeight="false" outlineLevel="0" collapsed="false">
      <c r="M34" s="842" t="s">
        <v>1110</v>
      </c>
      <c r="N34" s="1" t="s">
        <v>1111</v>
      </c>
      <c r="O34" s="1" t="s">
        <v>1112</v>
      </c>
      <c r="P34" s="1" t="s">
        <v>1113</v>
      </c>
      <c r="Q34" s="1" t="s">
        <v>1114</v>
      </c>
      <c r="R34" s="1" t="s">
        <v>1115</v>
      </c>
      <c r="S34" s="1" t="s">
        <v>1116</v>
      </c>
      <c r="T34" s="456" t="n">
        <f aca="false">T30+S30</f>
        <v>0.00546669821870517</v>
      </c>
      <c r="AB34" s="456"/>
      <c r="AE34" s="837"/>
      <c r="AH34" s="28"/>
      <c r="AI34" s="838"/>
      <c r="AJ34" s="839"/>
      <c r="AK34" s="840"/>
    </row>
    <row r="35" customFormat="false" ht="15" hidden="false" customHeight="false" outlineLevel="0" collapsed="false">
      <c r="L35" s="1" t="n">
        <f aca="false">L5</f>
        <v>1993</v>
      </c>
      <c r="M35" s="834" t="n">
        <f aca="false">M5+O5</f>
        <v>0.0526370931910582</v>
      </c>
      <c r="N35" s="834" t="n">
        <f aca="false">N5</f>
        <v>0.011642303700453</v>
      </c>
      <c r="O35" s="834" t="n">
        <f aca="false">Q5</f>
        <v>0.00528862853440302</v>
      </c>
      <c r="P35" s="834" t="n">
        <f aca="false">P5</f>
        <v>0.00148990999175634</v>
      </c>
      <c r="Q35" s="834"/>
      <c r="R35" s="834" t="n">
        <f aca="false">SUM(M35:Q35)</f>
        <v>0.0710579354176705</v>
      </c>
      <c r="S35" s="834"/>
      <c r="AE35" s="837"/>
      <c r="AH35" s="28"/>
      <c r="AI35" s="838"/>
      <c r="AJ35" s="839"/>
      <c r="AK35" s="840"/>
    </row>
    <row r="36" customFormat="false" ht="15" hidden="false" customHeight="false" outlineLevel="0" collapsed="false">
      <c r="L36" s="1" t="n">
        <f aca="false">L6</f>
        <v>1994</v>
      </c>
      <c r="M36" s="834" t="n">
        <f aca="false">M6+O6</f>
        <v>0.0564644262203535</v>
      </c>
      <c r="N36" s="834" t="n">
        <f aca="false">N6</f>
        <v>0.0124360211037753</v>
      </c>
      <c r="O36" s="834" t="n">
        <f aca="false">Q6</f>
        <v>0.00677530886936053</v>
      </c>
      <c r="P36" s="834" t="n">
        <f aca="false">P6</f>
        <v>0.00114625800779694</v>
      </c>
      <c r="Q36" s="834"/>
      <c r="R36" s="834" t="n">
        <f aca="false">SUM(M36:Q36)</f>
        <v>0.0768220142012863</v>
      </c>
      <c r="S36" s="834"/>
      <c r="AE36" s="837"/>
      <c r="AH36" s="28"/>
      <c r="AI36" s="838"/>
      <c r="AJ36" s="839"/>
      <c r="AK36" s="840"/>
    </row>
    <row r="37" customFormat="false" ht="15" hidden="false" customHeight="false" outlineLevel="0" collapsed="false">
      <c r="L37" s="1" t="n">
        <f aca="false">L7</f>
        <v>1995</v>
      </c>
      <c r="M37" s="834" t="n">
        <f aca="false">M7+O7</f>
        <v>0.0536446703997522</v>
      </c>
      <c r="N37" s="834" t="n">
        <f aca="false">N7</f>
        <v>0.00535587988298989</v>
      </c>
      <c r="O37" s="834" t="n">
        <f aca="false">Q7</f>
        <v>0.00663835790735207</v>
      </c>
      <c r="P37" s="834" t="n">
        <f aca="false">P7</f>
        <v>0.00119215327226036</v>
      </c>
      <c r="Q37" s="834"/>
      <c r="R37" s="834" t="n">
        <f aca="false">SUM(M37:Q37)</f>
        <v>0.0668310614623545</v>
      </c>
      <c r="S37" s="834"/>
      <c r="AE37" s="837"/>
      <c r="AH37" s="28"/>
      <c r="AI37" s="838"/>
      <c r="AJ37" s="839"/>
      <c r="AK37" s="840"/>
    </row>
    <row r="38" customFormat="false" ht="15" hidden="false" customHeight="false" outlineLevel="0" collapsed="false">
      <c r="L38" s="1" t="n">
        <f aca="false">L8</f>
        <v>1996</v>
      </c>
      <c r="M38" s="834" t="n">
        <f aca="false">M8+O8</f>
        <v>0.0531622526632245</v>
      </c>
      <c r="N38" s="834" t="n">
        <f aca="false">N8</f>
        <v>0.00600272468782676</v>
      </c>
      <c r="O38" s="834" t="n">
        <f aca="false">Q8</f>
        <v>0.0074607589826253</v>
      </c>
      <c r="P38" s="834" t="n">
        <f aca="false">P8</f>
        <v>0.00171031345294353</v>
      </c>
      <c r="Q38" s="834"/>
      <c r="R38" s="834" t="n">
        <f aca="false">SUM(M38:Q38)</f>
        <v>0.0683360497866201</v>
      </c>
      <c r="S38" s="834"/>
      <c r="AE38" s="837"/>
      <c r="AH38" s="28"/>
      <c r="AI38" s="838"/>
      <c r="AJ38" s="839"/>
      <c r="AK38" s="840"/>
    </row>
    <row r="39" customFormat="false" ht="15" hidden="false" customHeight="false" outlineLevel="0" collapsed="false">
      <c r="L39" s="1" t="n">
        <f aca="false">L9</f>
        <v>1997</v>
      </c>
      <c r="M39" s="834" t="n">
        <f aca="false">M9+O9</f>
        <v>0.0500659666860674</v>
      </c>
      <c r="N39" s="834" t="n">
        <f aca="false">N9</f>
        <v>0.00539903006587295</v>
      </c>
      <c r="O39" s="834" t="n">
        <f aca="false">Q9</f>
        <v>0.00721746011483045</v>
      </c>
      <c r="P39" s="834" t="n">
        <f aca="false">P9</f>
        <v>0.00113559901995312</v>
      </c>
      <c r="Q39" s="834"/>
      <c r="R39" s="834" t="n">
        <f aca="false">SUM(M39:Q39)</f>
        <v>0.0638180558867239</v>
      </c>
      <c r="S39" s="834"/>
    </row>
    <row r="40" customFormat="false" ht="15" hidden="false" customHeight="false" outlineLevel="0" collapsed="false">
      <c r="L40" s="1" t="n">
        <f aca="false">L10</f>
        <v>1998</v>
      </c>
      <c r="M40" s="834" t="n">
        <f aca="false">M10+O10</f>
        <v>0.0491903555478579</v>
      </c>
      <c r="N40" s="834" t="n">
        <f aca="false">N10</f>
        <v>0.00477034993055969</v>
      </c>
      <c r="O40" s="834" t="n">
        <f aca="false">Q10</f>
        <v>0.00818073477793168</v>
      </c>
      <c r="P40" s="834" t="n">
        <f aca="false">P10</f>
        <v>0.00102481315686651</v>
      </c>
      <c r="Q40" s="834"/>
      <c r="R40" s="834" t="n">
        <f aca="false">SUM(M40:Q40)</f>
        <v>0.0631662534132158</v>
      </c>
      <c r="S40" s="834"/>
    </row>
    <row r="41" customFormat="false" ht="15" hidden="false" customHeight="false" outlineLevel="0" collapsed="false">
      <c r="L41" s="1" t="n">
        <f aca="false">L11</f>
        <v>1999</v>
      </c>
      <c r="M41" s="834" t="n">
        <f aca="false">M11+O11</f>
        <v>0.0517496903211291</v>
      </c>
      <c r="N41" s="834" t="n">
        <f aca="false">N11</f>
        <v>0.00587322823822414</v>
      </c>
      <c r="O41" s="834" t="n">
        <f aca="false">Q11</f>
        <v>0.00868157830525175</v>
      </c>
      <c r="P41" s="834" t="n">
        <f aca="false">P11</f>
        <v>0.000859047973636882</v>
      </c>
      <c r="Q41" s="834"/>
      <c r="R41" s="834" t="n">
        <f aca="false">SUM(M41:Q41)</f>
        <v>0.0671635448382419</v>
      </c>
      <c r="S41" s="834"/>
    </row>
    <row r="42" customFormat="false" ht="15" hidden="false" customHeight="false" outlineLevel="0" collapsed="false">
      <c r="L42" s="1" t="n">
        <f aca="false">L12</f>
        <v>2000</v>
      </c>
      <c r="M42" s="834" t="n">
        <f aca="false">M12+O12</f>
        <v>0.0518501300658357</v>
      </c>
      <c r="N42" s="834" t="n">
        <f aca="false">N12</f>
        <v>0.00613084017631838</v>
      </c>
      <c r="O42" s="834" t="n">
        <f aca="false">Q12</f>
        <v>0.00842379342908535</v>
      </c>
      <c r="P42" s="834" t="n">
        <f aca="false">P12</f>
        <v>0.000763899147434019</v>
      </c>
      <c r="Q42" s="834"/>
      <c r="R42" s="834" t="n">
        <f aca="false">SUM(M42:Q42)</f>
        <v>0.0671686628186734</v>
      </c>
      <c r="S42" s="834"/>
      <c r="AJ42" s="456"/>
    </row>
    <row r="43" customFormat="false" ht="15" hidden="false" customHeight="false" outlineLevel="0" collapsed="false">
      <c r="L43" s="1" t="n">
        <f aca="false">L13</f>
        <v>2001</v>
      </c>
      <c r="M43" s="834" t="n">
        <f aca="false">M13+O13</f>
        <v>0.0525215308255347</v>
      </c>
      <c r="N43" s="834" t="n">
        <f aca="false">N13</f>
        <v>0.00621669920590712</v>
      </c>
      <c r="O43" s="834" t="n">
        <f aca="false">Q13</f>
        <v>0.00850617345912317</v>
      </c>
      <c r="P43" s="834" t="n">
        <f aca="false">P13</f>
        <v>0.000688492360671558</v>
      </c>
      <c r="Q43" s="834"/>
      <c r="R43" s="834" t="n">
        <f aca="false">SUM(M43:Q43)</f>
        <v>0.0679328958512366</v>
      </c>
      <c r="S43" s="834"/>
    </row>
    <row r="44" customFormat="false" ht="15" hidden="false" customHeight="false" outlineLevel="0" collapsed="false">
      <c r="L44" s="1" t="n">
        <f aca="false">L14</f>
        <v>2002</v>
      </c>
      <c r="M44" s="834" t="n">
        <f aca="false">M14+O14</f>
        <v>0.0443421627477132</v>
      </c>
      <c r="N44" s="834" t="n">
        <f aca="false">N14</f>
        <v>0.00678591755475529</v>
      </c>
      <c r="O44" s="834" t="n">
        <f aca="false">Q14</f>
        <v>0.00679872793896764</v>
      </c>
      <c r="P44" s="834" t="n">
        <f aca="false">P14</f>
        <v>0.000674115579920293</v>
      </c>
      <c r="Q44" s="834"/>
      <c r="R44" s="834" t="n">
        <f aca="false">SUM(M44:Q44)</f>
        <v>0.0586009238213564</v>
      </c>
      <c r="S44" s="834"/>
    </row>
    <row r="45" customFormat="false" ht="15" hidden="false" customHeight="false" outlineLevel="0" collapsed="false">
      <c r="L45" s="1" t="n">
        <f aca="false">L15</f>
        <v>2003</v>
      </c>
      <c r="M45" s="834" t="n">
        <f aca="false">M15+O15</f>
        <v>0.0414155099169041</v>
      </c>
      <c r="N45" s="834" t="n">
        <f aca="false">N15</f>
        <v>0.00815617118660916</v>
      </c>
      <c r="O45" s="834" t="n">
        <f aca="false">Q15</f>
        <v>0.00679617546093593</v>
      </c>
      <c r="P45" s="834" t="n">
        <f aca="false">P15</f>
        <v>0.000695611243275441</v>
      </c>
      <c r="Q45" s="834"/>
      <c r="R45" s="834" t="n">
        <f aca="false">SUM(M45:Q45)</f>
        <v>0.0570634678077246</v>
      </c>
      <c r="S45" s="834"/>
    </row>
    <row r="46" customFormat="false" ht="15" hidden="false" customHeight="false" outlineLevel="0" collapsed="false">
      <c r="L46" s="1" t="n">
        <f aca="false">L16</f>
        <v>2004</v>
      </c>
      <c r="M46" s="834" t="n">
        <f aca="false">M16+O16</f>
        <v>0.0381838546901421</v>
      </c>
      <c r="N46" s="834" t="n">
        <f aca="false">N16</f>
        <v>0.00601253522505087</v>
      </c>
      <c r="O46" s="834" t="n">
        <f aca="false">Q16</f>
        <v>0.0062422259511128</v>
      </c>
      <c r="P46" s="834" t="n">
        <f aca="false">P16</f>
        <v>0.000620174834207575</v>
      </c>
      <c r="Q46" s="834"/>
      <c r="R46" s="834" t="n">
        <f aca="false">SUM(M46:Q46)</f>
        <v>0.0510587907005133</v>
      </c>
      <c r="S46" s="834"/>
    </row>
    <row r="47" customFormat="false" ht="15" hidden="false" customHeight="false" outlineLevel="0" collapsed="false">
      <c r="L47" s="1" t="n">
        <f aca="false">L17</f>
        <v>2005</v>
      </c>
      <c r="M47" s="834" t="n">
        <f aca="false">M17+O17</f>
        <v>0.0359050849402142</v>
      </c>
      <c r="N47" s="834" t="n">
        <f aca="false">N17</f>
        <v>0.00717141324245859</v>
      </c>
      <c r="O47" s="834" t="n">
        <f aca="false">Q17</f>
        <v>0.00597111538341118</v>
      </c>
      <c r="P47" s="834" t="n">
        <f aca="false">P17</f>
        <v>0.000775276229474887</v>
      </c>
      <c r="Q47" s="834"/>
      <c r="R47" s="834" t="n">
        <f aca="false">SUM(M47:Q47)</f>
        <v>0.0498228897955588</v>
      </c>
      <c r="S47" s="834"/>
    </row>
    <row r="48" customFormat="false" ht="15" hidden="false" customHeight="false" outlineLevel="0" collapsed="false">
      <c r="L48" s="1" t="n">
        <f aca="false">L18</f>
        <v>2006</v>
      </c>
      <c r="M48" s="834" t="n">
        <f aca="false">M18+O18</f>
        <v>0.0382627857511565</v>
      </c>
      <c r="N48" s="834" t="n">
        <f aca="false">N18</f>
        <v>0.00645013061743081</v>
      </c>
      <c r="O48" s="834" t="n">
        <f aca="false">Q18</f>
        <v>0.00626372424192923</v>
      </c>
      <c r="P48" s="834" t="n">
        <f aca="false">P18</f>
        <v>0.000837384263622429</v>
      </c>
      <c r="Q48" s="834"/>
      <c r="R48" s="834" t="n">
        <f aca="false">SUM(M48:Q48)</f>
        <v>0.051814024874139</v>
      </c>
      <c r="S48" s="834"/>
    </row>
    <row r="49" customFormat="false" ht="15" hidden="false" customHeight="false" outlineLevel="0" collapsed="false">
      <c r="L49" s="1" t="n">
        <f aca="false">L19</f>
        <v>2007</v>
      </c>
      <c r="M49" s="834" t="n">
        <f aca="false">M19+O19</f>
        <v>0.0507893039157943</v>
      </c>
      <c r="N49" s="834" t="n">
        <f aca="false">N19</f>
        <v>0.00559034382813241</v>
      </c>
      <c r="O49" s="834" t="n">
        <f aca="false">Q19</f>
        <v>0.00694374082135591</v>
      </c>
      <c r="P49" s="834" t="n">
        <f aca="false">P19</f>
        <v>0.000934433666315139</v>
      </c>
      <c r="Q49" s="834"/>
      <c r="R49" s="834" t="n">
        <f aca="false">SUM(M49:Q49)</f>
        <v>0.0642578222315978</v>
      </c>
      <c r="S49" s="834"/>
    </row>
    <row r="50" customFormat="false" ht="15" hidden="false" customHeight="false" outlineLevel="0" collapsed="false">
      <c r="L50" s="1" t="n">
        <f aca="false">L20</f>
        <v>2008</v>
      </c>
      <c r="M50" s="834" t="n">
        <f aca="false">M20+O20</f>
        <v>0.0501347587043501</v>
      </c>
      <c r="N50" s="834" t="n">
        <f aca="false">N20</f>
        <v>0.00717673059001263</v>
      </c>
      <c r="O50" s="834" t="n">
        <f aca="false">Q20</f>
        <v>0.00755471749320767</v>
      </c>
      <c r="P50" s="834" t="n">
        <f aca="false">P20</f>
        <v>0.00110112913760037</v>
      </c>
      <c r="Q50" s="834" t="n">
        <f aca="false">R20</f>
        <v>0.00116689653702815</v>
      </c>
      <c r="R50" s="834" t="n">
        <f aca="false">SUM(M50:Q50)</f>
        <v>0.067134232462199</v>
      </c>
      <c r="S50" s="834"/>
    </row>
    <row r="51" customFormat="false" ht="15" hidden="false" customHeight="false" outlineLevel="0" collapsed="false">
      <c r="L51" s="1" t="n">
        <f aca="false">L21</f>
        <v>2009</v>
      </c>
      <c r="M51" s="834" t="n">
        <f aca="false">M21+O21</f>
        <v>0.0588576476808504</v>
      </c>
      <c r="N51" s="834" t="n">
        <f aca="false">N21</f>
        <v>0.0103548744113128</v>
      </c>
      <c r="O51" s="834" t="n">
        <f aca="false">Q21</f>
        <v>0.0096326646023175</v>
      </c>
      <c r="P51" s="834" t="n">
        <f aca="false">P21</f>
        <v>0.00178122445365416</v>
      </c>
      <c r="Q51" s="834" t="n">
        <f aca="false">R21</f>
        <v>0.00167502693461996</v>
      </c>
      <c r="R51" s="834" t="n">
        <f aca="false">SUM(M51:Q51)</f>
        <v>0.0823014380827548</v>
      </c>
      <c r="S51" s="834"/>
    </row>
    <row r="52" customFormat="false" ht="15" hidden="false" customHeight="false" outlineLevel="0" collapsed="false">
      <c r="L52" s="1" t="n">
        <f aca="false">L22</f>
        <v>2010</v>
      </c>
      <c r="M52" s="834" t="n">
        <f aca="false">M22+O22</f>
        <v>0.055076484873527</v>
      </c>
      <c r="N52" s="834" t="n">
        <f aca="false">N22</f>
        <v>0.013401132173323</v>
      </c>
      <c r="O52" s="834" t="n">
        <f aca="false">Q22</f>
        <v>0.0101063370292179</v>
      </c>
      <c r="P52" s="834" t="n">
        <f aca="false">P22</f>
        <v>0.00193273387962204</v>
      </c>
      <c r="Q52" s="834" t="n">
        <f aca="false">R22</f>
        <v>0.00129161278918117</v>
      </c>
      <c r="R52" s="834" t="n">
        <f aca="false">SUM(M52:Q52)</f>
        <v>0.0818083007448712</v>
      </c>
      <c r="S52" s="834"/>
    </row>
    <row r="53" customFormat="false" ht="15" hidden="false" customHeight="false" outlineLevel="0" collapsed="false">
      <c r="L53" s="1" t="n">
        <f aca="false">L23</f>
        <v>2011</v>
      </c>
      <c r="M53" s="834" t="n">
        <f aca="false">M23+O23</f>
        <v>0.0579992749226626</v>
      </c>
      <c r="N53" s="834" t="n">
        <f aca="false">N23</f>
        <v>0.0109799924049</v>
      </c>
      <c r="O53" s="834" t="n">
        <f aca="false">Q23</f>
        <v>0.0120992651321526</v>
      </c>
      <c r="P53" s="834" t="n">
        <f aca="false">P23</f>
        <v>0.00219213433804649</v>
      </c>
      <c r="Q53" s="834" t="n">
        <f aca="false">R23</f>
        <v>0.00103133324512357</v>
      </c>
      <c r="R53" s="834" t="n">
        <f aca="false">SUM(M53:Q53)</f>
        <v>0.0843020000428854</v>
      </c>
      <c r="S53" s="834"/>
    </row>
    <row r="54" customFormat="false" ht="15" hidden="false" customHeight="false" outlineLevel="0" collapsed="false">
      <c r="L54" s="1" t="n">
        <f aca="false">L24</f>
        <v>2012</v>
      </c>
      <c r="M54" s="834" t="n">
        <f aca="false">M24+O24</f>
        <v>0.0662494576002582</v>
      </c>
      <c r="N54" s="834" t="n">
        <f aca="false">N24</f>
        <v>0.00995515308893217</v>
      </c>
      <c r="O54" s="834" t="n">
        <f aca="false">Q24</f>
        <v>0.0129182716332613</v>
      </c>
      <c r="P54" s="834" t="n">
        <f aca="false">P24</f>
        <v>0.00236681220168485</v>
      </c>
      <c r="Q54" s="834" t="n">
        <f aca="false">R24</f>
        <v>0.00123537014000835</v>
      </c>
      <c r="R54" s="834" t="n">
        <f aca="false">SUM(M54:Q54)</f>
        <v>0.0927250646641448</v>
      </c>
      <c r="S54" s="834"/>
    </row>
    <row r="55" customFormat="false" ht="15" hidden="false" customHeight="false" outlineLevel="0" collapsed="false">
      <c r="L55" s="1" t="n">
        <f aca="false">L25</f>
        <v>2013</v>
      </c>
      <c r="M55" s="834" t="n">
        <f aca="false">M25+O25</f>
        <v>0.0689779144626467</v>
      </c>
      <c r="N55" s="834" t="n">
        <f aca="false">N25</f>
        <v>0.0107146720941459</v>
      </c>
      <c r="O55" s="834" t="n">
        <f aca="false">Q25</f>
        <v>0.0146218200307587</v>
      </c>
      <c r="P55" s="834" t="n">
        <f aca="false">P25</f>
        <v>0.00210806956969702</v>
      </c>
      <c r="Q55" s="834" t="n">
        <f aca="false">R25</f>
        <v>0.00166967888999977</v>
      </c>
      <c r="R55" s="834" t="n">
        <f aca="false">SUM(M55:Q55)</f>
        <v>0.0980921550472481</v>
      </c>
      <c r="S55" s="834"/>
    </row>
    <row r="56" customFormat="false" ht="15" hidden="false" customHeight="false" outlineLevel="0" collapsed="false">
      <c r="L56" s="1" t="n">
        <f aca="false">L26</f>
        <v>2014</v>
      </c>
      <c r="M56" s="834" t="n">
        <f aca="false">M26+O26</f>
        <v>0.0668831360986687</v>
      </c>
      <c r="N56" s="834" t="n">
        <f aca="false">N26</f>
        <v>0.0106751453935426</v>
      </c>
      <c r="O56" s="834" t="n">
        <f aca="false">Q26</f>
        <v>0.0141412319440096</v>
      </c>
      <c r="P56" s="834" t="n">
        <f aca="false">P26</f>
        <v>0.00208133381503417</v>
      </c>
      <c r="Q56" s="834" t="n">
        <f aca="false">R26</f>
        <v>0.00180520724704594</v>
      </c>
      <c r="R56" s="834" t="n">
        <f aca="false">SUM(M56:Q56)</f>
        <v>0.095586054498301</v>
      </c>
      <c r="S56" s="834"/>
    </row>
    <row r="57" customFormat="false" ht="15" hidden="false" customHeight="false" outlineLevel="0" collapsed="false">
      <c r="L57" s="1" t="n">
        <f aca="false">L27</f>
        <v>2015</v>
      </c>
      <c r="M57" s="834" t="n">
        <f aca="false">M27+O27</f>
        <v>0.0753973632561754</v>
      </c>
      <c r="N57" s="834" t="n">
        <f aca="false">N27</f>
        <v>0.0116328503756657</v>
      </c>
      <c r="O57" s="834" t="n">
        <f aca="false">Q27</f>
        <v>0.014539131815676</v>
      </c>
      <c r="P57" s="834" t="n">
        <f aca="false">P27</f>
        <v>0.00209925380408706</v>
      </c>
      <c r="Q57" s="834" t="n">
        <f aca="false">R27</f>
        <v>0.00171424659032606</v>
      </c>
      <c r="R57" s="834" t="n">
        <f aca="false">SUM(M57:Q57)</f>
        <v>0.10538284584193</v>
      </c>
      <c r="S57" s="834"/>
    </row>
    <row r="58" customFormat="false" ht="15" hidden="false" customHeight="false" outlineLevel="0" collapsed="false">
      <c r="L58" s="1" t="n">
        <f aca="false">L28</f>
        <v>2016</v>
      </c>
      <c r="M58" s="834" t="n">
        <f aca="false">M28+O28</f>
        <v>0.07567738322788</v>
      </c>
      <c r="N58" s="834" t="n">
        <f aca="false">N28</f>
        <v>0.0163460286188939</v>
      </c>
      <c r="O58" s="834" t="n">
        <f aca="false">Q28</f>
        <v>0.0137424706216159</v>
      </c>
      <c r="P58" s="834" t="n">
        <f aca="false">P28</f>
        <v>0.00177072549143578</v>
      </c>
      <c r="Q58" s="834" t="n">
        <f aca="false">R28</f>
        <v>0.00197107261819154</v>
      </c>
      <c r="R58" s="834" t="n">
        <f aca="false">SUM(M58:Q58)</f>
        <v>0.109507680578017</v>
      </c>
      <c r="S58" s="834" t="n">
        <f aca="false">T28</f>
        <v>0.000771083734631746</v>
      </c>
    </row>
    <row r="59" customFormat="false" ht="15" hidden="false" customHeight="false" outlineLevel="0" collapsed="false">
      <c r="L59" s="1" t="n">
        <f aca="false">L29</f>
        <v>2017</v>
      </c>
      <c r="M59" s="834" t="n">
        <f aca="false">M29+O29</f>
        <v>0.0793572213835881</v>
      </c>
      <c r="N59" s="834" t="n">
        <f aca="false">N29</f>
        <v>0.0149136250605212</v>
      </c>
      <c r="O59" s="834" t="n">
        <f aca="false">Q29</f>
        <v>0.0127866721432285</v>
      </c>
      <c r="P59" s="834" t="n">
        <f aca="false">P29</f>
        <v>0.00172705093781381</v>
      </c>
      <c r="Q59" s="834" t="n">
        <f aca="false">R29</f>
        <v>0.00169318277702991</v>
      </c>
      <c r="R59" s="834" t="n">
        <f aca="false">SUM(M59:Q59)</f>
        <v>0.110477752302181</v>
      </c>
      <c r="S59" s="834" t="n">
        <f aca="false">T29+S29</f>
        <v>0.00390792092402232</v>
      </c>
    </row>
    <row r="60" customFormat="false" ht="15" hidden="false" customHeight="false" outlineLevel="0" collapsed="false">
      <c r="L60" s="1" t="n">
        <f aca="false">L30</f>
        <v>2018</v>
      </c>
      <c r="M60" s="834" t="n">
        <f aca="false">M30+O30</f>
        <v>0.0747946376147494</v>
      </c>
      <c r="N60" s="834" t="n">
        <f aca="false">N30</f>
        <v>0.0148720651077345</v>
      </c>
      <c r="O60" s="834" t="n">
        <f aca="false">Q30</f>
        <v>0.00965041777837607</v>
      </c>
      <c r="P60" s="834" t="n">
        <f aca="false">P30</f>
        <v>0.00148225469051734</v>
      </c>
      <c r="Q60" s="834" t="n">
        <f aca="false">R30</f>
        <v>0.00155582043184477</v>
      </c>
      <c r="R60" s="834" t="n">
        <f aca="false">SUM(M60:Q60)</f>
        <v>0.102355195623222</v>
      </c>
      <c r="S60" s="834" t="n">
        <f aca="false">T30+S30</f>
        <v>0.00546669821870517</v>
      </c>
    </row>
    <row r="61" customFormat="false" ht="15" hidden="false" customHeight="false" outlineLevel="0" collapsed="false">
      <c r="L61" s="1" t="n">
        <f aca="false">L31</f>
        <v>2019</v>
      </c>
      <c r="M61" s="834" t="n">
        <f aca="false">M31+O31</f>
        <v>0.0732314555492533</v>
      </c>
      <c r="N61" s="834" t="n">
        <f aca="false">N31</f>
        <v>0.0147840604707147</v>
      </c>
      <c r="O61" s="834" t="n">
        <f aca="false">Q31</f>
        <v>0.00678412545890775</v>
      </c>
      <c r="P61" s="834" t="n">
        <f aca="false">P31</f>
        <v>0.00125780693193743</v>
      </c>
      <c r="Q61" s="834" t="n">
        <f aca="false">R31</f>
        <v>0.00132323571147159</v>
      </c>
      <c r="R61" s="834" t="n">
        <f aca="false">SUM(M61:Q61)</f>
        <v>0.0973806841222848</v>
      </c>
      <c r="S61" s="834" t="n">
        <f aca="false">T31+S31</f>
        <v>0.00448800286441286</v>
      </c>
    </row>
    <row r="62" customFormat="false" ht="15" hidden="false" customHeight="false" outlineLevel="0" collapsed="false">
      <c r="R62" s="834" t="n">
        <f aca="false">R57-R61</f>
        <v>0.00800216171964541</v>
      </c>
    </row>
    <row r="64" customFormat="false" ht="15" hidden="false" customHeight="false" outlineLevel="0" collapsed="false">
      <c r="M64" s="519" t="n">
        <f aca="false">114000000/1000/'PIB corriente base 2004'!X23</f>
        <v>0.00527635511610203</v>
      </c>
    </row>
    <row r="68" customFormat="false" ht="15" hidden="false" customHeight="false" outlineLevel="0" collapsed="false">
      <c r="B68" s="843" t="s">
        <v>790</v>
      </c>
      <c r="C68" s="1" t="s">
        <v>777</v>
      </c>
      <c r="D68" s="1" t="s">
        <v>1117</v>
      </c>
      <c r="E68" s="1" t="s">
        <v>1118</v>
      </c>
      <c r="F68" s="1" t="s">
        <v>1119</v>
      </c>
      <c r="G68" s="1" t="s">
        <v>1120</v>
      </c>
      <c r="H68" s="1" t="s">
        <v>1121</v>
      </c>
      <c r="I68" s="1" t="s">
        <v>1122</v>
      </c>
    </row>
    <row r="69" customFormat="false" ht="15" hidden="false" customHeight="false" outlineLevel="0" collapsed="false">
      <c r="A69" s="1" t="n">
        <f aca="false">A5</f>
        <v>1993</v>
      </c>
      <c r="B69" s="834" t="n">
        <f aca="false">B5</f>
        <v>0.045352832912549</v>
      </c>
      <c r="C69" s="834" t="n">
        <f aca="false">C5</f>
        <v>0.0114261586914329</v>
      </c>
      <c r="D69" s="834" t="n">
        <f aca="false">D5</f>
        <v>0.012477115671009</v>
      </c>
      <c r="E69" s="834"/>
      <c r="F69" s="834" t="n">
        <f aca="false">SUM(B69:E69)</f>
        <v>0.0692561072749909</v>
      </c>
      <c r="G69" s="834" t="n">
        <f aca="false">E5</f>
        <v>0.00135575886721573</v>
      </c>
      <c r="H69" s="834"/>
      <c r="I69" s="834"/>
    </row>
    <row r="70" customFormat="false" ht="15" hidden="false" customHeight="false" outlineLevel="0" collapsed="false">
      <c r="A70" s="1" t="n">
        <f aca="false">A6</f>
        <v>1994</v>
      </c>
      <c r="B70" s="834" t="n">
        <f aca="false">B6</f>
        <v>0.0412406410701487</v>
      </c>
      <c r="C70" s="834" t="n">
        <f aca="false">C6</f>
        <v>0.0120869185800861</v>
      </c>
      <c r="D70" s="834" t="n">
        <f aca="false">D6</f>
        <v>0.0103138055803019</v>
      </c>
      <c r="E70" s="834"/>
      <c r="F70" s="834" t="n">
        <f aca="false">SUM(B70:E70)</f>
        <v>0.0636413652305368</v>
      </c>
      <c r="G70" s="834" t="n">
        <f aca="false">E6</f>
        <v>9.53195096879308E-005</v>
      </c>
      <c r="H70" s="834"/>
      <c r="I70" s="834"/>
    </row>
    <row r="71" customFormat="false" ht="15" hidden="false" customHeight="false" outlineLevel="0" collapsed="false">
      <c r="A71" s="1" t="n">
        <f aca="false">A7</f>
        <v>1995</v>
      </c>
      <c r="B71" s="834" t="n">
        <f aca="false">B7</f>
        <v>0.0367162842262927</v>
      </c>
      <c r="C71" s="834" t="n">
        <f aca="false">C7</f>
        <v>0.0121121840535182</v>
      </c>
      <c r="D71" s="834" t="n">
        <f aca="false">D7</f>
        <v>0.011591546064283</v>
      </c>
      <c r="E71" s="834"/>
      <c r="F71" s="834" t="n">
        <f aca="false">SUM(B71:E71)</f>
        <v>0.0604200143440938</v>
      </c>
      <c r="G71" s="834" t="n">
        <f aca="false">E7</f>
        <v>3.16975206724679E-005</v>
      </c>
      <c r="H71" s="834"/>
      <c r="I71" s="834"/>
    </row>
    <row r="72" customFormat="false" ht="15" hidden="false" customHeight="false" outlineLevel="0" collapsed="false">
      <c r="A72" s="1" t="n">
        <f aca="false">A8</f>
        <v>1996</v>
      </c>
      <c r="B72" s="834" t="n">
        <f aca="false">B8</f>
        <v>0.0363846758844649</v>
      </c>
      <c r="C72" s="834" t="n">
        <f aca="false">C8</f>
        <v>0.0146741320077489</v>
      </c>
      <c r="D72" s="834" t="n">
        <f aca="false">D8</f>
        <v>0.0118734138888744</v>
      </c>
      <c r="E72" s="834"/>
      <c r="F72" s="834" t="n">
        <f aca="false">SUM(B72:E72)</f>
        <v>0.0629322217810882</v>
      </c>
      <c r="G72" s="834" t="n">
        <f aca="false">E8</f>
        <v>0.000116523274740473</v>
      </c>
      <c r="H72" s="834"/>
      <c r="I72" s="834"/>
    </row>
    <row r="73" customFormat="false" ht="15" hidden="false" customHeight="false" outlineLevel="0" collapsed="false">
      <c r="A73" s="1" t="n">
        <f aca="false">A9</f>
        <v>1997</v>
      </c>
      <c r="B73" s="834" t="n">
        <f aca="false">B9</f>
        <v>0.0281819888678765</v>
      </c>
      <c r="C73" s="834" t="n">
        <f aca="false">C9</f>
        <v>0.0200853946887565</v>
      </c>
      <c r="D73" s="834" t="n">
        <f aca="false">D9</f>
        <v>0.0122864231415156</v>
      </c>
      <c r="E73" s="834"/>
      <c r="F73" s="834" t="n">
        <f aca="false">SUM(B73:E73)</f>
        <v>0.0605538066981487</v>
      </c>
      <c r="G73" s="834" t="n">
        <f aca="false">E9</f>
        <v>0.000108303900462984</v>
      </c>
      <c r="H73" s="834"/>
      <c r="I73" s="834"/>
    </row>
    <row r="74" customFormat="false" ht="15" hidden="false" customHeight="false" outlineLevel="0" collapsed="false">
      <c r="A74" s="1" t="n">
        <f aca="false">A10</f>
        <v>1998</v>
      </c>
      <c r="B74" s="834" t="n">
        <f aca="false">B10</f>
        <v>0.0264965219233464</v>
      </c>
      <c r="C74" s="834" t="n">
        <f aca="false">C10</f>
        <v>0.0212578403477591</v>
      </c>
      <c r="D74" s="834" t="n">
        <f aca="false">D10</f>
        <v>0.0127033327129764</v>
      </c>
      <c r="E74" s="834"/>
      <c r="F74" s="834" t="n">
        <f aca="false">SUM(B74:E74)</f>
        <v>0.060457694984082</v>
      </c>
      <c r="G74" s="834" t="n">
        <f aca="false">E10</f>
        <v>4.84963051482054E-005</v>
      </c>
      <c r="H74" s="834"/>
      <c r="I74" s="834"/>
    </row>
    <row r="75" customFormat="false" ht="15" hidden="false" customHeight="false" outlineLevel="0" collapsed="false">
      <c r="A75" s="1" t="n">
        <f aca="false">A11</f>
        <v>1999</v>
      </c>
      <c r="B75" s="834" t="n">
        <f aca="false">B11</f>
        <v>0.0249055646687138</v>
      </c>
      <c r="C75" s="834" t="n">
        <f aca="false">C11</f>
        <v>0.0214303302315375</v>
      </c>
      <c r="D75" s="834" t="n">
        <f aca="false">D11</f>
        <v>0.0130590610333592</v>
      </c>
      <c r="E75" s="834"/>
      <c r="F75" s="834" t="n">
        <f aca="false">SUM(B75:E75)</f>
        <v>0.0593949559336106</v>
      </c>
      <c r="G75" s="834" t="n">
        <f aca="false">E11</f>
        <v>8.90089000381151E-006</v>
      </c>
      <c r="H75" s="834"/>
      <c r="I75" s="834"/>
    </row>
    <row r="76" customFormat="false" ht="15" hidden="false" customHeight="false" outlineLevel="0" collapsed="false">
      <c r="A76" s="1" t="n">
        <f aca="false">A12</f>
        <v>2000</v>
      </c>
      <c r="B76" s="834" t="n">
        <f aca="false">B12</f>
        <v>0.0236198765665383</v>
      </c>
      <c r="C76" s="834" t="n">
        <f aca="false">C12</f>
        <v>0.023556870770298</v>
      </c>
      <c r="D76" s="834" t="n">
        <f aca="false">D12</f>
        <v>0.0132482904466693</v>
      </c>
      <c r="E76" s="834"/>
      <c r="F76" s="834" t="n">
        <f aca="false">SUM(B76:E76)</f>
        <v>0.0604250377835056</v>
      </c>
      <c r="G76" s="834" t="n">
        <f aca="false">E12</f>
        <v>5.08058139376392E-006</v>
      </c>
      <c r="H76" s="834"/>
      <c r="I76" s="834"/>
    </row>
    <row r="77" customFormat="false" ht="15" hidden="false" customHeight="false" outlineLevel="0" collapsed="false">
      <c r="A77" s="1" t="n">
        <f aca="false">A13</f>
        <v>2001</v>
      </c>
      <c r="B77" s="834" t="n">
        <f aca="false">B13</f>
        <v>0.0238758696338049</v>
      </c>
      <c r="C77" s="834" t="n">
        <f aca="false">C13</f>
        <v>0.0214457736331774</v>
      </c>
      <c r="D77" s="834" t="n">
        <f aca="false">D13</f>
        <v>0.0124450443431941</v>
      </c>
      <c r="E77" s="834"/>
      <c r="F77" s="834" t="n">
        <f aca="false">SUM(B77:E77)</f>
        <v>0.0577666876101764</v>
      </c>
      <c r="G77" s="834" t="n">
        <f aca="false">E13</f>
        <v>1.27950379999639E-006</v>
      </c>
      <c r="H77" s="834"/>
      <c r="I77" s="834"/>
    </row>
    <row r="78" customFormat="false" ht="15" hidden="false" customHeight="false" outlineLevel="0" collapsed="false">
      <c r="A78" s="1" t="n">
        <f aca="false">A14</f>
        <v>2002</v>
      </c>
      <c r="B78" s="834" t="n">
        <f aca="false">B14</f>
        <v>0.0204511996433966</v>
      </c>
      <c r="C78" s="834" t="n">
        <f aca="false">C14</f>
        <v>0.0170555199717405</v>
      </c>
      <c r="D78" s="834" t="n">
        <f aca="false">D14</f>
        <v>0.00963695804700716</v>
      </c>
      <c r="E78" s="834"/>
      <c r="F78" s="834" t="n">
        <f aca="false">SUM(B78:E78)</f>
        <v>0.0471436776621443</v>
      </c>
      <c r="G78" s="834" t="n">
        <f aca="false">E14</f>
        <v>1.71830895387883E-005</v>
      </c>
      <c r="H78" s="834"/>
      <c r="I78" s="834"/>
    </row>
    <row r="79" customFormat="false" ht="15" hidden="false" customHeight="false" outlineLevel="0" collapsed="false">
      <c r="A79" s="1" t="n">
        <f aca="false">A15</f>
        <v>2003</v>
      </c>
      <c r="B79" s="834" t="n">
        <f aca="false">B15</f>
        <v>0.0204726739831029</v>
      </c>
      <c r="C79" s="834" t="n">
        <f aca="false">C15</f>
        <v>0.0198553916144812</v>
      </c>
      <c r="D79" s="834" t="n">
        <f aca="false">D15</f>
        <v>0.0118026727120887</v>
      </c>
      <c r="E79" s="834"/>
      <c r="F79" s="834" t="n">
        <f aca="false">SUM(B79:E79)</f>
        <v>0.0521307383096728</v>
      </c>
      <c r="G79" s="834" t="n">
        <f aca="false">E15</f>
        <v>5.45970901702129E-006</v>
      </c>
      <c r="H79" s="834"/>
      <c r="I79" s="834"/>
    </row>
    <row r="80" customFormat="false" ht="15" hidden="false" customHeight="false" outlineLevel="0" collapsed="false">
      <c r="A80" s="1" t="n">
        <f aca="false">A16</f>
        <v>2004</v>
      </c>
      <c r="B80" s="834" t="n">
        <f aca="false">B16</f>
        <v>0.0198583830686151</v>
      </c>
      <c r="C80" s="834" t="n">
        <f aca="false">C16</f>
        <v>0.0216742076161843</v>
      </c>
      <c r="D80" s="834" t="n">
        <f aca="false">D16</f>
        <v>0.0133242836449752</v>
      </c>
      <c r="E80" s="834"/>
      <c r="F80" s="834" t="n">
        <f aca="false">SUM(B80:E80)</f>
        <v>0.0548568743297746</v>
      </c>
      <c r="G80" s="834" t="n">
        <f aca="false">E16</f>
        <v>2.30880969959205E-005</v>
      </c>
      <c r="H80" s="834"/>
      <c r="I80" s="834"/>
    </row>
    <row r="81" customFormat="false" ht="15" hidden="false" customHeight="false" outlineLevel="0" collapsed="false">
      <c r="A81" s="1" t="n">
        <f aca="false">A17</f>
        <v>2005</v>
      </c>
      <c r="B81" s="834" t="n">
        <f aca="false">B17</f>
        <v>0.0214249777603053</v>
      </c>
      <c r="C81" s="834" t="n">
        <f aca="false">C17</f>
        <v>0.0219471405894574</v>
      </c>
      <c r="D81" s="834" t="n">
        <f aca="false">D17</f>
        <v>0.0139618318212355</v>
      </c>
      <c r="E81" s="834"/>
      <c r="F81" s="834" t="n">
        <f aca="false">SUM(B81:E81)</f>
        <v>0.0573339501709982</v>
      </c>
      <c r="G81" s="834" t="n">
        <f aca="false">E17</f>
        <v>6.64758507150565E-005</v>
      </c>
      <c r="H81" s="834"/>
      <c r="I81" s="834"/>
    </row>
    <row r="82" customFormat="false" ht="15" hidden="false" customHeight="false" outlineLevel="0" collapsed="false">
      <c r="A82" s="1" t="n">
        <f aca="false">A18</f>
        <v>2006</v>
      </c>
      <c r="B82" s="834" t="n">
        <f aca="false">B18</f>
        <v>0.0252575877444441</v>
      </c>
      <c r="C82" s="834" t="n">
        <f aca="false">C18</f>
        <v>0.0212196799431274</v>
      </c>
      <c r="D82" s="834" t="n">
        <f aca="false">D18</f>
        <v>0.0141131235333867</v>
      </c>
      <c r="E82" s="834"/>
      <c r="F82" s="834" t="n">
        <f aca="false">SUM(B82:E82)</f>
        <v>0.0605903912209582</v>
      </c>
      <c r="G82" s="834" t="n">
        <f aca="false">E18</f>
        <v>0.000401428799431498</v>
      </c>
      <c r="H82" s="834"/>
      <c r="I82" s="834"/>
    </row>
    <row r="83" customFormat="false" ht="15" hidden="false" customHeight="false" outlineLevel="0" collapsed="false">
      <c r="A83" s="1" t="n">
        <f aca="false">A19</f>
        <v>2007</v>
      </c>
      <c r="B83" s="834" t="n">
        <f aca="false">B19</f>
        <v>0.0385047966381489</v>
      </c>
      <c r="C83" s="834" t="n">
        <f aca="false">C19</f>
        <v>0.0209548679959935</v>
      </c>
      <c r="D83" s="834" t="n">
        <f aca="false">D19</f>
        <v>0.0149068047295749</v>
      </c>
      <c r="E83" s="834"/>
      <c r="F83" s="834" t="n">
        <f aca="false">SUM(B83:E83)</f>
        <v>0.0743664693637173</v>
      </c>
      <c r="G83" s="834" t="n">
        <f aca="false">E19</f>
        <v>0.000737928817183578</v>
      </c>
      <c r="H83" s="834"/>
      <c r="I83" s="834"/>
    </row>
    <row r="84" customFormat="false" ht="15" hidden="false" customHeight="false" outlineLevel="0" collapsed="false">
      <c r="A84" s="1" t="n">
        <f aca="false">A20</f>
        <v>2008</v>
      </c>
      <c r="B84" s="834" t="n">
        <f aca="false">B20</f>
        <v>0.0368508016736982</v>
      </c>
      <c r="C84" s="834" t="n">
        <f aca="false">C20</f>
        <v>0.0204392279016501</v>
      </c>
      <c r="D84" s="834" t="n">
        <f aca="false">D20</f>
        <v>0.0145730376476074</v>
      </c>
      <c r="E84" s="834"/>
      <c r="F84" s="834" t="n">
        <f aca="false">SUM(B84:E84)</f>
        <v>0.0718630672229557</v>
      </c>
      <c r="G84" s="834" t="n">
        <f aca="false">E20</f>
        <v>0.000971980550364607</v>
      </c>
      <c r="H84" s="834"/>
      <c r="I84" s="834"/>
    </row>
    <row r="85" customFormat="false" ht="15" hidden="false" customHeight="false" outlineLevel="0" collapsed="false">
      <c r="A85" s="1" t="n">
        <f aca="false">A21</f>
        <v>2009</v>
      </c>
      <c r="B85" s="834" t="n">
        <f aca="false">B21</f>
        <v>0.0507701371819389</v>
      </c>
      <c r="C85" s="834" t="n">
        <f aca="false">C21</f>
        <v>0.0203921181346288</v>
      </c>
      <c r="D85" s="834" t="n">
        <f aca="false">D21</f>
        <v>0.0146173597980544</v>
      </c>
      <c r="E85" s="834"/>
      <c r="F85" s="834" t="n">
        <f aca="false">SUM(B85:E85)</f>
        <v>0.0857796151146221</v>
      </c>
      <c r="G85" s="834" t="n">
        <f aca="false">E21</f>
        <v>0.00680095700317286</v>
      </c>
      <c r="H85" s="834"/>
      <c r="I85" s="834"/>
    </row>
    <row r="86" customFormat="false" ht="15" hidden="false" customHeight="false" outlineLevel="0" collapsed="false">
      <c r="A86" s="1" t="n">
        <f aca="false">A22</f>
        <v>2010</v>
      </c>
      <c r="B86" s="834" t="n">
        <f aca="false">B22</f>
        <v>0.0504873115779599</v>
      </c>
      <c r="C86" s="834" t="n">
        <f aca="false">C22</f>
        <v>0.0206407631065506</v>
      </c>
      <c r="D86" s="834" t="n">
        <f aca="false">D22</f>
        <v>0.0147442218942046</v>
      </c>
      <c r="E86" s="834" t="n">
        <f aca="false">F22</f>
        <v>4.78419683827532E-005</v>
      </c>
      <c r="F86" s="834" t="n">
        <f aca="false">SUM(B86:E86)</f>
        <v>0.0859201385470978</v>
      </c>
      <c r="G86" s="834" t="n">
        <f aca="false">E22</f>
        <v>0.00524439899269864</v>
      </c>
      <c r="H86" s="834"/>
      <c r="I86" s="834"/>
    </row>
    <row r="87" customFormat="false" ht="15" hidden="false" customHeight="false" outlineLevel="0" collapsed="false">
      <c r="A87" s="1" t="n">
        <f aca="false">A23</f>
        <v>2011</v>
      </c>
      <c r="B87" s="834" t="n">
        <f aca="false">B23</f>
        <v>0.051623947009386</v>
      </c>
      <c r="C87" s="834" t="n">
        <f aca="false">C23</f>
        <v>0.0210555255476486</v>
      </c>
      <c r="D87" s="834" t="n">
        <f aca="false">D23</f>
        <v>0.0148856065446608</v>
      </c>
      <c r="E87" s="834" t="n">
        <f aca="false">F23</f>
        <v>0.00127650660654248</v>
      </c>
      <c r="F87" s="834" t="n">
        <f aca="false">SUM(B87:E87)</f>
        <v>0.0888415857082379</v>
      </c>
      <c r="G87" s="834" t="n">
        <f aca="false">E23</f>
        <v>0.00506588207799855</v>
      </c>
      <c r="H87" s="834"/>
      <c r="I87" s="834"/>
    </row>
    <row r="88" customFormat="false" ht="15" hidden="false" customHeight="false" outlineLevel="0" collapsed="false">
      <c r="A88" s="1" t="n">
        <f aca="false">A24</f>
        <v>2012</v>
      </c>
      <c r="B88" s="834" t="n">
        <f aca="false">B24</f>
        <v>0.055778278265298</v>
      </c>
      <c r="C88" s="834" t="n">
        <f aca="false">C24</f>
        <v>0.0224400989125377</v>
      </c>
      <c r="D88" s="834" t="n">
        <f aca="false">D24</f>
        <v>0.0155583049965991</v>
      </c>
      <c r="E88" s="834" t="n">
        <f aca="false">F24</f>
        <v>0.000474495124682221</v>
      </c>
      <c r="F88" s="834" t="n">
        <f aca="false">SUM(B88:E88)</f>
        <v>0.094251177299117</v>
      </c>
      <c r="G88" s="834" t="n">
        <f aca="false">E24</f>
        <v>0.00657689666047515</v>
      </c>
      <c r="H88" s="834"/>
      <c r="I88" s="834"/>
    </row>
    <row r="89" customFormat="false" ht="15" hidden="false" customHeight="false" outlineLevel="0" collapsed="false">
      <c r="A89" s="1" t="n">
        <f aca="false">A25</f>
        <v>2013</v>
      </c>
      <c r="B89" s="834" t="n">
        <f aca="false">B25</f>
        <v>0.0576719027752101</v>
      </c>
      <c r="C89" s="834" t="n">
        <f aca="false">C25</f>
        <v>0.0223318530313047</v>
      </c>
      <c r="D89" s="834" t="n">
        <f aca="false">D25</f>
        <v>0.0159148002617685</v>
      </c>
      <c r="E89" s="834" t="n">
        <f aca="false">F25</f>
        <v>0.00122193042080368</v>
      </c>
      <c r="F89" s="834" t="n">
        <f aca="false">SUM(B89:E89)</f>
        <v>0.0971404864890869</v>
      </c>
      <c r="G89" s="834" t="n">
        <f aca="false">E25</f>
        <v>0.00683124675183988</v>
      </c>
      <c r="H89" s="834"/>
      <c r="I89" s="834"/>
    </row>
    <row r="90" customFormat="false" ht="15" hidden="false" customHeight="false" outlineLevel="0" collapsed="false">
      <c r="A90" s="1" t="n">
        <f aca="false">A26</f>
        <v>2014</v>
      </c>
      <c r="B90" s="834" t="n">
        <f aca="false">B26</f>
        <v>0.0542098068652894</v>
      </c>
      <c r="C90" s="834" t="n">
        <f aca="false">C26</f>
        <v>0.0225793750807335</v>
      </c>
      <c r="D90" s="834" t="n">
        <f aca="false">D26</f>
        <v>0.015871302582137</v>
      </c>
      <c r="E90" s="834" t="n">
        <f aca="false">F26</f>
        <v>0.0016327062141725</v>
      </c>
      <c r="F90" s="834" t="n">
        <f aca="false">SUM(B90:E90)</f>
        <v>0.0942931907423325</v>
      </c>
      <c r="G90" s="834" t="n">
        <f aca="false">E26</f>
        <v>0.00838241527111434</v>
      </c>
      <c r="H90" s="834"/>
      <c r="I90" s="834"/>
    </row>
    <row r="91" customFormat="false" ht="15" hidden="false" customHeight="false" outlineLevel="0" collapsed="false">
      <c r="A91" s="1" t="n">
        <f aca="false">A27</f>
        <v>2015</v>
      </c>
      <c r="B91" s="834" t="n">
        <f aca="false">B27</f>
        <v>0.0564297158299164</v>
      </c>
      <c r="C91" s="834" t="n">
        <f aca="false">C27</f>
        <v>0.0236426052651485</v>
      </c>
      <c r="D91" s="834" t="n">
        <f aca="false">D27</f>
        <v>0.0160551081025211</v>
      </c>
      <c r="E91" s="834" t="n">
        <f aca="false">F27</f>
        <v>0.00174808358257101</v>
      </c>
      <c r="F91" s="834" t="n">
        <f aca="false">SUM(B91:E91)</f>
        <v>0.097875512780157</v>
      </c>
      <c r="G91" s="834" t="n">
        <f aca="false">E27</f>
        <v>0.00893120932488722</v>
      </c>
      <c r="H91" s="834"/>
      <c r="I91" s="834"/>
    </row>
    <row r="92" customFormat="false" ht="15" hidden="false" customHeight="false" outlineLevel="0" collapsed="false">
      <c r="A92" s="1" t="n">
        <f aca="false">A28</f>
        <v>2016</v>
      </c>
      <c r="B92" s="834" t="n">
        <f aca="false">B28</f>
        <v>0.0546875274954749</v>
      </c>
      <c r="C92" s="834" t="n">
        <f aca="false">C28</f>
        <v>0.021229363568432</v>
      </c>
      <c r="D92" s="834" t="n">
        <f aca="false">D28</f>
        <v>0.0115333980628038</v>
      </c>
      <c r="E92" s="834" t="n">
        <f aca="false">F28</f>
        <v>0.00171059175545749</v>
      </c>
      <c r="F92" s="834" t="n">
        <f aca="false">SUM(B92:E92)</f>
        <v>0.0891608808821682</v>
      </c>
      <c r="G92" s="834" t="n">
        <f aca="false">E28</f>
        <v>0.00880758496959625</v>
      </c>
      <c r="H92" s="834" t="n">
        <f aca="false">G28</f>
        <v>0.00380628674306788</v>
      </c>
      <c r="I92" s="834" t="n">
        <f aca="false">I28</f>
        <v>0.0125824966432202</v>
      </c>
    </row>
    <row r="93" customFormat="false" ht="15" hidden="false" customHeight="false" outlineLevel="0" collapsed="false">
      <c r="A93" s="1" t="n">
        <f aca="false">A29</f>
        <v>2017</v>
      </c>
      <c r="B93" s="834" t="n">
        <f aca="false">B29</f>
        <v>0.055590096056665</v>
      </c>
      <c r="C93" s="834" t="n">
        <f aca="false">C29</f>
        <v>0.0213651993139403</v>
      </c>
      <c r="D93" s="834" t="n">
        <f aca="false">D29</f>
        <v>0.00831240027666563</v>
      </c>
      <c r="E93" s="834" t="n">
        <f aca="false">F29</f>
        <v>0.00110535464672093</v>
      </c>
      <c r="F93" s="834" t="n">
        <f aca="false">SUM(B93:E93)</f>
        <v>0.0863730502939919</v>
      </c>
      <c r="G93" s="834" t="n">
        <f aca="false">E29</f>
        <v>0.0103596875406384</v>
      </c>
      <c r="H93" s="834" t="n">
        <f aca="false">G29</f>
        <v>0.0076045316092612</v>
      </c>
      <c r="I93" s="834" t="n">
        <f aca="false">I29</f>
        <v>0.00420963634008006</v>
      </c>
    </row>
    <row r="94" customFormat="false" ht="15" hidden="false" customHeight="false" outlineLevel="0" collapsed="false">
      <c r="A94" s="1" t="n">
        <f aca="false">A30</f>
        <v>2018</v>
      </c>
      <c r="B94" s="834" t="n">
        <f aca="false">B30</f>
        <v>0.0507048464919942</v>
      </c>
      <c r="C94" s="834" t="n">
        <f aca="false">C30</f>
        <v>0.0267202526606726</v>
      </c>
      <c r="D94" s="834" t="n">
        <f aca="false">D30</f>
        <v>0.00633564870628469</v>
      </c>
      <c r="E94" s="834" t="n">
        <f aca="false">F30</f>
        <v>0.00032264996405818</v>
      </c>
      <c r="F94" s="834" t="n">
        <f aca="false">SUM(B94:E94)</f>
        <v>0.0840833978230097</v>
      </c>
      <c r="G94" s="834" t="n">
        <f aca="false">E30</f>
        <v>0.0125788869347148</v>
      </c>
      <c r="H94" s="834" t="n">
        <f aca="false">G30</f>
        <v>0.0121336604883658</v>
      </c>
      <c r="I94" s="834"/>
    </row>
    <row r="95" customFormat="false" ht="15" hidden="false" customHeight="false" outlineLevel="0" collapsed="false">
      <c r="A95" s="1" t="n">
        <f aca="false">A31</f>
        <v>2019</v>
      </c>
      <c r="B95" s="834" t="n">
        <f aca="false">B31</f>
        <v>0.045482634112618</v>
      </c>
      <c r="C95" s="834" t="n">
        <f aca="false">C31</f>
        <v>0.025992153910621</v>
      </c>
      <c r="D95" s="834" t="n">
        <f aca="false">D31</f>
        <v>0.00305405926972561</v>
      </c>
      <c r="E95" s="834" t="n">
        <f aca="false">F31</f>
        <v>0.000222538509524099</v>
      </c>
      <c r="F95" s="834" t="n">
        <f aca="false">SUM(B95:E95)</f>
        <v>0.0747513858024887</v>
      </c>
      <c r="G95" s="834" t="n">
        <f aca="false">E31</f>
        <v>0.0141101595741833</v>
      </c>
      <c r="H95" s="834" t="n">
        <f aca="false">G31</f>
        <v>0.0149805572266182</v>
      </c>
      <c r="I95" s="834"/>
    </row>
    <row r="98" customFormat="false" ht="15" hidden="false" customHeight="false" outlineLevel="0" collapsed="false">
      <c r="B98" s="834" t="n">
        <f aca="false">B91-B95</f>
        <v>0.0109470817172985</v>
      </c>
      <c r="C98" s="834" t="n">
        <f aca="false">C91-C95</f>
        <v>-0.00234954864547253</v>
      </c>
      <c r="D98" s="834" t="n">
        <f aca="false">D91-D95</f>
        <v>0.0130010488327954</v>
      </c>
    </row>
  </sheetData>
  <mergeCells count="22">
    <mergeCell ref="A3:A4"/>
    <mergeCell ref="B3:B4"/>
    <mergeCell ref="C3:C4"/>
    <mergeCell ref="D3:D4"/>
    <mergeCell ref="E3:E4"/>
    <mergeCell ref="F3:F4"/>
    <mergeCell ref="G3:G4"/>
    <mergeCell ref="H3:H4"/>
    <mergeCell ref="I3:I4"/>
    <mergeCell ref="J3:J4"/>
    <mergeCell ref="L3:L4"/>
    <mergeCell ref="M3:M4"/>
    <mergeCell ref="N3:N4"/>
    <mergeCell ref="O3:O4"/>
    <mergeCell ref="P3:P4"/>
    <mergeCell ref="Q3:Q4"/>
    <mergeCell ref="R3:R4"/>
    <mergeCell ref="S3:S4"/>
    <mergeCell ref="T3:T4"/>
    <mergeCell ref="U3:U4"/>
    <mergeCell ref="V3:V4"/>
    <mergeCell ref="W3:W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sheetPr filterMode="false">
    <pageSetUpPr fitToPage="false"/>
  </sheetPr>
  <dimension ref="B4:AB91"/>
  <sheetViews>
    <sheetView showFormulas="false" showGridLines="true" showRowColHeaders="true" showZeros="true" rightToLeft="false" tabSelected="false" showOutlineSymbols="true" defaultGridColor="true" view="normal" topLeftCell="R1" colorId="64" zoomScale="75" zoomScaleNormal="75" zoomScalePageLayoutView="100" workbookViewId="0">
      <selection pane="topLeft" activeCell="V20" activeCellId="0" sqref="V20"/>
    </sheetView>
  </sheetViews>
  <sheetFormatPr defaultColWidth="10.43359375" defaultRowHeight="15" zeroHeight="false" outlineLevelRow="0" outlineLevelCol="0"/>
  <cols>
    <col collapsed="false" customWidth="true" hidden="false" outlineLevel="0" max="4" min="4" style="0" width="15.42"/>
    <col collapsed="false" customWidth="true" hidden="false" outlineLevel="0" max="5" min="5" style="0" width="16.14"/>
    <col collapsed="false" customWidth="true" hidden="false" outlineLevel="0" max="6" min="6" style="0" width="21.43"/>
    <col collapsed="false" customWidth="true" hidden="false" outlineLevel="0" max="7" min="7" style="0" width="30.28"/>
    <col collapsed="false" customWidth="true" hidden="false" outlineLevel="0" max="8" min="8" style="0" width="13.43"/>
    <col collapsed="false" customWidth="true" hidden="false" outlineLevel="0" max="9" min="9" style="0" width="15.71"/>
    <col collapsed="false" customWidth="true" hidden="false" outlineLevel="0" max="10" min="10" style="0" width="20.29"/>
    <col collapsed="false" customWidth="true" hidden="false" outlineLevel="0" max="11" min="11" style="0" width="12.42"/>
    <col collapsed="false" customWidth="true" hidden="false" outlineLevel="0" max="12" min="12" style="0" width="11.42"/>
    <col collapsed="false" customWidth="true" hidden="false" outlineLevel="0" max="15" min="15" style="0" width="11.42"/>
  </cols>
  <sheetData>
    <row r="4" customFormat="false" ht="15" hidden="false" customHeight="true" outlineLevel="0" collapsed="false">
      <c r="C4" s="584"/>
      <c r="D4" s="584" t="s">
        <v>1123</v>
      </c>
      <c r="E4" s="584" t="s">
        <v>1124</v>
      </c>
      <c r="F4" s="584" t="s">
        <v>1125</v>
      </c>
      <c r="G4" s="584" t="s">
        <v>1126</v>
      </c>
      <c r="H4" s="584" t="s">
        <v>1127</v>
      </c>
      <c r="I4" s="584" t="s">
        <v>1128</v>
      </c>
      <c r="J4" s="584" t="s">
        <v>1129</v>
      </c>
      <c r="K4" s="584" t="s">
        <v>1130</v>
      </c>
      <c r="L4" s="584" t="s">
        <v>1131</v>
      </c>
      <c r="M4" s="584" t="s">
        <v>1132</v>
      </c>
      <c r="N4" s="584" t="s">
        <v>1133</v>
      </c>
      <c r="O4" s="584"/>
      <c r="P4" s="584" t="s">
        <v>1134</v>
      </c>
      <c r="Q4" s="584" t="s">
        <v>1135</v>
      </c>
      <c r="R4" s="584" t="s">
        <v>1096</v>
      </c>
    </row>
    <row r="5" customFormat="false" ht="20.25" hidden="false" customHeight="true" outlineLevel="0" collapsed="false">
      <c r="C5" s="584"/>
      <c r="D5" s="584"/>
      <c r="E5" s="584"/>
      <c r="F5" s="584"/>
      <c r="G5" s="584"/>
      <c r="H5" s="584"/>
      <c r="I5" s="584"/>
      <c r="J5" s="584"/>
      <c r="K5" s="584"/>
      <c r="L5" s="584"/>
      <c r="M5" s="584"/>
      <c r="N5" s="584"/>
      <c r="O5" s="584"/>
      <c r="P5" s="584"/>
      <c r="Q5" s="584"/>
      <c r="R5" s="584"/>
    </row>
    <row r="6" customFormat="false" ht="15.75" hidden="false" customHeight="false" outlineLevel="0" collapsed="false">
      <c r="C6" s="831" t="n">
        <v>1993</v>
      </c>
      <c r="D6" s="832" t="n">
        <f aca="false">'Resultado ANSES por etapas'!M5</f>
        <v>0.0526370931910582</v>
      </c>
      <c r="E6" s="832"/>
      <c r="F6" s="832" t="n">
        <f aca="false">'Resultado ANSES por etapas'!Q5-'Cuenta Ahorro-Inversión-Financi'!CK9/1000/'PIB corriente base 1993'!V8</f>
        <v>0.00528862853440302</v>
      </c>
      <c r="G6" s="832" t="n">
        <f aca="false">'Resultado ANSES por etapas'!P5</f>
        <v>0.00148990999175634</v>
      </c>
      <c r="H6" s="832" t="n">
        <f aca="false">'Resultado ANSES por etapas'!N5</f>
        <v>0.011642303700453</v>
      </c>
      <c r="I6" s="832"/>
      <c r="J6" s="832"/>
      <c r="K6" s="832" t="n">
        <f aca="false">'Cuenta Ahorro-Inversión-Financi'!CK9/1000/'PIB corriente base 1993'!V8</f>
        <v>0</v>
      </c>
      <c r="L6" s="832"/>
      <c r="M6" s="832" t="n">
        <f aca="false">SUM(D6:L6)</f>
        <v>0.0710579354176705</v>
      </c>
      <c r="N6" s="832"/>
      <c r="O6" s="831" t="n">
        <v>1993</v>
      </c>
      <c r="P6" s="832" t="n">
        <f aca="false">K6+J6+I6</f>
        <v>0</v>
      </c>
      <c r="Q6" s="832" t="n">
        <f aca="false">D6+H6+F6+G6+E6</f>
        <v>0.0710579354176705</v>
      </c>
      <c r="R6" s="832"/>
    </row>
    <row r="7" customFormat="false" ht="15.75" hidden="false" customHeight="false" outlineLevel="0" collapsed="false">
      <c r="C7" s="836" t="n">
        <v>1994</v>
      </c>
      <c r="D7" s="835" t="n">
        <f aca="false">'Resultado ANSES por etapas'!M6</f>
        <v>0.0564644262203535</v>
      </c>
      <c r="E7" s="835"/>
      <c r="F7" s="835" t="n">
        <f aca="false">'Resultado ANSES por etapas'!Q6-'Cuenta Ahorro-Inversión-Financi'!CK10/1000/'PIB corriente base 1993'!V9</f>
        <v>0.00677530886936053</v>
      </c>
      <c r="G7" s="835" t="n">
        <f aca="false">'Resultado ANSES por etapas'!P6</f>
        <v>0.00114625800779694</v>
      </c>
      <c r="H7" s="835" t="n">
        <f aca="false">'Resultado ANSES por etapas'!N6-K7</f>
        <v>0.0107240840715422</v>
      </c>
      <c r="I7" s="835"/>
      <c r="J7" s="835"/>
      <c r="K7" s="835" t="n">
        <f aca="false">440721/1000/'PIB corriente base 1993'!V9</f>
        <v>0.00171193703223306</v>
      </c>
      <c r="L7" s="835"/>
      <c r="M7" s="835" t="n">
        <f aca="false">SUM(D7:L7)</f>
        <v>0.0768220142012863</v>
      </c>
      <c r="N7" s="835"/>
      <c r="O7" s="836" t="n">
        <v>1994</v>
      </c>
      <c r="P7" s="835" t="n">
        <f aca="false">K7+J7+I7</f>
        <v>0.00171193703223306</v>
      </c>
      <c r="Q7" s="835" t="n">
        <f aca="false">D7+H7+F7+G7+E7</f>
        <v>0.0751100771690532</v>
      </c>
      <c r="R7" s="835"/>
    </row>
    <row r="8" customFormat="false" ht="15.75" hidden="false" customHeight="false" outlineLevel="0" collapsed="false">
      <c r="C8" s="836" t="n">
        <v>1995</v>
      </c>
      <c r="D8" s="832" t="n">
        <f aca="false">'Resultado ANSES por etapas'!M7</f>
        <v>0.0536446703997522</v>
      </c>
      <c r="E8" s="832"/>
      <c r="F8" s="832" t="n">
        <f aca="false">'Resultado ANSES por etapas'!Q7-'Cuenta Ahorro-Inversión-Financi'!CK11/1000/'PIB corriente base 1993'!V10</f>
        <v>0.00663835790735207</v>
      </c>
      <c r="G8" s="832" t="n">
        <f aca="false">'Resultado ANSES por etapas'!P7</f>
        <v>0.00119215327226036</v>
      </c>
      <c r="H8" s="832" t="n">
        <f aca="false">'Resultado ANSES por etapas'!N7-K8</f>
        <v>0.00337186702375018</v>
      </c>
      <c r="I8" s="832"/>
      <c r="J8" s="832"/>
      <c r="K8" s="832" t="n">
        <f aca="false">511938.578/1000/'PIB corriente base 1993'!V10</f>
        <v>0.00198401285923971</v>
      </c>
      <c r="L8" s="832"/>
      <c r="M8" s="832" t="n">
        <f aca="false">SUM(D8:L8)</f>
        <v>0.0668310614623545</v>
      </c>
      <c r="N8" s="832"/>
      <c r="O8" s="836" t="n">
        <v>1995</v>
      </c>
      <c r="P8" s="832" t="n">
        <f aca="false">K8+J8+I8</f>
        <v>0.00198401285923971</v>
      </c>
      <c r="Q8" s="832" t="n">
        <f aca="false">D8+H8+F8+G8+E8</f>
        <v>0.0648470486031148</v>
      </c>
      <c r="R8" s="832"/>
    </row>
    <row r="9" customFormat="false" ht="15.75" hidden="false" customHeight="false" outlineLevel="0" collapsed="false">
      <c r="C9" s="836" t="n">
        <v>1996</v>
      </c>
      <c r="D9" s="835" t="n">
        <f aca="false">'Resultado ANSES por etapas'!M8</f>
        <v>0.0531622526632245</v>
      </c>
      <c r="E9" s="835"/>
      <c r="F9" s="835" t="n">
        <f aca="false">'Resultado ANSES por etapas'!Q8-'Cuenta Ahorro-Inversión-Financi'!CK12/1000/'PIB corriente base 1993'!V11</f>
        <v>0.00548958497297599</v>
      </c>
      <c r="G9" s="835" t="n">
        <f aca="false">'Resultado ANSES por etapas'!P8</f>
        <v>0.00171031345294353</v>
      </c>
      <c r="H9" s="835" t="n">
        <f aca="false">'Resultado ANSES por etapas'!N8</f>
        <v>0.00600272468782676</v>
      </c>
      <c r="I9" s="835"/>
      <c r="J9" s="835"/>
      <c r="K9" s="835" t="n">
        <f aca="false">'Cuenta Ahorro-Inversión-Financi'!CK12/1000/'PIB corriente base 1993'!V11</f>
        <v>0.00197117400964931</v>
      </c>
      <c r="L9" s="835"/>
      <c r="M9" s="835" t="n">
        <f aca="false">SUM(D9:L9)</f>
        <v>0.0683360497866201</v>
      </c>
      <c r="N9" s="835"/>
      <c r="O9" s="836" t="n">
        <v>1996</v>
      </c>
      <c r="P9" s="835" t="n">
        <f aca="false">K9+J9+I9</f>
        <v>0.00197117400964931</v>
      </c>
      <c r="Q9" s="835" t="n">
        <f aca="false">D9+H9+F9+G9+E9</f>
        <v>0.0663648757769708</v>
      </c>
      <c r="R9" s="835"/>
    </row>
    <row r="10" customFormat="false" ht="15.75" hidden="false" customHeight="false" outlineLevel="0" collapsed="false">
      <c r="C10" s="836" t="n">
        <v>1997</v>
      </c>
      <c r="D10" s="832" t="n">
        <f aca="false">'Resultado ANSES por etapas'!M9</f>
        <v>0.0500659666860674</v>
      </c>
      <c r="E10" s="832"/>
      <c r="F10" s="832" t="n">
        <f aca="false">'Resultado ANSES por etapas'!Q9-'Cuenta Ahorro-Inversión-Financi'!CK13/1000/'PIB corriente base 1993'!V12</f>
        <v>0.00535137182690383</v>
      </c>
      <c r="G10" s="832" t="n">
        <f aca="false">'Resultado ANSES por etapas'!P9</f>
        <v>0.00113559901995312</v>
      </c>
      <c r="H10" s="832" t="n">
        <f aca="false">'Resultado ANSES por etapas'!N9</f>
        <v>0.00539903006587295</v>
      </c>
      <c r="I10" s="832"/>
      <c r="J10" s="832"/>
      <c r="K10" s="832" t="n">
        <f aca="false">'Cuenta Ahorro-Inversión-Financi'!CK13/1000/'PIB corriente base 1993'!V12</f>
        <v>0.00186608828792662</v>
      </c>
      <c r="L10" s="832"/>
      <c r="M10" s="832" t="n">
        <f aca="false">SUM(D10:L10)</f>
        <v>0.0638180558867239</v>
      </c>
      <c r="N10" s="832"/>
      <c r="O10" s="836" t="n">
        <v>1997</v>
      </c>
      <c r="P10" s="832" t="n">
        <f aca="false">K10+J10+I10</f>
        <v>0.00186608828792662</v>
      </c>
      <c r="Q10" s="832" t="n">
        <f aca="false">D10+H10+F10+G10+E10</f>
        <v>0.0619519675987973</v>
      </c>
      <c r="R10" s="832"/>
    </row>
    <row r="11" customFormat="false" ht="15.75" hidden="false" customHeight="false" outlineLevel="0" collapsed="false">
      <c r="C11" s="836" t="n">
        <v>1998</v>
      </c>
      <c r="D11" s="835" t="n">
        <f aca="false">'Resultado ANSES por etapas'!M10</f>
        <v>0.0491903555478579</v>
      </c>
      <c r="E11" s="835"/>
      <c r="F11" s="835" t="n">
        <f aca="false">'Resultado ANSES por etapas'!Q10-'Cuenta Ahorro-Inversión-Financi'!CK14/1000/'PIB corriente base 1993'!V13</f>
        <v>0.00640189766542226</v>
      </c>
      <c r="G11" s="835" t="n">
        <f aca="false">'Resultado ANSES por etapas'!P10</f>
        <v>0.00102481315686651</v>
      </c>
      <c r="H11" s="835" t="n">
        <f aca="false">'Resultado ANSES por etapas'!N10</f>
        <v>0.00477034993055969</v>
      </c>
      <c r="I11" s="835"/>
      <c r="J11" s="835"/>
      <c r="K11" s="835" t="n">
        <f aca="false">'Cuenta Ahorro-Inversión-Financi'!CK14/1000/'PIB corriente base 1993'!V13</f>
        <v>0.00177883711250943</v>
      </c>
      <c r="L11" s="835"/>
      <c r="M11" s="835" t="n">
        <f aca="false">SUM(D11:L11)</f>
        <v>0.0631662534132158</v>
      </c>
      <c r="N11" s="835"/>
      <c r="O11" s="836" t="n">
        <v>1998</v>
      </c>
      <c r="P11" s="835" t="n">
        <f aca="false">K11+J11+I11</f>
        <v>0.00177883711250943</v>
      </c>
      <c r="Q11" s="835" t="n">
        <f aca="false">D11+H11+F11+G11+E11</f>
        <v>0.0613874163007064</v>
      </c>
      <c r="R11" s="835"/>
    </row>
    <row r="12" customFormat="false" ht="15.75" hidden="false" customHeight="false" outlineLevel="0" collapsed="false">
      <c r="C12" s="836" t="n">
        <v>1999</v>
      </c>
      <c r="D12" s="832" t="n">
        <f aca="false">'Resultado ANSES por etapas'!M11</f>
        <v>0.0517496903211291</v>
      </c>
      <c r="E12" s="832"/>
      <c r="F12" s="832" t="n">
        <f aca="false">'Resultado ANSES por etapas'!Q11-'Cuenta Ahorro-Inversión-Financi'!CK15/1000/'PIB corriente base 1993'!V14</f>
        <v>0.00677350480675918</v>
      </c>
      <c r="G12" s="832" t="n">
        <f aca="false">'Resultado ANSES por etapas'!P11</f>
        <v>0.000859047973636882</v>
      </c>
      <c r="H12" s="832" t="n">
        <f aca="false">'Resultado ANSES por etapas'!N11</f>
        <v>0.00587322823822414</v>
      </c>
      <c r="I12" s="832"/>
      <c r="J12" s="832"/>
      <c r="K12" s="832" t="n">
        <f aca="false">'Cuenta Ahorro-Inversión-Financi'!CK15/1000/'PIB corriente base 1993'!V14</f>
        <v>0.00190807349849257</v>
      </c>
      <c r="L12" s="832"/>
      <c r="M12" s="832" t="n">
        <f aca="false">SUM(D12:L12)</f>
        <v>0.0671635448382419</v>
      </c>
      <c r="N12" s="832"/>
      <c r="O12" s="836" t="n">
        <v>1999</v>
      </c>
      <c r="P12" s="832" t="n">
        <f aca="false">K12+J12+I12</f>
        <v>0.00190807349849257</v>
      </c>
      <c r="Q12" s="832" t="n">
        <f aca="false">D12+H12+F12+G12+E12</f>
        <v>0.0652554713397493</v>
      </c>
      <c r="R12" s="832"/>
    </row>
    <row r="13" customFormat="false" ht="15.75" hidden="false" customHeight="false" outlineLevel="0" collapsed="false">
      <c r="C13" s="836" t="n">
        <v>2000</v>
      </c>
      <c r="D13" s="835" t="n">
        <f aca="false">'Resultado ANSES por etapas'!M12</f>
        <v>0.0518501300658357</v>
      </c>
      <c r="E13" s="835"/>
      <c r="F13" s="835" t="n">
        <f aca="false">'Resultado ANSES por etapas'!Q12-'Cuenta Ahorro-Inversión-Financi'!CK16/1000/'PIB corriente base 1993'!V15</f>
        <v>0.0060714693918217</v>
      </c>
      <c r="G13" s="835" t="n">
        <f aca="false">'Resultado ANSES por etapas'!P12</f>
        <v>0.000763899147434019</v>
      </c>
      <c r="H13" s="835" t="n">
        <f aca="false">'Resultado ANSES por etapas'!N12</f>
        <v>0.00613084017631838</v>
      </c>
      <c r="I13" s="835"/>
      <c r="J13" s="835"/>
      <c r="K13" s="835" t="n">
        <f aca="false">'Cuenta Ahorro-Inversión-Financi'!CK16/1000/'PIB corriente base 1993'!V15</f>
        <v>0.00235232403726366</v>
      </c>
      <c r="L13" s="835"/>
      <c r="M13" s="835" t="n">
        <f aca="false">SUM(D13:L13)</f>
        <v>0.0671686628186734</v>
      </c>
      <c r="N13" s="835"/>
      <c r="O13" s="836" t="n">
        <v>2000</v>
      </c>
      <c r="P13" s="835" t="n">
        <f aca="false">K13+J13+I13</f>
        <v>0.00235232403726366</v>
      </c>
      <c r="Q13" s="835" t="n">
        <f aca="false">D13+H13+F13+G13+E13</f>
        <v>0.0648163387814097</v>
      </c>
      <c r="R13" s="835"/>
    </row>
    <row r="14" customFormat="false" ht="15.75" hidden="false" customHeight="false" outlineLevel="0" collapsed="false">
      <c r="C14" s="836" t="n">
        <v>2001</v>
      </c>
      <c r="D14" s="832" t="n">
        <f aca="false">'Resultado ANSES por etapas'!M13</f>
        <v>0.0525215308255347</v>
      </c>
      <c r="E14" s="832"/>
      <c r="F14" s="832" t="n">
        <f aca="false">'Resultado ANSES por etapas'!Q13-'Cuenta Ahorro-Inversión-Financi'!CK17/1000/'PIB corriente base 1993'!V16</f>
        <v>0.00598162765871912</v>
      </c>
      <c r="G14" s="832" t="n">
        <f aca="false">'Resultado ANSES por etapas'!P13</f>
        <v>0.000688492360671558</v>
      </c>
      <c r="H14" s="832" t="n">
        <f aca="false">'Resultado ANSES por etapas'!N13</f>
        <v>0.00621669920590712</v>
      </c>
      <c r="I14" s="832"/>
      <c r="J14" s="832"/>
      <c r="K14" s="832" t="n">
        <f aca="false">'Cuenta Ahorro-Inversión-Financi'!CK17/1000/'PIB corriente base 1993'!V16</f>
        <v>0.00252454580040404</v>
      </c>
      <c r="L14" s="832"/>
      <c r="M14" s="832" t="n">
        <f aca="false">SUM(D14:L14)</f>
        <v>0.0679328958512366</v>
      </c>
      <c r="N14" s="832"/>
      <c r="O14" s="836" t="n">
        <v>2001</v>
      </c>
      <c r="P14" s="832" t="n">
        <f aca="false">K14+J14+I14</f>
        <v>0.00252454580040404</v>
      </c>
      <c r="Q14" s="832" t="n">
        <f aca="false">D14+H14+F14+G14+E14</f>
        <v>0.0654083500508325</v>
      </c>
      <c r="R14" s="832"/>
    </row>
    <row r="15" customFormat="false" ht="15.75" hidden="false" customHeight="false" outlineLevel="0" collapsed="false">
      <c r="C15" s="836" t="n">
        <v>2002</v>
      </c>
      <c r="D15" s="835" t="n">
        <f aca="false">'Resultado ANSES por etapas'!M14</f>
        <v>0.0443421627477132</v>
      </c>
      <c r="E15" s="835"/>
      <c r="F15" s="835" t="n">
        <f aca="false">'Resultado ANSES por etapas'!Q14-'Cuenta Ahorro-Inversión-Financi'!CK18/1000/'PIB corriente base 1993'!V17</f>
        <v>0.00488186523761301</v>
      </c>
      <c r="G15" s="835" t="n">
        <f aca="false">'Resultado ANSES por etapas'!P14</f>
        <v>0.000674115579920293</v>
      </c>
      <c r="H15" s="835" t="n">
        <f aca="false">'Resultado ANSES por etapas'!N14</f>
        <v>0.00678591755475529</v>
      </c>
      <c r="I15" s="835"/>
      <c r="J15" s="835"/>
      <c r="K15" s="835" t="n">
        <f aca="false">'Cuenta Ahorro-Inversión-Financi'!CK18/1000/'PIB corriente base 1993'!V17</f>
        <v>0.00191686270135462</v>
      </c>
      <c r="L15" s="835"/>
      <c r="M15" s="835" t="n">
        <f aca="false">SUM(D15:L15)</f>
        <v>0.0586009238213564</v>
      </c>
      <c r="N15" s="835"/>
      <c r="O15" s="836" t="n">
        <v>2002</v>
      </c>
      <c r="P15" s="835" t="n">
        <f aca="false">K15+J15+I15</f>
        <v>0.00191686270135462</v>
      </c>
      <c r="Q15" s="835" t="n">
        <f aca="false">D15+H15+F15+G15+E15</f>
        <v>0.0566840611200018</v>
      </c>
      <c r="R15" s="835"/>
    </row>
    <row r="16" customFormat="false" ht="15.75" hidden="false" customHeight="false" outlineLevel="0" collapsed="false">
      <c r="C16" s="836" t="n">
        <v>2003</v>
      </c>
      <c r="D16" s="832" t="n">
        <f aca="false">'Resultado ANSES por etapas'!M15</f>
        <v>0.0414155099169041</v>
      </c>
      <c r="E16" s="832"/>
      <c r="F16" s="832" t="n">
        <f aca="false">'Resultado ANSES por etapas'!Q15-'Cuenta Ahorro-Inversión-Financi'!CK19/1000/'PIB corriente base 1993'!V18</f>
        <v>0.00496626973037826</v>
      </c>
      <c r="G16" s="832" t="n">
        <f aca="false">'Resultado ANSES por etapas'!P15</f>
        <v>0.000695611243275441</v>
      </c>
      <c r="H16" s="832" t="n">
        <f aca="false">'Resultado ANSES por etapas'!N15</f>
        <v>0.00815617118660916</v>
      </c>
      <c r="I16" s="832"/>
      <c r="J16" s="832"/>
      <c r="K16" s="832" t="n">
        <f aca="false">'Cuenta Ahorro-Inversión-Financi'!CK19/1000/'PIB corriente base 1993'!V18</f>
        <v>0.00182990573055766</v>
      </c>
      <c r="L16" s="832"/>
      <c r="M16" s="832" t="n">
        <f aca="false">SUM(D16:L16)</f>
        <v>0.0570634678077246</v>
      </c>
      <c r="N16" s="832"/>
      <c r="O16" s="836" t="n">
        <v>2003</v>
      </c>
      <c r="P16" s="832" t="n">
        <f aca="false">K16+J16+I16</f>
        <v>0.00182990573055766</v>
      </c>
      <c r="Q16" s="832" t="n">
        <f aca="false">D16+H16+F16+G16+E16</f>
        <v>0.055233562077167</v>
      </c>
      <c r="R16" s="832"/>
    </row>
    <row r="17" customFormat="false" ht="15.75" hidden="false" customHeight="false" outlineLevel="0" collapsed="false">
      <c r="C17" s="836" t="n">
        <v>2004</v>
      </c>
      <c r="D17" s="835" t="n">
        <f aca="false">'Resultado ANSES por etapas'!M16</f>
        <v>0.036705436096272</v>
      </c>
      <c r="E17" s="835"/>
      <c r="F17" s="835" t="n">
        <f aca="false">'Resultado ANSES por etapas'!Q16-'Cuenta Ahorro-Inversión-Financi'!CK20/1000/'PIB corriente base 2004'!X8</f>
        <v>0.00394853010820825</v>
      </c>
      <c r="G17" s="835" t="n">
        <f aca="false">'Resultado ANSES por etapas'!P16</f>
        <v>0.000620174834207575</v>
      </c>
      <c r="H17" s="835" t="n">
        <f aca="false">'Resultado ANSES por etapas'!N16</f>
        <v>0.00601253522505087</v>
      </c>
      <c r="I17" s="835"/>
      <c r="J17" s="835"/>
      <c r="K17" s="835" t="n">
        <f aca="false">'Cuenta Ahorro-Inversión-Financi'!CK20/1000/'PIB corriente base 2004'!X8</f>
        <v>0.00229369584290455</v>
      </c>
      <c r="L17" s="835" t="n">
        <f aca="false">'Resultado ANSES por etapas'!O16</f>
        <v>0.00147841859387012</v>
      </c>
      <c r="M17" s="835" t="n">
        <f aca="false">SUM(D17:L17)</f>
        <v>0.0510587907005133</v>
      </c>
      <c r="N17" s="835"/>
      <c r="O17" s="836" t="n">
        <v>2004</v>
      </c>
      <c r="P17" s="835" t="n">
        <f aca="false">K17+J17+I17</f>
        <v>0.00229369584290455</v>
      </c>
      <c r="Q17" s="835" t="n">
        <f aca="false">D17+H17+F17+G17+E17</f>
        <v>0.0472866762637386</v>
      </c>
      <c r="R17" s="835" t="n">
        <f aca="false">L17</f>
        <v>0.00147841859387012</v>
      </c>
    </row>
    <row r="18" customFormat="false" ht="15.75" hidden="false" customHeight="false" outlineLevel="0" collapsed="false">
      <c r="C18" s="836" t="n">
        <v>2005</v>
      </c>
      <c r="D18" s="832" t="n">
        <f aca="false">'Resultado ANSES por etapas'!M17</f>
        <v>0.0345505912680116</v>
      </c>
      <c r="E18" s="832"/>
      <c r="F18" s="832" t="n">
        <f aca="false">'Resultado ANSES por etapas'!Q17-'Cuenta Ahorro-Inversión-Financi'!CK21/1000/'PIB corriente base 2004'!X9</f>
        <v>0.0036859532511206</v>
      </c>
      <c r="G18" s="832" t="n">
        <f aca="false">'Resultado ANSES por etapas'!P17</f>
        <v>0.000775276229474887</v>
      </c>
      <c r="H18" s="832" t="n">
        <f aca="false">'Resultado ANSES por etapas'!N17</f>
        <v>0.00717141324245859</v>
      </c>
      <c r="I18" s="832"/>
      <c r="J18" s="832"/>
      <c r="K18" s="832" t="n">
        <f aca="false">'Cuenta Ahorro-Inversión-Financi'!CK21/1000/'PIB corriente base 2004'!X9</f>
        <v>0.00228516213229058</v>
      </c>
      <c r="L18" s="832" t="n">
        <f aca="false">'Resultado ANSES por etapas'!O17</f>
        <v>0.0013544936722026</v>
      </c>
      <c r="M18" s="832" t="n">
        <f aca="false">SUM(D18:L18)</f>
        <v>0.0498228897955588</v>
      </c>
      <c r="N18" s="832"/>
      <c r="O18" s="836" t="n">
        <v>2005</v>
      </c>
      <c r="P18" s="832" t="n">
        <f aca="false">K18+J18+I18</f>
        <v>0.00228516213229058</v>
      </c>
      <c r="Q18" s="832" t="n">
        <f aca="false">D18+H18+F18+G18+E18</f>
        <v>0.0461832339910656</v>
      </c>
      <c r="R18" s="832" t="n">
        <f aca="false">L18</f>
        <v>0.0013544936722026</v>
      </c>
    </row>
    <row r="19" customFormat="false" ht="15.75" hidden="false" customHeight="false" outlineLevel="0" collapsed="false">
      <c r="C19" s="836" t="n">
        <v>2006</v>
      </c>
      <c r="D19" s="835" t="n">
        <f aca="false">'Resultado ANSES por etapas'!M18</f>
        <v>0.0368418871162505</v>
      </c>
      <c r="E19" s="835"/>
      <c r="F19" s="835" t="n">
        <f aca="false">'Resultado ANSES por etapas'!Q18-'Cuenta Ahorro-Inversión-Financi'!CK22/1000/'PIB corriente base 2004'!X10</f>
        <v>0.00348318953028549</v>
      </c>
      <c r="G19" s="835" t="n">
        <f aca="false">'Resultado ANSES por etapas'!P18</f>
        <v>0.000837384263622429</v>
      </c>
      <c r="H19" s="835" t="n">
        <f aca="false">'Resultado ANSES por etapas'!N18</f>
        <v>0.00645013061743081</v>
      </c>
      <c r="I19" s="835"/>
      <c r="J19" s="835"/>
      <c r="K19" s="835" t="n">
        <f aca="false">'Cuenta Ahorro-Inversión-Financi'!CK22/1000/'PIB corriente base 2004'!X10</f>
        <v>0.00278053471164374</v>
      </c>
      <c r="L19" s="835" t="n">
        <f aca="false">'Resultado ANSES por etapas'!O18</f>
        <v>0.001420898634906</v>
      </c>
      <c r="M19" s="835" t="n">
        <f aca="false">SUM(D19:L19)</f>
        <v>0.051814024874139</v>
      </c>
      <c r="N19" s="835"/>
      <c r="O19" s="836" t="n">
        <v>2006</v>
      </c>
      <c r="P19" s="835" t="n">
        <f aca="false">K19+J19+I19</f>
        <v>0.00278053471164374</v>
      </c>
      <c r="Q19" s="835" t="n">
        <f aca="false">D19+H19+F19+G19+E19</f>
        <v>0.0476125915275893</v>
      </c>
      <c r="R19" s="835" t="n">
        <f aca="false">L19</f>
        <v>0.001420898634906</v>
      </c>
    </row>
    <row r="20" customFormat="false" ht="15.75" hidden="false" customHeight="false" outlineLevel="0" collapsed="false">
      <c r="C20" s="836" t="n">
        <v>2007</v>
      </c>
      <c r="D20" s="832" t="n">
        <f aca="false">'Resultado ANSES por etapas'!M19-I20</f>
        <v>0.0354897758968173</v>
      </c>
      <c r="E20" s="832"/>
      <c r="F20" s="832" t="n">
        <f aca="false">'Resultado ANSES por etapas'!Q19-'Cuenta Ahorro-Inversión-Financi'!CK23/1000/'PIB corriente base 2004'!X11</f>
        <v>0.00336372991714323</v>
      </c>
      <c r="G20" s="832" t="n">
        <f aca="false">'Resultado ANSES por etapas'!P19</f>
        <v>0.000934433666315139</v>
      </c>
      <c r="H20" s="832" t="n">
        <f aca="false">'Resultado ANSES por etapas'!N19</f>
        <v>0.00559034382813241</v>
      </c>
      <c r="I20" s="832" t="n">
        <f aca="false">('[2]Versión ordenada'!$F$4+'[2]Versión ordenada'!$F$17)/1000/'PIB corriente base 2004'!X11</f>
        <v>0.0134910799718077</v>
      </c>
      <c r="J20" s="832"/>
      <c r="K20" s="832" t="n">
        <f aca="false">'Cuenta Ahorro-Inversión-Financi'!CK23/1000/'PIB corriente base 2004'!X11</f>
        <v>0.00358001090421268</v>
      </c>
      <c r="L20" s="832" t="n">
        <f aca="false">'Resultado ANSES por etapas'!O19</f>
        <v>0.0018084480471694</v>
      </c>
      <c r="M20" s="832" t="n">
        <f aca="false">SUM(D20:L20)</f>
        <v>0.0642578222315978</v>
      </c>
      <c r="N20" s="832"/>
      <c r="O20" s="836" t="n">
        <v>2007</v>
      </c>
      <c r="P20" s="832" t="n">
        <f aca="false">K20+J20+I20</f>
        <v>0.0170710908760203</v>
      </c>
      <c r="Q20" s="832" t="n">
        <f aca="false">D20+H20+F20+G20+E20</f>
        <v>0.0453782833084081</v>
      </c>
      <c r="R20" s="832" t="n">
        <f aca="false">L20</f>
        <v>0.0018084480471694</v>
      </c>
    </row>
    <row r="21" customFormat="false" ht="15.75" hidden="false" customHeight="false" outlineLevel="0" collapsed="false">
      <c r="C21" s="836" t="n">
        <v>2008</v>
      </c>
      <c r="D21" s="835" t="n">
        <f aca="false">'Resultado ANSES por etapas'!M20-I21</f>
        <v>0.0334896863899083</v>
      </c>
      <c r="E21" s="835" t="n">
        <f aca="false">'Resultado ANSES por etapas'!R20</f>
        <v>0.00116689653702815</v>
      </c>
      <c r="F21" s="835" t="n">
        <f aca="false">'Resultado ANSES por etapas'!Q20-'Cuenta Ahorro-Inversión-Financi'!CK24/1000/'PIB corriente base 2004'!X12</f>
        <v>0.00350523877225053</v>
      </c>
      <c r="G21" s="835" t="n">
        <f aca="false">'Resultado ANSES por etapas'!P20</f>
        <v>0.00110112913760037</v>
      </c>
      <c r="H21" s="835" t="n">
        <f aca="false">'Resultado ANSES por etapas'!N20</f>
        <v>0.00717673059001263</v>
      </c>
      <c r="I21" s="835" t="n">
        <f aca="false">('[2]Versión ordenada'!$G$4+'[2]Versión ordenada'!$G$17)/1000/'PIB corriente base 2004'!X12</f>
        <v>0.0148867850278702</v>
      </c>
      <c r="J21" s="835"/>
      <c r="K21" s="835" t="n">
        <f aca="false">'Cuenta Ahorro-Inversión-Financi'!CK24/1000/'PIB corriente base 2004'!X12</f>
        <v>0.00404947872095714</v>
      </c>
      <c r="L21" s="835" t="n">
        <f aca="false">'Resultado ANSES por etapas'!O20</f>
        <v>0.00175828728657165</v>
      </c>
      <c r="M21" s="835" t="n">
        <f aca="false">SUM(D21:L21)</f>
        <v>0.067134232462199</v>
      </c>
      <c r="N21" s="835"/>
      <c r="O21" s="836" t="n">
        <v>2008</v>
      </c>
      <c r="P21" s="835" t="n">
        <f aca="false">K21+J21+I21</f>
        <v>0.0189362637488274</v>
      </c>
      <c r="Q21" s="835" t="n">
        <f aca="false">D21+H21+F21+G21+E21</f>
        <v>0.0464396814267999</v>
      </c>
      <c r="R21" s="835" t="n">
        <f aca="false">L21</f>
        <v>0.00175828728657165</v>
      </c>
    </row>
    <row r="22" customFormat="false" ht="15.75" hidden="false" customHeight="false" outlineLevel="0" collapsed="false">
      <c r="C22" s="836" t="n">
        <v>2009</v>
      </c>
      <c r="D22" s="832" t="n">
        <f aca="false">'Resultado ANSES por etapas'!M21-I22</f>
        <v>0.0387410248529356</v>
      </c>
      <c r="E22" s="832" t="n">
        <f aca="false">'Resultado ANSES por etapas'!R21</f>
        <v>0.00167502693461996</v>
      </c>
      <c r="F22" s="832" t="n">
        <f aca="false">'Resultado ANSES por etapas'!Q21-'Cuenta Ahorro-Inversión-Financi'!CK25/1000/'PIB corriente base 2004'!X13</f>
        <v>0.00416001890802829</v>
      </c>
      <c r="G22" s="832" t="n">
        <f aca="false">'Resultado ANSES por etapas'!P21</f>
        <v>0.00178122445365416</v>
      </c>
      <c r="H22" s="832" t="n">
        <f aca="false">'Resultado ANSES por etapas'!N21</f>
        <v>0.0103548744113128</v>
      </c>
      <c r="I22" s="832" t="n">
        <f aca="false">('[2]Versión ordenada'!$H$4+'[2]Versión ordenada'!$H$17)/1000/'PIB corriente base 2004'!X13</f>
        <v>0.0180752497040962</v>
      </c>
      <c r="J22" s="832"/>
      <c r="K22" s="832" t="n">
        <f aca="false">'Cuenta Ahorro-Inversión-Financi'!CK25/1000/'PIB corriente base 2004'!X13</f>
        <v>0.00547264569428922</v>
      </c>
      <c r="L22" s="832" t="n">
        <f aca="false">'Resultado ANSES por etapas'!O21</f>
        <v>0.0020413731238185</v>
      </c>
      <c r="M22" s="832" t="n">
        <f aca="false">SUM(D22:L22)</f>
        <v>0.0823014380827548</v>
      </c>
      <c r="N22" s="832"/>
      <c r="O22" s="836" t="n">
        <v>2009</v>
      </c>
      <c r="P22" s="832" t="n">
        <f aca="false">K22+J22+I22</f>
        <v>0.0235478953983854</v>
      </c>
      <c r="Q22" s="832" t="n">
        <f aca="false">D22+H22+F22+G22+E22</f>
        <v>0.0567121695605509</v>
      </c>
      <c r="R22" s="832" t="n">
        <f aca="false">L22</f>
        <v>0.0020413731238185</v>
      </c>
    </row>
    <row r="23" customFormat="false" ht="15.75" hidden="false" customHeight="false" outlineLevel="0" collapsed="false">
      <c r="C23" s="836" t="n">
        <v>2010</v>
      </c>
      <c r="D23" s="835" t="n">
        <f aca="false">'Resultado ANSES por etapas'!M22-I23</f>
        <v>0.0350566477486803</v>
      </c>
      <c r="E23" s="835" t="n">
        <f aca="false">'Resultado ANSES por etapas'!R22</f>
        <v>0.00129161278918117</v>
      </c>
      <c r="F23" s="835" t="n">
        <f aca="false">'Resultado ANSES por etapas'!Q22-'Cuenta Ahorro-Inversión-Financi'!CK26/1000/'PIB corriente base 2004'!X14</f>
        <v>0.00412622658211544</v>
      </c>
      <c r="G23" s="835" t="n">
        <f aca="false">'Resultado ANSES por etapas'!P22</f>
        <v>0.00193273387962204</v>
      </c>
      <c r="H23" s="835" t="n">
        <f aca="false">'Resultado ANSES por etapas'!N22-J23</f>
        <v>0.0095858996177143</v>
      </c>
      <c r="I23" s="835" t="n">
        <f aca="false">('[2]Versión ordenada'!$I$4+'[2]Versión ordenada'!$I$17)/1000/'PIB corriente base 2004'!X14</f>
        <v>0.0181156774901227</v>
      </c>
      <c r="J23" s="835" t="n">
        <f aca="false">('[2]Versión ordenada'!$I$11+'[2]Versión ordenada'!$I$16)/1000/'PIB corriente base 2004'!X14</f>
        <v>0.0038152325556087</v>
      </c>
      <c r="K23" s="835" t="n">
        <f aca="false">'Cuenta Ahorro-Inversión-Financi'!CK26/1000/'PIB corriente base 2004'!X14</f>
        <v>0.00598011044710249</v>
      </c>
      <c r="L23" s="835" t="n">
        <f aca="false">'Resultado ANSES por etapas'!O22</f>
        <v>0.00190415963472409</v>
      </c>
      <c r="M23" s="835" t="n">
        <f aca="false">SUM(D23:L23)</f>
        <v>0.0818083007448712</v>
      </c>
      <c r="N23" s="835"/>
      <c r="O23" s="836" t="n">
        <v>2010</v>
      </c>
      <c r="P23" s="835" t="n">
        <f aca="false">K23+J23+I23</f>
        <v>0.0279110204928338</v>
      </c>
      <c r="Q23" s="835" t="n">
        <f aca="false">D23+H23+F23+G23+E23</f>
        <v>0.0519931206173133</v>
      </c>
      <c r="R23" s="835" t="n">
        <f aca="false">L23</f>
        <v>0.00190415963472409</v>
      </c>
    </row>
    <row r="24" customFormat="false" ht="15.75" hidden="false" customHeight="false" outlineLevel="0" collapsed="false">
      <c r="C24" s="836" t="n">
        <v>2011</v>
      </c>
      <c r="D24" s="832" t="n">
        <f aca="false">'Resultado ANSES por etapas'!M23-I24</f>
        <v>0.0364405621957978</v>
      </c>
      <c r="E24" s="832" t="n">
        <f aca="false">'Resultado ANSES por etapas'!R23</f>
        <v>0.00103133324512357</v>
      </c>
      <c r="F24" s="832" t="n">
        <f aca="false">'Resultado ANSES por etapas'!Q23-'Cuenta Ahorro-Inversión-Financi'!CK27/1000/'PIB corriente base 2004'!X15</f>
        <v>0.00525615141865851</v>
      </c>
      <c r="G24" s="832" t="n">
        <f aca="false">'Resultado ANSES por etapas'!P23</f>
        <v>0.00219213433804649</v>
      </c>
      <c r="H24" s="832" t="n">
        <f aca="false">'Resultado ANSES por etapas'!N23-J24</f>
        <v>0.00683288060749366</v>
      </c>
      <c r="I24" s="832" t="n">
        <f aca="false">('[2]Versión ordenada'!$J$4+'[2]Versión ordenada'!$J$17)/1000/'PIB corriente base 2004'!X15</f>
        <v>0.0195517882092317</v>
      </c>
      <c r="J24" s="832" t="n">
        <f aca="false">('[2]Versión ordenada'!$J11+'[2]Versión ordenada'!$J$16)/1000/'PIB corriente base 2004'!X15</f>
        <v>0.00414711179740635</v>
      </c>
      <c r="K24" s="832" t="n">
        <f aca="false">'Cuenta Ahorro-Inversión-Financi'!CK27/1000/'PIB corriente base 2004'!X15</f>
        <v>0.00684311371349412</v>
      </c>
      <c r="L24" s="832" t="n">
        <f aca="false">'Resultado ANSES por etapas'!O23</f>
        <v>0.00200692451763306</v>
      </c>
      <c r="M24" s="832" t="n">
        <f aca="false">SUM(D24:L24)</f>
        <v>0.0843020000428853</v>
      </c>
      <c r="N24" s="832"/>
      <c r="O24" s="836" t="n">
        <v>2011</v>
      </c>
      <c r="P24" s="832" t="n">
        <f aca="false">K24+J24+I24</f>
        <v>0.0305420137201322</v>
      </c>
      <c r="Q24" s="832" t="n">
        <f aca="false">D24+H24+F24+G24+E24</f>
        <v>0.0517530618051201</v>
      </c>
      <c r="R24" s="832" t="n">
        <f aca="false">L24</f>
        <v>0.00200692451763306</v>
      </c>
    </row>
    <row r="25" customFormat="false" ht="15.75" hidden="false" customHeight="false" outlineLevel="0" collapsed="false">
      <c r="C25" s="836" t="n">
        <v>2012</v>
      </c>
      <c r="D25" s="835" t="n">
        <f aca="false">'Resultado ANSES por etapas'!M24-I25</f>
        <v>0.0420091443044068</v>
      </c>
      <c r="E25" s="835" t="n">
        <f aca="false">'Resultado ANSES por etapas'!R24</f>
        <v>0.00123537014000835</v>
      </c>
      <c r="F25" s="835" t="n">
        <f aca="false">'Resultado ANSES por etapas'!Q24-'Cuenta Ahorro-Inversión-Financi'!CK28/1000/'PIB corriente base 2004'!X16</f>
        <v>0.00421109874918186</v>
      </c>
      <c r="G25" s="835" t="n">
        <f aca="false">'Resultado ANSES por etapas'!P24</f>
        <v>0.00236681220168485</v>
      </c>
      <c r="H25" s="835" t="n">
        <f aca="false">'Resultado ANSES por etapas'!N24-J25</f>
        <v>0.00572128711656347</v>
      </c>
      <c r="I25" s="835" t="n">
        <f aca="false">('[2]Versión ordenada'!$K$4+'[2]Versión ordenada'!$K$17)/1000/'PIB corriente base 2004'!X16</f>
        <v>0.021948543125154</v>
      </c>
      <c r="J25" s="835" t="n">
        <f aca="false">('[2]Versión ordenada'!$K$11+'[2]Versión ordenada'!$K16)/1000/'PIB corriente base 2004'!X16</f>
        <v>0.0042338659723687</v>
      </c>
      <c r="K25" s="835" t="n">
        <f aca="false">'Cuenta Ahorro-Inversión-Financi'!CK28/1000/'PIB corriente base 2004'!X16</f>
        <v>0.0087071728840794</v>
      </c>
      <c r="L25" s="835" t="n">
        <f aca="false">'Resultado ANSES por etapas'!O24</f>
        <v>0.0022917701706974</v>
      </c>
      <c r="M25" s="835" t="n">
        <f aca="false">SUM(D25:L25)</f>
        <v>0.0927250646641448</v>
      </c>
      <c r="N25" s="835"/>
      <c r="O25" s="836" t="n">
        <v>2012</v>
      </c>
      <c r="P25" s="835" t="n">
        <f aca="false">K25+J25+I25</f>
        <v>0.0348895819816021</v>
      </c>
      <c r="Q25" s="835" t="n">
        <f aca="false">D25+H25+F25+G25+E25</f>
        <v>0.0555437125118453</v>
      </c>
      <c r="R25" s="835" t="n">
        <f aca="false">L25</f>
        <v>0.0022917701706974</v>
      </c>
    </row>
    <row r="26" customFormat="false" ht="15.75" hidden="false" customHeight="false" outlineLevel="0" collapsed="false">
      <c r="C26" s="836" t="n">
        <v>2013</v>
      </c>
      <c r="D26" s="832" t="n">
        <f aca="false">'Resultado ANSES por etapas'!M25-I26</f>
        <v>0.0439849216186219</v>
      </c>
      <c r="E26" s="832" t="n">
        <f aca="false">'Resultado ANSES por etapas'!R25</f>
        <v>0.00166967888999977</v>
      </c>
      <c r="F26" s="832" t="n">
        <f aca="false">'Resultado ANSES por etapas'!Q25-'Cuenta Ahorro-Inversión-Financi'!CK29/1000/'PIB corriente base 2004'!X17</f>
        <v>0.0051449693316493</v>
      </c>
      <c r="G26" s="832" t="n">
        <f aca="false">'Resultado ANSES por etapas'!P25</f>
        <v>0.00210806956969702</v>
      </c>
      <c r="H26" s="832" t="n">
        <f aca="false">'Resultado ANSES por etapas'!N25-J26</f>
        <v>0.00599444085841293</v>
      </c>
      <c r="I26" s="832" t="n">
        <f aca="false">('[2]Versión ordenada'!$L$4+'[2]Versión ordenada'!$L$17)/1000/'PIB corriente base 2004'!X17</f>
        <v>0.022607372880113</v>
      </c>
      <c r="J26" s="832" t="n">
        <f aca="false">('[2]Versión ordenada'!$L$11+'[2]Versión ordenada'!$L$16)/1000/'PIB corriente base 2004'!X17</f>
        <v>0.004720231235733</v>
      </c>
      <c r="K26" s="832" t="n">
        <f aca="false">'Cuenta Ahorro-Inversión-Financi'!CK29/1000/'PIB corriente base 2004'!X17</f>
        <v>0.00947685069910942</v>
      </c>
      <c r="L26" s="832" t="n">
        <f aca="false">'Resultado ANSES por etapas'!O25</f>
        <v>0.00238561996391175</v>
      </c>
      <c r="M26" s="832" t="n">
        <f aca="false">SUM(D26:L26)</f>
        <v>0.0980921550472481</v>
      </c>
      <c r="N26" s="832"/>
      <c r="O26" s="836" t="n">
        <v>2013</v>
      </c>
      <c r="P26" s="832" t="n">
        <f aca="false">K26+J26+I26</f>
        <v>0.0368044548149555</v>
      </c>
      <c r="Q26" s="832" t="n">
        <f aca="false">D26+H26+F26+G26+E26</f>
        <v>0.0589020802683809</v>
      </c>
      <c r="R26" s="832" t="n">
        <f aca="false">L26</f>
        <v>0.00238561996391175</v>
      </c>
    </row>
    <row r="27" customFormat="false" ht="15.75" hidden="false" customHeight="false" outlineLevel="0" collapsed="false">
      <c r="C27" s="836" t="n">
        <v>2014</v>
      </c>
      <c r="D27" s="835" t="n">
        <f aca="false">'Resultado ANSES por etapas'!M26-I27</f>
        <v>0.0427397309980085</v>
      </c>
      <c r="E27" s="835" t="n">
        <f aca="false">'Resultado ANSES por etapas'!R26</f>
        <v>0.00180520724704594</v>
      </c>
      <c r="F27" s="835" t="n">
        <f aca="false">'Resultado ANSES por etapas'!Q26-'Cuenta Ahorro-Inversión-Financi'!CK30/1000/'PIB corriente base 2004'!X18</f>
        <v>0.00449605101877852</v>
      </c>
      <c r="G27" s="835" t="n">
        <f aca="false">'Resultado ANSES por etapas'!P26</f>
        <v>0.00208133381503417</v>
      </c>
      <c r="H27" s="835" t="n">
        <f aca="false">'Resultado ANSES por etapas'!N26-J27</f>
        <v>0.00533065417293667</v>
      </c>
      <c r="I27" s="835" t="n">
        <f aca="false">('[2]Versión ordenada'!$M$4+'[2]Versión ordenada'!$M$17)/1000/'PIB corriente base 2004'!X18</f>
        <v>0.0218161918284941</v>
      </c>
      <c r="J27" s="835" t="n">
        <f aca="false">(('[2]Versión ordenada'!$M11+'[2]Versión ordenada'!$M16))/1000/'PIB corriente base 2004'!X18</f>
        <v>0.00534449122060591</v>
      </c>
      <c r="K27" s="835" t="n">
        <f aca="false">'Cuenta Ahorro-Inversión-Financi'!CK30/1000/'PIB corriente base 2004'!X18</f>
        <v>0.00964518092523107</v>
      </c>
      <c r="L27" s="835" t="n">
        <f aca="false">'Resultado ANSES por etapas'!O26</f>
        <v>0.0023272132721661</v>
      </c>
      <c r="M27" s="835" t="n">
        <f aca="false">SUM(D27:L27)</f>
        <v>0.095586054498301</v>
      </c>
      <c r="N27" s="835"/>
      <c r="O27" s="836" t="n">
        <v>2014</v>
      </c>
      <c r="P27" s="835" t="n">
        <f aca="false">K27+J27+I27</f>
        <v>0.0368058639743311</v>
      </c>
      <c r="Q27" s="835" t="n">
        <f aca="false">D27+H27+F27+G27+E27</f>
        <v>0.0564529772518038</v>
      </c>
      <c r="R27" s="835" t="n">
        <f aca="false">L27</f>
        <v>0.0023272132721661</v>
      </c>
    </row>
    <row r="28" customFormat="false" ht="15.75" hidden="false" customHeight="false" outlineLevel="0" collapsed="false">
      <c r="C28" s="836" t="n">
        <f aca="false">C27+1</f>
        <v>2015</v>
      </c>
      <c r="D28" s="832" t="n">
        <f aca="false">'Resultado ANSES por etapas'!M27-I28</f>
        <v>0.0454162255862639</v>
      </c>
      <c r="E28" s="832" t="n">
        <f aca="false">'Resultado ANSES por etapas'!R27</f>
        <v>0.00171424659032606</v>
      </c>
      <c r="F28" s="832" t="n">
        <f aca="false">'Resultado ANSES por etapas'!Q27-'Cuenta Ahorro-Inversión-Financi'!CK31/1000/'PIB corriente base 2004'!X19</f>
        <v>0.00408226511568985</v>
      </c>
      <c r="G28" s="832" t="n">
        <f aca="false">'Resultado ANSES por etapas'!P27</f>
        <v>0.00209925380408706</v>
      </c>
      <c r="H28" s="832" t="n">
        <f aca="false">'Resultado ANSES por etapas'!N27-J28</f>
        <v>0.00476347459845601</v>
      </c>
      <c r="I28" s="832" t="n">
        <f aca="false">('[2]Versión ordenada'!$N$4+'[2]Versión ordenada'!$N$17)/1000/'PIB corriente base 2004'!X19</f>
        <v>0.0273742506172789</v>
      </c>
      <c r="J28" s="832" t="n">
        <f aca="false">('[2]Versión ordenada'!$N$11+'[2]Versión ordenada'!$N$16)/1000/'PIB corriente base 2004'!X19</f>
        <v>0.00686937577720966</v>
      </c>
      <c r="K28" s="832" t="n">
        <f aca="false">'Cuenta Ahorro-Inversión-Financi'!CK31/1000/'PIB corriente base 2004'!X19</f>
        <v>0.0104568666999862</v>
      </c>
      <c r="L28" s="832" t="n">
        <f aca="false">'Resultado ANSES por etapas'!O27</f>
        <v>0.00260688705263258</v>
      </c>
      <c r="M28" s="832" t="n">
        <f aca="false">SUM(D28:L28)</f>
        <v>0.10538284584193</v>
      </c>
      <c r="N28" s="832"/>
      <c r="O28" s="836" t="n">
        <f aca="false">O27+1</f>
        <v>2015</v>
      </c>
      <c r="P28" s="832" t="n">
        <f aca="false">K28+J28+I28</f>
        <v>0.0447004930944747</v>
      </c>
      <c r="Q28" s="832" t="n">
        <f aca="false">D28+H28+F28+G28+E28</f>
        <v>0.0580754656948229</v>
      </c>
      <c r="R28" s="832" t="n">
        <f aca="false">L28</f>
        <v>0.00260688705263258</v>
      </c>
    </row>
    <row r="29" customFormat="false" ht="15.75" hidden="false" customHeight="false" outlineLevel="0" collapsed="false">
      <c r="C29" s="836" t="n">
        <f aca="false">C28+1</f>
        <v>2016</v>
      </c>
      <c r="D29" s="835" t="n">
        <f aca="false">'Resultado ANSES por etapas'!M28-I29</f>
        <v>0.0447229510322757</v>
      </c>
      <c r="E29" s="835" t="n">
        <f aca="false">'Resultado ANSES por etapas'!R28</f>
        <v>0.00197107261819154</v>
      </c>
      <c r="F29" s="835" t="n">
        <f aca="false">'Resultado ANSES por etapas'!Q28-'Cuenta Ahorro-Inversión-Financi'!CK32/1000/'PIB corriente base 2004'!X20</f>
        <v>0.00402643500125511</v>
      </c>
      <c r="G29" s="835" t="n">
        <f aca="false">'Resultado ANSES por etapas'!P28</f>
        <v>0.00177072549143578</v>
      </c>
      <c r="H29" s="835" t="n">
        <f aca="false">'Resultado ANSES por etapas'!N28-J29</f>
        <v>0.00911235022993784</v>
      </c>
      <c r="I29" s="835" t="n">
        <f aca="false">(('[2]Versión ordenada'!$O$4+'[2]Versión ordenada'!$O$17)+'Cuenta Ahorro-Inversión-Financi'!BG32)/1000/'PIB corriente base 2004'!X20</f>
        <v>0.0283181233482025</v>
      </c>
      <c r="J29" s="835" t="n">
        <f aca="false">('[2]Versión ordenada'!$O$11+'[2]Versión ordenada'!$O$16)/1000/'PIB corriente base 2004'!X20</f>
        <v>0.00723367838895608</v>
      </c>
      <c r="K29" s="835" t="n">
        <f aca="false">'Cuenta Ahorro-Inversión-Financi'!CK32/1000/'PIB corriente base 2004'!X20</f>
        <v>0.0097160356203608</v>
      </c>
      <c r="L29" s="835" t="n">
        <f aca="false">'Resultado ANSES por etapas'!O28</f>
        <v>0.00263630884740172</v>
      </c>
      <c r="M29" s="835" t="n">
        <f aca="false">SUM(D29:L29)</f>
        <v>0.109507680578017</v>
      </c>
      <c r="N29" s="835" t="n">
        <f aca="false">'Resultado ANSES por etapas'!T28</f>
        <v>0.000771083734631746</v>
      </c>
      <c r="O29" s="836" t="n">
        <f aca="false">O28+1</f>
        <v>2016</v>
      </c>
      <c r="P29" s="835" t="n">
        <f aca="false">K29+J29+I29</f>
        <v>0.0452678373575194</v>
      </c>
      <c r="Q29" s="835" t="n">
        <f aca="false">D29+H29+F29+G29+E29</f>
        <v>0.061603534373096</v>
      </c>
      <c r="R29" s="835" t="n">
        <f aca="false">L29</f>
        <v>0.00263630884740172</v>
      </c>
    </row>
    <row r="30" customFormat="false" ht="15.75" hidden="false" customHeight="false" outlineLevel="0" collapsed="false">
      <c r="C30" s="836" t="n">
        <f aca="false">C29+1</f>
        <v>2017</v>
      </c>
      <c r="D30" s="832" t="n">
        <f aca="false">'Resultado ANSES por etapas'!M29-('Cuenta Ahorro-Inversión-Financi'!BH33)/1000/'PIB corriente base 2004'!X21-I30</f>
        <v>0.0454828289030153</v>
      </c>
      <c r="E30" s="832" t="n">
        <f aca="false">'Resultado ANSES por etapas'!R29</f>
        <v>0.00169318277702991</v>
      </c>
      <c r="F30" s="832" t="n">
        <f aca="false">'Resultado ANSES por etapas'!Q29-'Cuenta Ahorro-Inversión-Financi'!CK33/1000/'PIB corriente base 2004'!X21</f>
        <v>0.00409895559886543</v>
      </c>
      <c r="G30" s="832" t="n">
        <f aca="false">'Resultado ANSES por etapas'!P29</f>
        <v>0.00172705093781381</v>
      </c>
      <c r="H30" s="832" t="n">
        <f aca="false">'Resultado ANSES por etapas'!N29-J30</f>
        <v>0.00849992275679633</v>
      </c>
      <c r="I30" s="832" t="n">
        <f aca="false">(('[2]Versión ordenada'!$P$4+'[2]Versión ordenada'!$P$17)+'Cuenta Ahorro-Inversión-Financi'!BG33)/1000/'PIB corriente base 2004'!X21</f>
        <v>0.030023001170428</v>
      </c>
      <c r="J30" s="832" t="n">
        <f aca="false">('[2]Versión ordenada'!$P$11+'[2]Versión ordenada'!$P$16)/1000/'PIB corriente base 2004'!X21</f>
        <v>0.00641370230372483</v>
      </c>
      <c r="K30" s="832" t="n">
        <f aca="false">('Cuenta Ahorro-Inversión-Financi'!CK33+'Cuenta Ahorro-Inversión-Financi'!BH33)/1000/'PIB corriente base 2004'!X21</f>
        <v>0.00956831052276629</v>
      </c>
      <c r="L30" s="832" t="n">
        <f aca="false">'Resultado ANSES por etapas'!O29</f>
        <v>0.00297079733174157</v>
      </c>
      <c r="M30" s="832" t="n">
        <f aca="false">SUM(D30:L30)</f>
        <v>0.110477752302181</v>
      </c>
      <c r="N30" s="832" t="n">
        <f aca="false">'Resultado ANSES por etapas'!T29</f>
        <v>0.00371888754837215</v>
      </c>
      <c r="O30" s="836" t="n">
        <f aca="false">O29+1</f>
        <v>2017</v>
      </c>
      <c r="P30" s="832" t="n">
        <f aca="false">K30+J30+I30</f>
        <v>0.0460050139969191</v>
      </c>
      <c r="Q30" s="832" t="n">
        <f aca="false">D30+H30+F30+G30+E30</f>
        <v>0.0615019409735208</v>
      </c>
      <c r="R30" s="832" t="n">
        <f aca="false">L30</f>
        <v>0.00297079733174157</v>
      </c>
    </row>
    <row r="31" customFormat="false" ht="15.75" hidden="false" customHeight="false" outlineLevel="0" collapsed="false">
      <c r="C31" s="836" t="n">
        <f aca="false">C30+1</f>
        <v>2018</v>
      </c>
      <c r="D31" s="835" t="n">
        <f aca="false">'Resultado ANSES por etapas'!M30-('Cuenta Ahorro-Inversión-Financi'!BH34)/1000/'PIB corriente base 2004'!X22-I31</f>
        <v>0.041544072383978</v>
      </c>
      <c r="E31" s="835" t="n">
        <f aca="false">'Resultado ANSES por etapas'!R30</f>
        <v>0.00155582043184477</v>
      </c>
      <c r="F31" s="835" t="n">
        <f aca="false">'Resultado ANSES por etapas'!Q30-'Cuenta Ahorro-Inversión-Financi'!CK34/1000/'PIB corriente base 2004'!X22</f>
        <v>0.00354154709268915</v>
      </c>
      <c r="G31" s="835" t="n">
        <f aca="false">'Resultado ANSES por etapas'!P30</f>
        <v>0.00148225469051734</v>
      </c>
      <c r="H31" s="835" t="n">
        <f aca="false">'Resultado ANSES por etapas'!N30-J31</f>
        <v>0.00870055087278955</v>
      </c>
      <c r="I31" s="835" t="n">
        <f aca="false">(('[2]Versión ordenada'!$Q$4+'[2]Versión ordenada'!$Q$17)+'Cuenta Ahorro-Inversión-Financi'!BG34)/1000/'PIB corriente base 2004'!X22</f>
        <v>0.0278106886023452</v>
      </c>
      <c r="J31" s="835" t="n">
        <f aca="false">('[2]Versión ordenada'!$Q$11+'[2]Versión ordenada'!$Q$16)/1000/'PIB corriente base 2004'!X22</f>
        <v>0.00617151423494498</v>
      </c>
      <c r="K31" s="835" t="n">
        <f aca="false">('Cuenta Ahorro-Inversión-Financi'!CK34+'Cuenta Ahorro-Inversión-Financi'!BH34)/1000/'PIB corriente base 2004'!X22</f>
        <v>0.00873121626193791</v>
      </c>
      <c r="L31" s="835" t="n">
        <f aca="false">'Resultado ANSES por etapas'!O30</f>
        <v>0.00281753105217518</v>
      </c>
      <c r="M31" s="835" t="n">
        <f aca="false">SUM(D31:L31)</f>
        <v>0.102355195623222</v>
      </c>
      <c r="N31" s="835" t="n">
        <f aca="false">'Resultado ANSES por etapas'!T30</f>
        <v>0.00509130111541257</v>
      </c>
      <c r="O31" s="836" t="n">
        <f aca="false">O30+1</f>
        <v>2018</v>
      </c>
      <c r="P31" s="835" t="n">
        <f aca="false">K31+J31+I31</f>
        <v>0.0427134190992281</v>
      </c>
      <c r="Q31" s="835" t="n">
        <f aca="false">D31+H31+F31+G31+E31</f>
        <v>0.0568242454718188</v>
      </c>
      <c r="R31" s="835" t="n">
        <f aca="false">L31</f>
        <v>0.00281753105217518</v>
      </c>
    </row>
    <row r="33" customFormat="false" ht="15" hidden="false" customHeight="false" outlineLevel="0" collapsed="false">
      <c r="K33" s="519"/>
    </row>
    <row r="34" customFormat="false" ht="15" hidden="false" customHeight="true" outlineLevel="0" collapsed="false">
      <c r="C34" s="844"/>
      <c r="D34" s="845" t="s">
        <v>1136</v>
      </c>
      <c r="E34" s="845" t="s">
        <v>1137</v>
      </c>
      <c r="F34" s="845" t="s">
        <v>1138</v>
      </c>
      <c r="G34" s="584" t="s">
        <v>1139</v>
      </c>
      <c r="H34" s="845" t="s">
        <v>1128</v>
      </c>
      <c r="I34" s="845" t="s">
        <v>1129</v>
      </c>
      <c r="J34" s="845" t="s">
        <v>1130</v>
      </c>
      <c r="K34" s="584" t="s">
        <v>1134</v>
      </c>
      <c r="L34" s="845" t="s">
        <v>1096</v>
      </c>
      <c r="M34" s="845" t="s">
        <v>1140</v>
      </c>
      <c r="N34" s="584" t="s">
        <v>1133</v>
      </c>
    </row>
    <row r="35" customFormat="false" ht="15" hidden="false" customHeight="false" outlineLevel="0" collapsed="false">
      <c r="C35" s="844"/>
      <c r="D35" s="845"/>
      <c r="E35" s="845"/>
      <c r="F35" s="845"/>
      <c r="G35" s="584"/>
      <c r="H35" s="845"/>
      <c r="I35" s="845"/>
      <c r="J35" s="845"/>
      <c r="K35" s="584"/>
      <c r="L35" s="845"/>
      <c r="M35" s="845"/>
      <c r="N35" s="584"/>
    </row>
    <row r="36" customFormat="false" ht="15.75" hidden="false" customHeight="false" outlineLevel="0" collapsed="false">
      <c r="C36" s="831" t="n">
        <v>1993</v>
      </c>
      <c r="D36" s="846" t="n">
        <v>0.0526370931910582</v>
      </c>
      <c r="E36" s="846" t="n">
        <f aca="false">F6+G6</f>
        <v>0.00677853852615936</v>
      </c>
      <c r="F36" s="846" t="n">
        <v>0.011642303700453</v>
      </c>
      <c r="G36" s="847" t="n">
        <f aca="false">Q6+L6</f>
        <v>0.0710579354176705</v>
      </c>
      <c r="H36" s="846"/>
      <c r="I36" s="846"/>
      <c r="J36" s="846" t="n">
        <v>0</v>
      </c>
      <c r="K36" s="847" t="n">
        <f aca="false">P6</f>
        <v>0</v>
      </c>
      <c r="L36" s="846"/>
      <c r="M36" s="847" t="n">
        <v>0.0710579354176705</v>
      </c>
      <c r="N36" s="846"/>
    </row>
    <row r="37" customFormat="false" ht="15.75" hidden="false" customHeight="false" outlineLevel="0" collapsed="false">
      <c r="C37" s="836" t="n">
        <v>1994</v>
      </c>
      <c r="D37" s="848" t="n">
        <v>0.0564644262203535</v>
      </c>
      <c r="E37" s="848" t="n">
        <f aca="false">F7+G7</f>
        <v>0.00792156687715747</v>
      </c>
      <c r="F37" s="848" t="n">
        <v>0.0107240840715422</v>
      </c>
      <c r="G37" s="849" t="n">
        <f aca="false">Q7+L7</f>
        <v>0.0751100771690532</v>
      </c>
      <c r="H37" s="848"/>
      <c r="I37" s="848"/>
      <c r="J37" s="848" t="n">
        <v>0.00171193703223306</v>
      </c>
      <c r="K37" s="849" t="n">
        <f aca="false">P7</f>
        <v>0.00171193703223306</v>
      </c>
      <c r="L37" s="848"/>
      <c r="M37" s="849" t="n">
        <v>0.0768220142012863</v>
      </c>
      <c r="N37" s="848"/>
    </row>
    <row r="38" customFormat="false" ht="15.75" hidden="false" customHeight="false" outlineLevel="0" collapsed="false">
      <c r="C38" s="836" t="n">
        <v>1995</v>
      </c>
      <c r="D38" s="846" t="n">
        <v>0.0536446703997522</v>
      </c>
      <c r="E38" s="846" t="n">
        <f aca="false">F8+G8</f>
        <v>0.00783051117961243</v>
      </c>
      <c r="F38" s="846" t="n">
        <v>0.00337186702375018</v>
      </c>
      <c r="G38" s="847" t="n">
        <f aca="false">Q8+L8</f>
        <v>0.0648470486031148</v>
      </c>
      <c r="H38" s="846"/>
      <c r="I38" s="846"/>
      <c r="J38" s="846" t="n">
        <v>0.00198401285923971</v>
      </c>
      <c r="K38" s="847" t="n">
        <f aca="false">P8</f>
        <v>0.00198401285923971</v>
      </c>
      <c r="L38" s="846"/>
      <c r="M38" s="847" t="n">
        <v>0.0668310614623545</v>
      </c>
      <c r="N38" s="846"/>
    </row>
    <row r="39" customFormat="false" ht="15.75" hidden="false" customHeight="false" outlineLevel="0" collapsed="false">
      <c r="C39" s="836" t="n">
        <v>1996</v>
      </c>
      <c r="D39" s="848" t="n">
        <v>0.0531622526632245</v>
      </c>
      <c r="E39" s="848" t="n">
        <f aca="false">F9+G9</f>
        <v>0.00719989842591952</v>
      </c>
      <c r="F39" s="848" t="n">
        <v>0.00600272468782676</v>
      </c>
      <c r="G39" s="849" t="n">
        <f aca="false">Q9+L9</f>
        <v>0.0663648757769708</v>
      </c>
      <c r="H39" s="848"/>
      <c r="I39" s="848"/>
      <c r="J39" s="848" t="n">
        <v>0.00197117400964931</v>
      </c>
      <c r="K39" s="849" t="n">
        <f aca="false">P9</f>
        <v>0.00197117400964931</v>
      </c>
      <c r="L39" s="848"/>
      <c r="M39" s="849" t="n">
        <v>0.0683360497866201</v>
      </c>
      <c r="N39" s="848"/>
    </row>
    <row r="40" customFormat="false" ht="15.75" hidden="false" customHeight="false" outlineLevel="0" collapsed="false">
      <c r="C40" s="836" t="n">
        <v>1997</v>
      </c>
      <c r="D40" s="846" t="n">
        <v>0.0500659666860674</v>
      </c>
      <c r="E40" s="846" t="n">
        <f aca="false">F10+G10</f>
        <v>0.00648697084685695</v>
      </c>
      <c r="F40" s="846" t="n">
        <v>0.00539903006587295</v>
      </c>
      <c r="G40" s="847" t="n">
        <f aca="false">Q10+L10</f>
        <v>0.0619519675987973</v>
      </c>
      <c r="H40" s="846"/>
      <c r="I40" s="846"/>
      <c r="J40" s="846" t="n">
        <v>0.00186608828792662</v>
      </c>
      <c r="K40" s="847" t="n">
        <f aca="false">P10</f>
        <v>0.00186608828792662</v>
      </c>
      <c r="L40" s="846"/>
      <c r="M40" s="847" t="n">
        <v>0.0638180558867239</v>
      </c>
      <c r="N40" s="846"/>
    </row>
    <row r="41" customFormat="false" ht="15.75" hidden="false" customHeight="false" outlineLevel="0" collapsed="false">
      <c r="C41" s="836" t="n">
        <v>1998</v>
      </c>
      <c r="D41" s="848" t="n">
        <v>0.0491903555478579</v>
      </c>
      <c r="E41" s="848" t="n">
        <f aca="false">F11+G11</f>
        <v>0.00742671082228877</v>
      </c>
      <c r="F41" s="848" t="n">
        <v>0.00477034993055969</v>
      </c>
      <c r="G41" s="849" t="n">
        <f aca="false">Q11+L11</f>
        <v>0.0613874163007064</v>
      </c>
      <c r="H41" s="848"/>
      <c r="I41" s="848"/>
      <c r="J41" s="848" t="n">
        <v>0.00177883711250943</v>
      </c>
      <c r="K41" s="849" t="n">
        <f aca="false">P11</f>
        <v>0.00177883711250943</v>
      </c>
      <c r="L41" s="848"/>
      <c r="M41" s="849" t="n">
        <v>0.0631662534132158</v>
      </c>
      <c r="N41" s="848"/>
    </row>
    <row r="42" customFormat="false" ht="15.75" hidden="false" customHeight="false" outlineLevel="0" collapsed="false">
      <c r="C42" s="836" t="n">
        <v>1999</v>
      </c>
      <c r="D42" s="846" t="n">
        <v>0.0517496903211291</v>
      </c>
      <c r="E42" s="846" t="n">
        <f aca="false">F12+G12</f>
        <v>0.00763255278039606</v>
      </c>
      <c r="F42" s="846" t="n">
        <v>0.00587322823822414</v>
      </c>
      <c r="G42" s="847" t="n">
        <f aca="false">Q12+L12</f>
        <v>0.0652554713397493</v>
      </c>
      <c r="H42" s="846"/>
      <c r="I42" s="846"/>
      <c r="J42" s="846" t="n">
        <v>0.00190807349849257</v>
      </c>
      <c r="K42" s="847" t="n">
        <f aca="false">P12</f>
        <v>0.00190807349849257</v>
      </c>
      <c r="L42" s="846"/>
      <c r="M42" s="847" t="n">
        <v>0.0671635448382419</v>
      </c>
      <c r="N42" s="846"/>
      <c r="AB42" s="850" t="n">
        <v>0.042</v>
      </c>
    </row>
    <row r="43" customFormat="false" ht="15.75" hidden="false" customHeight="false" outlineLevel="0" collapsed="false">
      <c r="C43" s="836" t="n">
        <v>2000</v>
      </c>
      <c r="D43" s="848" t="n">
        <v>0.0518501300658357</v>
      </c>
      <c r="E43" s="848" t="n">
        <f aca="false">F13+G13</f>
        <v>0.00683536853925572</v>
      </c>
      <c r="F43" s="848" t="n">
        <v>0.00613084017631838</v>
      </c>
      <c r="G43" s="849" t="n">
        <f aca="false">Q13+L13</f>
        <v>0.0648163387814097</v>
      </c>
      <c r="H43" s="848"/>
      <c r="I43" s="848"/>
      <c r="J43" s="848" t="n">
        <v>0.00235232403726366</v>
      </c>
      <c r="K43" s="849" t="n">
        <f aca="false">P13</f>
        <v>0.00235232403726366</v>
      </c>
      <c r="L43" s="848"/>
      <c r="M43" s="849" t="n">
        <v>0.0671686628186734</v>
      </c>
      <c r="N43" s="848"/>
    </row>
    <row r="44" customFormat="false" ht="15.75" hidden="false" customHeight="false" outlineLevel="0" collapsed="false">
      <c r="C44" s="836" t="n">
        <v>2001</v>
      </c>
      <c r="D44" s="846" t="n">
        <v>0.0525215308255347</v>
      </c>
      <c r="E44" s="846" t="n">
        <f aca="false">F14+G14</f>
        <v>0.00667012001939068</v>
      </c>
      <c r="F44" s="846" t="n">
        <v>0.00621669920590712</v>
      </c>
      <c r="G44" s="847" t="n">
        <f aca="false">Q14+L14</f>
        <v>0.0654083500508325</v>
      </c>
      <c r="H44" s="846"/>
      <c r="I44" s="846"/>
      <c r="J44" s="846" t="n">
        <v>0.00252454580040404</v>
      </c>
      <c r="K44" s="847" t="n">
        <f aca="false">P14</f>
        <v>0.00252454580040404</v>
      </c>
      <c r="L44" s="846"/>
      <c r="M44" s="847" t="n">
        <v>0.0679328958512366</v>
      </c>
      <c r="N44" s="846"/>
    </row>
    <row r="45" customFormat="false" ht="15.75" hidden="false" customHeight="false" outlineLevel="0" collapsed="false">
      <c r="C45" s="836" t="n">
        <v>2002</v>
      </c>
      <c r="D45" s="848" t="n">
        <v>0.0443421627477132</v>
      </c>
      <c r="E45" s="848" t="n">
        <f aca="false">F15+G15</f>
        <v>0.00555598081753331</v>
      </c>
      <c r="F45" s="848" t="n">
        <v>0.00678591755475529</v>
      </c>
      <c r="G45" s="849" t="n">
        <f aca="false">Q15+L15</f>
        <v>0.0566840611200018</v>
      </c>
      <c r="H45" s="848"/>
      <c r="I45" s="848"/>
      <c r="J45" s="848" t="n">
        <v>0.00191686270135462</v>
      </c>
      <c r="K45" s="849" t="n">
        <f aca="false">P15</f>
        <v>0.00191686270135462</v>
      </c>
      <c r="L45" s="848"/>
      <c r="M45" s="849" t="n">
        <v>0.0586009238213564</v>
      </c>
      <c r="N45" s="848"/>
    </row>
    <row r="46" customFormat="false" ht="15.75" hidden="false" customHeight="false" outlineLevel="0" collapsed="false">
      <c r="C46" s="836" t="n">
        <v>2003</v>
      </c>
      <c r="D46" s="846" t="n">
        <v>0.0414155099169041</v>
      </c>
      <c r="E46" s="846" t="n">
        <f aca="false">F16+G16</f>
        <v>0.0056618809736537</v>
      </c>
      <c r="F46" s="846" t="n">
        <v>0.00815617118660916</v>
      </c>
      <c r="G46" s="847" t="n">
        <f aca="false">Q16+L16</f>
        <v>0.055233562077167</v>
      </c>
      <c r="H46" s="846"/>
      <c r="I46" s="846"/>
      <c r="J46" s="846" t="n">
        <v>0.00182990573055766</v>
      </c>
      <c r="K46" s="847" t="n">
        <f aca="false">P16</f>
        <v>0.00182990573055766</v>
      </c>
      <c r="L46" s="846"/>
      <c r="M46" s="847" t="n">
        <v>0.0570634678077246</v>
      </c>
      <c r="N46" s="846"/>
    </row>
    <row r="47" customFormat="false" ht="15.75" hidden="false" customHeight="false" outlineLevel="0" collapsed="false">
      <c r="C47" s="836" t="n">
        <v>2004</v>
      </c>
      <c r="D47" s="848" t="n">
        <v>0.036705436096272</v>
      </c>
      <c r="E47" s="848" t="n">
        <f aca="false">F17+G17</f>
        <v>0.00456870494241582</v>
      </c>
      <c r="F47" s="848" t="n">
        <v>0.00601253522505087</v>
      </c>
      <c r="G47" s="849" t="n">
        <f aca="false">Q17+L17</f>
        <v>0.0487650948576088</v>
      </c>
      <c r="H47" s="848"/>
      <c r="I47" s="848"/>
      <c r="J47" s="848" t="n">
        <v>0.00229369584290455</v>
      </c>
      <c r="K47" s="849" t="n">
        <f aca="false">P17</f>
        <v>0.00229369584290455</v>
      </c>
      <c r="L47" s="848" t="n">
        <v>0.00147841859387012</v>
      </c>
      <c r="M47" s="849" t="n">
        <v>0.0510587907005133</v>
      </c>
      <c r="N47" s="848"/>
    </row>
    <row r="48" customFormat="false" ht="15.75" hidden="false" customHeight="false" outlineLevel="0" collapsed="false">
      <c r="C48" s="836" t="n">
        <v>2005</v>
      </c>
      <c r="D48" s="846" t="n">
        <v>0.0345505912680115</v>
      </c>
      <c r="E48" s="846" t="n">
        <f aca="false">F18+G18</f>
        <v>0.00446122948059548</v>
      </c>
      <c r="F48" s="846" t="n">
        <v>0.00717141324245858</v>
      </c>
      <c r="G48" s="847" t="n">
        <f aca="false">Q18+L18</f>
        <v>0.0475377276632682</v>
      </c>
      <c r="H48" s="846"/>
      <c r="I48" s="846"/>
      <c r="J48" s="846" t="n">
        <v>0.00228516213229058</v>
      </c>
      <c r="K48" s="847" t="n">
        <f aca="false">P18</f>
        <v>0.00228516213229058</v>
      </c>
      <c r="L48" s="846" t="n">
        <v>0.0013544936722026</v>
      </c>
      <c r="M48" s="847" t="n">
        <v>0.0498228897955588</v>
      </c>
      <c r="N48" s="846"/>
    </row>
    <row r="49" customFormat="false" ht="15.75" hidden="false" customHeight="false" outlineLevel="0" collapsed="false">
      <c r="C49" s="836" t="n">
        <v>2006</v>
      </c>
      <c r="D49" s="848" t="n">
        <v>0.0368418871162505</v>
      </c>
      <c r="E49" s="848" t="n">
        <f aca="false">F19+G19</f>
        <v>0.00432057379390792</v>
      </c>
      <c r="F49" s="848" t="n">
        <v>0.00645013061743081</v>
      </c>
      <c r="G49" s="849" t="n">
        <f aca="false">Q19+L19</f>
        <v>0.0490334901624953</v>
      </c>
      <c r="H49" s="848"/>
      <c r="I49" s="848"/>
      <c r="J49" s="848" t="n">
        <v>0.00278053471164374</v>
      </c>
      <c r="K49" s="849" t="n">
        <f aca="false">P19</f>
        <v>0.00278053471164374</v>
      </c>
      <c r="L49" s="848" t="n">
        <v>0.001420898634906</v>
      </c>
      <c r="M49" s="849" t="n">
        <v>0.051814024874139</v>
      </c>
      <c r="N49" s="848"/>
    </row>
    <row r="50" customFormat="false" ht="15.75" hidden="false" customHeight="false" outlineLevel="0" collapsed="false">
      <c r="C50" s="836" t="n">
        <v>2007</v>
      </c>
      <c r="D50" s="846" t="n">
        <v>0.0354897758968173</v>
      </c>
      <c r="E50" s="846" t="n">
        <f aca="false">F20+G20</f>
        <v>0.00429816358345837</v>
      </c>
      <c r="F50" s="846" t="n">
        <v>0.00559034382813241</v>
      </c>
      <c r="G50" s="847" t="n">
        <f aca="false">Q20+L20</f>
        <v>0.0471867313555775</v>
      </c>
      <c r="H50" s="846" t="n">
        <v>0.0134910799718077</v>
      </c>
      <c r="I50" s="846"/>
      <c r="J50" s="846" t="n">
        <v>0.00358001090421268</v>
      </c>
      <c r="K50" s="847" t="n">
        <f aca="false">P20</f>
        <v>0.0170710908760203</v>
      </c>
      <c r="L50" s="846" t="n">
        <v>0.0018084480471694</v>
      </c>
      <c r="M50" s="847" t="n">
        <v>0.0642578222315978</v>
      </c>
      <c r="N50" s="846"/>
      <c r="AB50" s="850" t="n">
        <v>0.061</v>
      </c>
    </row>
    <row r="51" customFormat="false" ht="15.75" hidden="false" customHeight="false" outlineLevel="0" collapsed="false">
      <c r="C51" s="836" t="n">
        <v>2008</v>
      </c>
      <c r="D51" s="848" t="n">
        <f aca="false">D21+E21</f>
        <v>0.0346565829269364</v>
      </c>
      <c r="E51" s="848" t="n">
        <f aca="false">F21+G21</f>
        <v>0.0046063679098509</v>
      </c>
      <c r="F51" s="848" t="n">
        <v>0.00717673059001263</v>
      </c>
      <c r="G51" s="849" t="n">
        <f aca="false">Q21+L21</f>
        <v>0.0481979687133716</v>
      </c>
      <c r="H51" s="848" t="n">
        <v>0.0148867850278702</v>
      </c>
      <c r="I51" s="848"/>
      <c r="J51" s="848" t="n">
        <v>0.00404947872095714</v>
      </c>
      <c r="K51" s="849" t="n">
        <f aca="false">P21</f>
        <v>0.0189362637488274</v>
      </c>
      <c r="L51" s="848" t="n">
        <v>0.00175828728657165</v>
      </c>
      <c r="M51" s="849" t="n">
        <v>0.067134232462199</v>
      </c>
      <c r="N51" s="848"/>
    </row>
    <row r="52" customFormat="false" ht="15.75" hidden="false" customHeight="false" outlineLevel="0" collapsed="false">
      <c r="C52" s="836" t="n">
        <v>2009</v>
      </c>
      <c r="D52" s="846" t="n">
        <f aca="false">D22+E22</f>
        <v>0.0404160517875556</v>
      </c>
      <c r="E52" s="846" t="n">
        <f aca="false">F22+G22</f>
        <v>0.00594124336168245</v>
      </c>
      <c r="F52" s="846" t="n">
        <v>0.0103548744113128</v>
      </c>
      <c r="G52" s="847" t="n">
        <f aca="false">Q22+L22</f>
        <v>0.0587535426843693</v>
      </c>
      <c r="H52" s="846" t="n">
        <v>0.0180752497040962</v>
      </c>
      <c r="I52" s="846"/>
      <c r="J52" s="846" t="n">
        <v>0.00547264569428922</v>
      </c>
      <c r="K52" s="847" t="n">
        <f aca="false">P22</f>
        <v>0.0235478953983854</v>
      </c>
      <c r="L52" s="846" t="n">
        <v>0.0020413731238185</v>
      </c>
      <c r="M52" s="847" t="n">
        <v>0.0823014380827548</v>
      </c>
      <c r="N52" s="846"/>
    </row>
    <row r="53" customFormat="false" ht="15.75" hidden="false" customHeight="false" outlineLevel="0" collapsed="false">
      <c r="C53" s="836" t="n">
        <v>2010</v>
      </c>
      <c r="D53" s="848" t="n">
        <f aca="false">D23+E23</f>
        <v>0.0363482605378615</v>
      </c>
      <c r="E53" s="848" t="n">
        <f aca="false">F23+G23</f>
        <v>0.00605896046173748</v>
      </c>
      <c r="F53" s="848" t="n">
        <v>0.00958589961771429</v>
      </c>
      <c r="G53" s="849" t="n">
        <f aca="false">Q23+L23</f>
        <v>0.0538972802520373</v>
      </c>
      <c r="H53" s="848" t="n">
        <v>0.0181156774901226</v>
      </c>
      <c r="I53" s="848" t="n">
        <v>0.0038152325556087</v>
      </c>
      <c r="J53" s="848" t="n">
        <v>0.00598011044710248</v>
      </c>
      <c r="K53" s="849" t="n">
        <f aca="false">P23</f>
        <v>0.0279110204928338</v>
      </c>
      <c r="L53" s="848" t="n">
        <v>0.00190415963472408</v>
      </c>
      <c r="M53" s="849" t="n">
        <v>0.0818083007448711</v>
      </c>
      <c r="N53" s="848"/>
    </row>
    <row r="54" customFormat="false" ht="15.75" hidden="false" customHeight="false" outlineLevel="0" collapsed="false">
      <c r="C54" s="836" t="n">
        <v>2011</v>
      </c>
      <c r="D54" s="846" t="n">
        <f aca="false">D24+E24</f>
        <v>0.0374718954409214</v>
      </c>
      <c r="E54" s="846" t="n">
        <f aca="false">F24+G24</f>
        <v>0.007448285756705</v>
      </c>
      <c r="F54" s="846" t="n">
        <v>0.00683288060749366</v>
      </c>
      <c r="G54" s="847" t="n">
        <f aca="false">Q24+L24</f>
        <v>0.0537599863227531</v>
      </c>
      <c r="H54" s="846" t="n">
        <v>0.0195517882092317</v>
      </c>
      <c r="I54" s="846" t="n">
        <v>0.00414711179740635</v>
      </c>
      <c r="J54" s="846" t="n">
        <v>0.00684311371349412</v>
      </c>
      <c r="K54" s="847" t="n">
        <f aca="false">P24</f>
        <v>0.0305420137201322</v>
      </c>
      <c r="L54" s="846" t="n">
        <v>0.00200692451763306</v>
      </c>
      <c r="M54" s="847" t="n">
        <v>0.0843020000428854</v>
      </c>
      <c r="N54" s="846"/>
    </row>
    <row r="55" customFormat="false" ht="15.75" hidden="false" customHeight="false" outlineLevel="0" collapsed="false">
      <c r="C55" s="836" t="n">
        <v>2012</v>
      </c>
      <c r="D55" s="848" t="n">
        <f aca="false">D25+E25</f>
        <v>0.0432445144444151</v>
      </c>
      <c r="E55" s="848" t="n">
        <f aca="false">F25+G25</f>
        <v>0.00657791095086671</v>
      </c>
      <c r="F55" s="848" t="n">
        <v>0.00572128711656348</v>
      </c>
      <c r="G55" s="849" t="n">
        <f aca="false">Q25+L25</f>
        <v>0.0578354826825427</v>
      </c>
      <c r="H55" s="848" t="n">
        <v>0.021948543125154</v>
      </c>
      <c r="I55" s="848" t="n">
        <v>0.00423386597236871</v>
      </c>
      <c r="J55" s="848" t="n">
        <v>0.00870717288407941</v>
      </c>
      <c r="K55" s="849" t="n">
        <f aca="false">P25</f>
        <v>0.0348895819816021</v>
      </c>
      <c r="L55" s="848" t="n">
        <v>0.00229177017069741</v>
      </c>
      <c r="M55" s="849" t="n">
        <v>0.0927250646641448</v>
      </c>
      <c r="N55" s="848"/>
    </row>
    <row r="56" customFormat="false" ht="15.75" hidden="false" customHeight="false" outlineLevel="0" collapsed="false">
      <c r="C56" s="836" t="n">
        <v>2013</v>
      </c>
      <c r="D56" s="846" t="n">
        <f aca="false">D26+E26</f>
        <v>0.0456546005086217</v>
      </c>
      <c r="E56" s="846" t="n">
        <f aca="false">F26+G26</f>
        <v>0.00725303890134632</v>
      </c>
      <c r="F56" s="846" t="n">
        <v>0.00599444085841293</v>
      </c>
      <c r="G56" s="847" t="n">
        <f aca="false">Q26+L26</f>
        <v>0.0612877002322927</v>
      </c>
      <c r="H56" s="846" t="n">
        <v>0.022607372880113</v>
      </c>
      <c r="I56" s="846" t="n">
        <v>0.004720231235733</v>
      </c>
      <c r="J56" s="846" t="n">
        <v>0.00947685069910942</v>
      </c>
      <c r="K56" s="847" t="n">
        <f aca="false">P26</f>
        <v>0.0368044548149555</v>
      </c>
      <c r="L56" s="846" t="n">
        <v>0.00238561996391175</v>
      </c>
      <c r="M56" s="847" t="n">
        <v>0.0980921550472481</v>
      </c>
      <c r="N56" s="846"/>
    </row>
    <row r="57" customFormat="false" ht="15.75" hidden="false" customHeight="false" outlineLevel="0" collapsed="false">
      <c r="C57" s="836" t="n">
        <v>2014</v>
      </c>
      <c r="D57" s="848" t="n">
        <f aca="false">D27+E27</f>
        <v>0.0445449382450544</v>
      </c>
      <c r="E57" s="848" t="n">
        <f aca="false">F27+G27</f>
        <v>0.0065773848338127</v>
      </c>
      <c r="F57" s="848" t="n">
        <v>0.00533065417293667</v>
      </c>
      <c r="G57" s="849" t="n">
        <f aca="false">Q27+L27</f>
        <v>0.0587801905239699</v>
      </c>
      <c r="H57" s="848" t="n">
        <v>0.0218161918284941</v>
      </c>
      <c r="I57" s="848" t="n">
        <v>0.00534449122060592</v>
      </c>
      <c r="J57" s="848" t="n">
        <v>0.00964518092523107</v>
      </c>
      <c r="K57" s="849" t="n">
        <f aca="false">P27</f>
        <v>0.0368058639743311</v>
      </c>
      <c r="L57" s="848" t="n">
        <v>0.0023272132721661</v>
      </c>
      <c r="M57" s="849" t="n">
        <v>0.095586054498301</v>
      </c>
      <c r="N57" s="848"/>
    </row>
    <row r="58" customFormat="false" ht="15.75" hidden="false" customHeight="false" outlineLevel="0" collapsed="false">
      <c r="C58" s="836" t="n">
        <f aca="false">C57+1</f>
        <v>2015</v>
      </c>
      <c r="D58" s="846" t="n">
        <f aca="false">D28+E28</f>
        <v>0.04713047217659</v>
      </c>
      <c r="E58" s="846" t="n">
        <f aca="false">F28+G28</f>
        <v>0.00618151891977691</v>
      </c>
      <c r="F58" s="846" t="n">
        <v>0.00476347459845601</v>
      </c>
      <c r="G58" s="847" t="n">
        <f aca="false">Q28+L28</f>
        <v>0.0606823527474555</v>
      </c>
      <c r="H58" s="846" t="n">
        <v>0.0273742506172789</v>
      </c>
      <c r="I58" s="846" t="n">
        <v>0.00686937577720967</v>
      </c>
      <c r="J58" s="846" t="n">
        <v>0.0104568666999862</v>
      </c>
      <c r="K58" s="847" t="n">
        <f aca="false">P28</f>
        <v>0.0447004930944747</v>
      </c>
      <c r="L58" s="846" t="n">
        <v>0.00260688705263258</v>
      </c>
      <c r="M58" s="847" t="n">
        <v>0.10538284584193</v>
      </c>
      <c r="N58" s="846"/>
    </row>
    <row r="59" customFormat="false" ht="15.75" hidden="false" customHeight="false" outlineLevel="0" collapsed="false">
      <c r="C59" s="836" t="n">
        <f aca="false">C58+1</f>
        <v>2016</v>
      </c>
      <c r="D59" s="848" t="n">
        <f aca="false">D29+E29</f>
        <v>0.0466940236504672</v>
      </c>
      <c r="E59" s="848" t="n">
        <f aca="false">F29+G29</f>
        <v>0.00579716049269089</v>
      </c>
      <c r="F59" s="848" t="n">
        <v>0.00911235022993784</v>
      </c>
      <c r="G59" s="849" t="n">
        <f aca="false">Q29+L29</f>
        <v>0.0642398432204977</v>
      </c>
      <c r="H59" s="848" t="n">
        <v>0.0283181233482025</v>
      </c>
      <c r="I59" s="848" t="n">
        <v>0.00723367838895608</v>
      </c>
      <c r="J59" s="848" t="n">
        <v>0.00971603562036079</v>
      </c>
      <c r="K59" s="849" t="n">
        <f aca="false">P29</f>
        <v>0.0452678373575194</v>
      </c>
      <c r="L59" s="848" t="n">
        <v>0.00263630884740172</v>
      </c>
      <c r="M59" s="849" t="n">
        <v>0.109507680578017</v>
      </c>
      <c r="N59" s="848" t="n">
        <v>0.000771083734631746</v>
      </c>
    </row>
    <row r="60" customFormat="false" ht="15.75" hidden="false" customHeight="false" outlineLevel="0" collapsed="false">
      <c r="C60" s="836" t="n">
        <f aca="false">C59+1</f>
        <v>2017</v>
      </c>
      <c r="D60" s="846" t="n">
        <f aca="false">D30+E30</f>
        <v>0.0471760116800452</v>
      </c>
      <c r="E60" s="846" t="n">
        <f aca="false">F30+G30</f>
        <v>0.00582600653667924</v>
      </c>
      <c r="F60" s="846" t="n">
        <v>0.00849992275679631</v>
      </c>
      <c r="G60" s="847" t="n">
        <f aca="false">Q30+L30</f>
        <v>0.0644727383052624</v>
      </c>
      <c r="H60" s="846" t="n">
        <v>0.0297439698167444</v>
      </c>
      <c r="I60" s="846" t="n">
        <v>0.00641370230372482</v>
      </c>
      <c r="J60" s="846" t="n">
        <v>0.00956831052276627</v>
      </c>
      <c r="K60" s="847" t="n">
        <f aca="false">P30</f>
        <v>0.0460050139969191</v>
      </c>
      <c r="L60" s="846" t="n">
        <v>0.00297079733174156</v>
      </c>
      <c r="M60" s="847" t="n">
        <v>0.110288718926531</v>
      </c>
      <c r="N60" s="846" t="n">
        <v>0.00390792092402231</v>
      </c>
    </row>
    <row r="61" customFormat="false" ht="15.75" hidden="false" customHeight="false" outlineLevel="0" collapsed="false">
      <c r="C61" s="836" t="n">
        <f aca="false">C60+1</f>
        <v>2018</v>
      </c>
      <c r="D61" s="848" t="n">
        <f aca="false">D31+E31</f>
        <v>0.0430998928158228</v>
      </c>
      <c r="E61" s="848" t="n">
        <f aca="false">F31+G31</f>
        <v>0.00502380178320648</v>
      </c>
      <c r="F61" s="848" t="n">
        <v>0.00870055087278953</v>
      </c>
      <c r="G61" s="849" t="n">
        <f aca="false">Q31+L31</f>
        <v>0.059641776523994</v>
      </c>
      <c r="H61" s="848" t="n">
        <v>0.0272200219840512</v>
      </c>
      <c r="I61" s="848" t="n">
        <v>0.00617151423494497</v>
      </c>
      <c r="J61" s="848" t="n">
        <v>0.00873233526506147</v>
      </c>
      <c r="K61" s="849" t="n">
        <f aca="false">P31</f>
        <v>0.0427134190992281</v>
      </c>
      <c r="L61" s="848" t="n">
        <v>0.00281753105217517</v>
      </c>
      <c r="M61" s="849" t="n">
        <v>0.103446496738635</v>
      </c>
      <c r="N61" s="848" t="n">
        <v>0.004</v>
      </c>
    </row>
    <row r="62" customFormat="false" ht="15" hidden="false" customHeight="false" outlineLevel="0" collapsed="false">
      <c r="K62" s="850"/>
    </row>
    <row r="64" customFormat="false" ht="15" hidden="false" customHeight="true" outlineLevel="0" collapsed="false">
      <c r="C64" s="584"/>
      <c r="D64" s="824" t="s">
        <v>790</v>
      </c>
      <c r="E64" s="824" t="s">
        <v>1088</v>
      </c>
      <c r="F64" s="824" t="s">
        <v>1089</v>
      </c>
      <c r="G64" s="825" t="s">
        <v>1141</v>
      </c>
      <c r="H64" s="584"/>
      <c r="I64" s="851" t="s">
        <v>1142</v>
      </c>
      <c r="J64" s="824" t="s">
        <v>1143</v>
      </c>
      <c r="K64" s="825" t="s">
        <v>1144</v>
      </c>
      <c r="L64" s="824"/>
    </row>
    <row r="65" customFormat="false" ht="15" hidden="false" customHeight="false" outlineLevel="0" collapsed="false">
      <c r="C65" s="584"/>
      <c r="D65" s="824"/>
      <c r="E65" s="824"/>
      <c r="F65" s="824"/>
      <c r="G65" s="825"/>
      <c r="H65" s="584"/>
      <c r="I65" s="851"/>
      <c r="J65" s="824"/>
      <c r="K65" s="825"/>
      <c r="L65" s="824"/>
    </row>
    <row r="66" customFormat="false" ht="15" hidden="false" customHeight="false" outlineLevel="0" collapsed="false">
      <c r="B66" s="850" t="n">
        <f aca="false">SUM(D66:G66)</f>
        <v>0.0706118661422067</v>
      </c>
      <c r="C66" s="829" t="n">
        <v>1993</v>
      </c>
      <c r="D66" s="830" t="n">
        <f aca="false">'Resultado ANSES por etapas'!B5</f>
        <v>0.045352832912549</v>
      </c>
      <c r="E66" s="830" t="n">
        <f aca="false">'Resultado ANSES por etapas'!C5</f>
        <v>0.0114261586914329</v>
      </c>
      <c r="F66" s="830" t="n">
        <f aca="false">'Resultado ANSES por etapas'!D5</f>
        <v>0.012477115671009</v>
      </c>
      <c r="G66" s="830" t="n">
        <f aca="false">'Resultado ANSES por etapas'!E5</f>
        <v>0.00135575886721573</v>
      </c>
      <c r="H66" s="829" t="n">
        <v>1993</v>
      </c>
      <c r="I66" s="830" t="n">
        <f aca="false">D66-G36</f>
        <v>-0.0257051025051215</v>
      </c>
      <c r="J66" s="830" t="n">
        <f aca="false">E66+F66+G66-K36</f>
        <v>0.0252590332296576</v>
      </c>
      <c r="K66" s="830" t="n">
        <f aca="false">I66+J66</f>
        <v>-0.000446069275463892</v>
      </c>
      <c r="L66" s="830"/>
    </row>
    <row r="67" customFormat="false" ht="15" hidden="false" customHeight="false" outlineLevel="0" collapsed="false">
      <c r="C67" s="829" t="n">
        <v>1994</v>
      </c>
      <c r="D67" s="835" t="n">
        <f aca="false">'Resultado ANSES por etapas'!B6</f>
        <v>0.0412406410701487</v>
      </c>
      <c r="E67" s="835" t="n">
        <f aca="false">'Resultado ANSES por etapas'!C6</f>
        <v>0.0120869185800861</v>
      </c>
      <c r="F67" s="835" t="n">
        <f aca="false">'Resultado ANSES por etapas'!D6</f>
        <v>0.0103138055803019</v>
      </c>
      <c r="G67" s="835" t="n">
        <f aca="false">'Resultado ANSES por etapas'!E6</f>
        <v>9.53195096879308E-005</v>
      </c>
      <c r="H67" s="829" t="n">
        <v>1994</v>
      </c>
      <c r="I67" s="835" t="n">
        <f aca="false">D67-G37</f>
        <v>-0.0338694360989045</v>
      </c>
      <c r="J67" s="835" t="n">
        <f aca="false">E67+F67+G67-K37</f>
        <v>0.0207841066378429</v>
      </c>
      <c r="K67" s="835" t="n">
        <f aca="false">I67+J67</f>
        <v>-0.0130853294610615</v>
      </c>
      <c r="L67" s="835"/>
    </row>
    <row r="68" customFormat="false" ht="15" hidden="false" customHeight="false" outlineLevel="0" collapsed="false">
      <c r="C68" s="829" t="n">
        <v>1995</v>
      </c>
      <c r="D68" s="830" t="n">
        <f aca="false">'Resultado ANSES por etapas'!B7</f>
        <v>0.0367162842262927</v>
      </c>
      <c r="E68" s="830" t="n">
        <f aca="false">'Resultado ANSES por etapas'!C7</f>
        <v>0.0121121840535182</v>
      </c>
      <c r="F68" s="830" t="n">
        <f aca="false">'Resultado ANSES por etapas'!D7</f>
        <v>0.011591546064283</v>
      </c>
      <c r="G68" s="830" t="n">
        <f aca="false">'Resultado ANSES por etapas'!E7</f>
        <v>3.16975206724679E-005</v>
      </c>
      <c r="H68" s="829" t="n">
        <v>1995</v>
      </c>
      <c r="I68" s="830" t="n">
        <f aca="false">D68-G38</f>
        <v>-0.0281307643768221</v>
      </c>
      <c r="J68" s="830" t="n">
        <f aca="false">E68+F68+G68-K38</f>
        <v>0.0217514147792339</v>
      </c>
      <c r="K68" s="830" t="n">
        <f aca="false">I68+J68</f>
        <v>-0.0063793495975882</v>
      </c>
      <c r="L68" s="830"/>
    </row>
    <row r="69" customFormat="false" ht="15" hidden="false" customHeight="false" outlineLevel="0" collapsed="false">
      <c r="C69" s="829" t="n">
        <v>1996</v>
      </c>
      <c r="D69" s="835" t="n">
        <f aca="false">'Resultado ANSES por etapas'!B8</f>
        <v>0.0363846758844649</v>
      </c>
      <c r="E69" s="835" t="n">
        <f aca="false">'Resultado ANSES por etapas'!C8</f>
        <v>0.0146741320077489</v>
      </c>
      <c r="F69" s="835" t="n">
        <f aca="false">'Resultado ANSES por etapas'!D8</f>
        <v>0.0118734138888744</v>
      </c>
      <c r="G69" s="835" t="n">
        <f aca="false">'Resultado ANSES por etapas'!E8</f>
        <v>0.000116523274740473</v>
      </c>
      <c r="H69" s="829" t="n">
        <v>1996</v>
      </c>
      <c r="I69" s="835" t="n">
        <f aca="false">D69-G39</f>
        <v>-0.0299801998925058</v>
      </c>
      <c r="J69" s="835" t="n">
        <f aca="false">E69+F69+G69-K39</f>
        <v>0.0246928951617144</v>
      </c>
      <c r="K69" s="835" t="n">
        <f aca="false">I69+J69</f>
        <v>-0.0052873047307914</v>
      </c>
      <c r="L69" s="835"/>
    </row>
    <row r="70" customFormat="false" ht="15" hidden="false" customHeight="false" outlineLevel="0" collapsed="false">
      <c r="C70" s="829" t="n">
        <v>1997</v>
      </c>
      <c r="D70" s="830" t="n">
        <f aca="false">'Resultado ANSES por etapas'!B9</f>
        <v>0.0281819888678765</v>
      </c>
      <c r="E70" s="830" t="n">
        <f aca="false">'Resultado ANSES por etapas'!C9</f>
        <v>0.0200853946887565</v>
      </c>
      <c r="F70" s="830" t="n">
        <f aca="false">'Resultado ANSES por etapas'!D9</f>
        <v>0.0122864231415156</v>
      </c>
      <c r="G70" s="830" t="n">
        <f aca="false">'Resultado ANSES por etapas'!E9</f>
        <v>0.000108303900462984</v>
      </c>
      <c r="H70" s="829" t="n">
        <v>1997</v>
      </c>
      <c r="I70" s="830" t="n">
        <f aca="false">D70-G40</f>
        <v>-0.0337699787309208</v>
      </c>
      <c r="J70" s="830" t="n">
        <f aca="false">E70+F70+G70-K40</f>
        <v>0.0306140334428085</v>
      </c>
      <c r="K70" s="830" t="n">
        <f aca="false">I70+J70</f>
        <v>-0.00315594528811224</v>
      </c>
      <c r="L70" s="830"/>
    </row>
    <row r="71" customFormat="false" ht="15" hidden="false" customHeight="false" outlineLevel="0" collapsed="false">
      <c r="C71" s="829" t="n">
        <v>1998</v>
      </c>
      <c r="D71" s="835" t="n">
        <f aca="false">'Resultado ANSES por etapas'!B10</f>
        <v>0.0264965219233464</v>
      </c>
      <c r="E71" s="835" t="n">
        <f aca="false">'Resultado ANSES por etapas'!C10</f>
        <v>0.0212578403477591</v>
      </c>
      <c r="F71" s="835" t="n">
        <f aca="false">'Resultado ANSES por etapas'!D10</f>
        <v>0.0127033327129764</v>
      </c>
      <c r="G71" s="835" t="n">
        <f aca="false">'Resultado ANSES por etapas'!E10</f>
        <v>4.84963051482054E-005</v>
      </c>
      <c r="H71" s="829" t="n">
        <v>1998</v>
      </c>
      <c r="I71" s="835" t="n">
        <f aca="false">D71-G41</f>
        <v>-0.0348908943773599</v>
      </c>
      <c r="J71" s="835" t="n">
        <f aca="false">E71+F71+G71-K41</f>
        <v>0.0322308322533743</v>
      </c>
      <c r="K71" s="835" t="n">
        <f aca="false">I71+J71</f>
        <v>-0.00266006212398561</v>
      </c>
      <c r="L71" s="835"/>
    </row>
    <row r="72" customFormat="false" ht="15" hidden="false" customHeight="false" outlineLevel="0" collapsed="false">
      <c r="C72" s="829" t="n">
        <v>1999</v>
      </c>
      <c r="D72" s="830" t="n">
        <f aca="false">'Resultado ANSES por etapas'!B11</f>
        <v>0.0249055646687138</v>
      </c>
      <c r="E72" s="830" t="n">
        <f aca="false">'Resultado ANSES por etapas'!C11</f>
        <v>0.0214303302315375</v>
      </c>
      <c r="F72" s="830" t="n">
        <f aca="false">'Resultado ANSES por etapas'!D11</f>
        <v>0.0130590610333592</v>
      </c>
      <c r="G72" s="830" t="n">
        <f aca="false">'Resultado ANSES por etapas'!E11</f>
        <v>8.90089000381151E-006</v>
      </c>
      <c r="H72" s="829" t="n">
        <v>1999</v>
      </c>
      <c r="I72" s="830" t="n">
        <f aca="false">D72-G42</f>
        <v>-0.0403499066710355</v>
      </c>
      <c r="J72" s="830" t="n">
        <f aca="false">E72+F72+G72-K42</f>
        <v>0.032590218656408</v>
      </c>
      <c r="K72" s="830" t="n">
        <f aca="false">I72+J72</f>
        <v>-0.00775968801462749</v>
      </c>
      <c r="L72" s="830"/>
    </row>
    <row r="73" customFormat="false" ht="15" hidden="false" customHeight="false" outlineLevel="0" collapsed="false">
      <c r="C73" s="829" t="n">
        <v>2000</v>
      </c>
      <c r="D73" s="835" t="n">
        <f aca="false">'Resultado ANSES por etapas'!B12</f>
        <v>0.0236198765665383</v>
      </c>
      <c r="E73" s="835" t="n">
        <f aca="false">'Resultado ANSES por etapas'!C12</f>
        <v>0.023556870770298</v>
      </c>
      <c r="F73" s="835" t="n">
        <f aca="false">'Resultado ANSES por etapas'!D12</f>
        <v>0.0132482904466693</v>
      </c>
      <c r="G73" s="835" t="n">
        <f aca="false">'Resultado ANSES por etapas'!E12</f>
        <v>5.08058139376392E-006</v>
      </c>
      <c r="H73" s="829" t="n">
        <v>2000</v>
      </c>
      <c r="I73" s="835" t="n">
        <f aca="false">D73-G43</f>
        <v>-0.0411964622148714</v>
      </c>
      <c r="J73" s="835" t="n">
        <f aca="false">E73+F73+G73-K43</f>
        <v>0.0344579177610974</v>
      </c>
      <c r="K73" s="835" t="n">
        <f aca="false">I73+J73</f>
        <v>-0.00673854445377407</v>
      </c>
      <c r="L73" s="835"/>
    </row>
    <row r="74" customFormat="false" ht="15" hidden="false" customHeight="false" outlineLevel="0" collapsed="false">
      <c r="C74" s="829" t="n">
        <v>2001</v>
      </c>
      <c r="D74" s="830" t="n">
        <f aca="false">'Resultado ANSES por etapas'!B13</f>
        <v>0.0238758696338049</v>
      </c>
      <c r="E74" s="830" t="n">
        <f aca="false">'Resultado ANSES por etapas'!C13</f>
        <v>0.0214457736331774</v>
      </c>
      <c r="F74" s="830" t="n">
        <f aca="false">'Resultado ANSES por etapas'!D13</f>
        <v>0.0124450443431941</v>
      </c>
      <c r="G74" s="830" t="n">
        <f aca="false">'Resultado ANSES por etapas'!E13</f>
        <v>1.27950379999639E-006</v>
      </c>
      <c r="H74" s="829" t="n">
        <v>2001</v>
      </c>
      <c r="I74" s="830" t="n">
        <f aca="false">D74-G44</f>
        <v>-0.0415324804170276</v>
      </c>
      <c r="J74" s="830" t="n">
        <f aca="false">E74+F74+G74-K44</f>
        <v>0.0313675516797674</v>
      </c>
      <c r="K74" s="830" t="n">
        <f aca="false">I74+J74</f>
        <v>-0.0101649287372602</v>
      </c>
      <c r="L74" s="830"/>
    </row>
    <row r="75" customFormat="false" ht="15" hidden="false" customHeight="false" outlineLevel="0" collapsed="false">
      <c r="C75" s="829" t="n">
        <v>2002</v>
      </c>
      <c r="D75" s="835" t="n">
        <f aca="false">'Resultado ANSES por etapas'!B14</f>
        <v>0.0204511996433966</v>
      </c>
      <c r="E75" s="835" t="n">
        <f aca="false">'Resultado ANSES por etapas'!C14</f>
        <v>0.0170555199717405</v>
      </c>
      <c r="F75" s="835" t="n">
        <f aca="false">'Resultado ANSES por etapas'!D14</f>
        <v>0.00963695804700716</v>
      </c>
      <c r="G75" s="835" t="n">
        <f aca="false">'Resultado ANSES por etapas'!E14</f>
        <v>1.71830895387883E-005</v>
      </c>
      <c r="H75" s="829" t="n">
        <v>2002</v>
      </c>
      <c r="I75" s="835" t="n">
        <f aca="false">D75-G45</f>
        <v>-0.0362328614766052</v>
      </c>
      <c r="J75" s="835" t="n">
        <f aca="false">E75+F75+G75-K45</f>
        <v>0.0247927984069318</v>
      </c>
      <c r="K75" s="835" t="n">
        <f aca="false">I75+J75</f>
        <v>-0.0114400630696734</v>
      </c>
      <c r="L75" s="835"/>
    </row>
    <row r="76" customFormat="false" ht="15" hidden="false" customHeight="false" outlineLevel="0" collapsed="false">
      <c r="C76" s="829" t="n">
        <v>2003</v>
      </c>
      <c r="D76" s="830" t="n">
        <f aca="false">'Resultado ANSES por etapas'!B15</f>
        <v>0.0204726739831029</v>
      </c>
      <c r="E76" s="830" t="n">
        <f aca="false">'Resultado ANSES por etapas'!C15</f>
        <v>0.0198553916144812</v>
      </c>
      <c r="F76" s="830" t="n">
        <f aca="false">'Resultado ANSES por etapas'!D15</f>
        <v>0.0118026727120887</v>
      </c>
      <c r="G76" s="830" t="n">
        <f aca="false">'Resultado ANSES por etapas'!E15</f>
        <v>5.45970901702129E-006</v>
      </c>
      <c r="H76" s="829" t="n">
        <v>2003</v>
      </c>
      <c r="I76" s="830" t="n">
        <f aca="false">D76-G46</f>
        <v>-0.0347608880940641</v>
      </c>
      <c r="J76" s="830" t="n">
        <f aca="false">E76+F76+G76-K46</f>
        <v>0.0298336183050293</v>
      </c>
      <c r="K76" s="830" t="n">
        <f aca="false">I76+J76</f>
        <v>-0.00492726978903478</v>
      </c>
      <c r="L76" s="830"/>
    </row>
    <row r="77" customFormat="false" ht="15" hidden="false" customHeight="false" outlineLevel="0" collapsed="false">
      <c r="C77" s="829" t="n">
        <v>2004</v>
      </c>
      <c r="D77" s="835" t="n">
        <f aca="false">'Resultado ANSES por etapas'!B16</f>
        <v>0.0198583830686151</v>
      </c>
      <c r="E77" s="835" t="n">
        <f aca="false">'Resultado ANSES por etapas'!C16</f>
        <v>0.0216742076161843</v>
      </c>
      <c r="F77" s="835" t="n">
        <f aca="false">'Resultado ANSES por etapas'!D16</f>
        <v>0.0133242836449752</v>
      </c>
      <c r="G77" s="835" t="n">
        <f aca="false">'Resultado ANSES por etapas'!E16</f>
        <v>2.30880969959205E-005</v>
      </c>
      <c r="H77" s="829" t="n">
        <v>2004</v>
      </c>
      <c r="I77" s="835" t="n">
        <f aca="false">D77-G47</f>
        <v>-0.0289067117889936</v>
      </c>
      <c r="J77" s="835" t="n">
        <f aca="false">E77+F77+G77-K47</f>
        <v>0.0327278835152509</v>
      </c>
      <c r="K77" s="835" t="n">
        <f aca="false">I77+J77</f>
        <v>0.00382117172625724</v>
      </c>
      <c r="L77" s="835"/>
    </row>
    <row r="78" customFormat="false" ht="15" hidden="false" customHeight="false" outlineLevel="0" collapsed="false">
      <c r="C78" s="829" t="n">
        <v>2005</v>
      </c>
      <c r="D78" s="830" t="n">
        <f aca="false">'Resultado ANSES por etapas'!B17</f>
        <v>0.0214249777603053</v>
      </c>
      <c r="E78" s="830" t="n">
        <f aca="false">'Resultado ANSES por etapas'!C17</f>
        <v>0.0219471405894574</v>
      </c>
      <c r="F78" s="830" t="n">
        <f aca="false">'Resultado ANSES por etapas'!D17</f>
        <v>0.0139618318212355</v>
      </c>
      <c r="G78" s="830" t="n">
        <f aca="false">'Resultado ANSES por etapas'!E17</f>
        <v>6.64758507150565E-005</v>
      </c>
      <c r="H78" s="829" t="n">
        <v>2005</v>
      </c>
      <c r="I78" s="830" t="n">
        <f aca="false">D78-G48</f>
        <v>-0.0261127499029629</v>
      </c>
      <c r="J78" s="830" t="n">
        <f aca="false">E78+F78+G78-K48</f>
        <v>0.0336902861291173</v>
      </c>
      <c r="K78" s="830" t="n">
        <f aca="false">I78+J78</f>
        <v>0.00757753622615441</v>
      </c>
      <c r="L78" s="830"/>
    </row>
    <row r="79" customFormat="false" ht="15" hidden="false" customHeight="false" outlineLevel="0" collapsed="false">
      <c r="C79" s="829" t="n">
        <v>2006</v>
      </c>
      <c r="D79" s="835" t="n">
        <f aca="false">'Resultado ANSES por etapas'!B18</f>
        <v>0.0252575877444441</v>
      </c>
      <c r="E79" s="835" t="n">
        <f aca="false">'Resultado ANSES por etapas'!C18</f>
        <v>0.0212196799431274</v>
      </c>
      <c r="F79" s="835" t="n">
        <f aca="false">'Resultado ANSES por etapas'!D18</f>
        <v>0.0141131235333867</v>
      </c>
      <c r="G79" s="835" t="n">
        <f aca="false">'Resultado ANSES por etapas'!E18</f>
        <v>0.000401428799431498</v>
      </c>
      <c r="H79" s="829" t="n">
        <v>2006</v>
      </c>
      <c r="I79" s="835" t="n">
        <f aca="false">D79-G49</f>
        <v>-0.0237759024180512</v>
      </c>
      <c r="J79" s="835" t="n">
        <f aca="false">E79+F79+G79-K49</f>
        <v>0.0329536975643019</v>
      </c>
      <c r="K79" s="835" t="n">
        <f aca="false">I79+J79</f>
        <v>0.0091777951462507</v>
      </c>
      <c r="L79" s="835"/>
    </row>
    <row r="80" customFormat="false" ht="15" hidden="false" customHeight="false" outlineLevel="0" collapsed="false">
      <c r="C80" s="829" t="n">
        <v>2007</v>
      </c>
      <c r="D80" s="830" t="n">
        <f aca="false">'Resultado ANSES por etapas'!B19</f>
        <v>0.0385047966381489</v>
      </c>
      <c r="E80" s="830" t="n">
        <f aca="false">'Resultado ANSES por etapas'!C19</f>
        <v>0.0209548679959935</v>
      </c>
      <c r="F80" s="830" t="n">
        <f aca="false">'Resultado ANSES por etapas'!D19</f>
        <v>0.0149068047295749</v>
      </c>
      <c r="G80" s="830" t="n">
        <f aca="false">'Resultado ANSES por etapas'!E19</f>
        <v>0.000737928817183578</v>
      </c>
      <c r="H80" s="829" t="n">
        <v>2007</v>
      </c>
      <c r="I80" s="830" t="n">
        <f aca="false">D80-G50</f>
        <v>-0.00868193471742861</v>
      </c>
      <c r="J80" s="830" t="n">
        <f aca="false">E80+F80+G80-K50</f>
        <v>0.0195285106667317</v>
      </c>
      <c r="K80" s="830" t="n">
        <f aca="false">I80+J80</f>
        <v>0.0108465759493031</v>
      </c>
      <c r="L80" s="830"/>
    </row>
    <row r="81" customFormat="false" ht="15" hidden="false" customHeight="false" outlineLevel="0" collapsed="false">
      <c r="C81" s="829" t="n">
        <v>2008</v>
      </c>
      <c r="D81" s="835" t="n">
        <f aca="false">'Resultado ANSES por etapas'!B20</f>
        <v>0.0368508016736982</v>
      </c>
      <c r="E81" s="835" t="n">
        <f aca="false">'Resultado ANSES por etapas'!C20</f>
        <v>0.0204392279016501</v>
      </c>
      <c r="F81" s="835" t="n">
        <f aca="false">'Resultado ANSES por etapas'!D20</f>
        <v>0.0145730376476074</v>
      </c>
      <c r="G81" s="835"/>
      <c r="H81" s="829" t="n">
        <v>2008</v>
      </c>
      <c r="I81" s="835" t="n">
        <f aca="false">D81-G51</f>
        <v>-0.0113471670396734</v>
      </c>
      <c r="J81" s="835" t="n">
        <f aca="false">E81+F81+G81-K51</f>
        <v>0.0160760018004302</v>
      </c>
      <c r="K81" s="835" t="n">
        <f aca="false">I81+J81</f>
        <v>0.00472883476075675</v>
      </c>
      <c r="L81" s="835"/>
    </row>
    <row r="82" customFormat="false" ht="15" hidden="false" customHeight="false" outlineLevel="0" collapsed="false">
      <c r="C82" s="829" t="n">
        <v>2009</v>
      </c>
      <c r="D82" s="830" t="n">
        <f aca="false">'Resultado ANSES por etapas'!B21</f>
        <v>0.0507701371819389</v>
      </c>
      <c r="E82" s="830" t="n">
        <f aca="false">'Resultado ANSES por etapas'!C21</f>
        <v>0.0203921181346288</v>
      </c>
      <c r="F82" s="830" t="n">
        <f aca="false">'Resultado ANSES por etapas'!D21</f>
        <v>0.0146173597980544</v>
      </c>
      <c r="G82" s="830"/>
      <c r="H82" s="829" t="n">
        <v>2009</v>
      </c>
      <c r="I82" s="830" t="n">
        <f aca="false">D82-G52</f>
        <v>-0.00798340550243044</v>
      </c>
      <c r="J82" s="830" t="n">
        <f aca="false">E82+F82+G82-K52</f>
        <v>0.0114615825342978</v>
      </c>
      <c r="K82" s="830" t="n">
        <f aca="false">I82+J82</f>
        <v>0.00347817703186733</v>
      </c>
      <c r="L82" s="830"/>
    </row>
    <row r="83" customFormat="false" ht="15" hidden="false" customHeight="false" outlineLevel="0" collapsed="false">
      <c r="C83" s="829" t="n">
        <v>2010</v>
      </c>
      <c r="D83" s="835" t="n">
        <f aca="false">'Resultado ANSES por etapas'!B22</f>
        <v>0.0504873115779599</v>
      </c>
      <c r="E83" s="835" t="n">
        <f aca="false">'Resultado ANSES por etapas'!C22</f>
        <v>0.0206407631065506</v>
      </c>
      <c r="F83" s="835" t="n">
        <f aca="false">'Resultado ANSES por etapas'!D22</f>
        <v>0.0147442218942046</v>
      </c>
      <c r="G83" s="835" t="n">
        <f aca="false">'Resultado ANSES por etapas'!F22</f>
        <v>4.78419683827532E-005</v>
      </c>
      <c r="H83" s="829" t="n">
        <v>2010</v>
      </c>
      <c r="I83" s="835" t="n">
        <f aca="false">D83-G53</f>
        <v>-0.00340996867407745</v>
      </c>
      <c r="J83" s="835" t="n">
        <f aca="false">E83+F83+G83-K53</f>
        <v>0.00752180647630411</v>
      </c>
      <c r="K83" s="835" t="n">
        <f aca="false">I83+J83</f>
        <v>0.00411183780222665</v>
      </c>
      <c r="L83" s="835"/>
    </row>
    <row r="84" customFormat="false" ht="15" hidden="false" customHeight="false" outlineLevel="0" collapsed="false">
      <c r="C84" s="829" t="n">
        <v>2011</v>
      </c>
      <c r="D84" s="830" t="n">
        <f aca="false">'Resultado ANSES por etapas'!B23</f>
        <v>0.051623947009386</v>
      </c>
      <c r="E84" s="830" t="n">
        <f aca="false">'Resultado ANSES por etapas'!C23</f>
        <v>0.0210555255476486</v>
      </c>
      <c r="F84" s="830" t="n">
        <f aca="false">'Resultado ANSES por etapas'!D23</f>
        <v>0.0148856065446608</v>
      </c>
      <c r="G84" s="830" t="n">
        <f aca="false">'Resultado ANSES por etapas'!F23</f>
        <v>0.00127650660654248</v>
      </c>
      <c r="H84" s="829" t="n">
        <v>2011</v>
      </c>
      <c r="I84" s="830" t="n">
        <f aca="false">D84-G54</f>
        <v>-0.00213603931336718</v>
      </c>
      <c r="J84" s="830" t="n">
        <f aca="false">E84+F84+G84-K54</f>
        <v>0.00667562497871973</v>
      </c>
      <c r="K84" s="830" t="n">
        <f aca="false">I84+J84</f>
        <v>0.00453958566535255</v>
      </c>
      <c r="L84" s="830"/>
    </row>
    <row r="85" customFormat="false" ht="15" hidden="false" customHeight="false" outlineLevel="0" collapsed="false">
      <c r="C85" s="829" t="n">
        <v>2012</v>
      </c>
      <c r="D85" s="835" t="n">
        <f aca="false">'Resultado ANSES por etapas'!B24</f>
        <v>0.055778278265298</v>
      </c>
      <c r="E85" s="835" t="n">
        <f aca="false">'Resultado ANSES por etapas'!C24</f>
        <v>0.0224400989125377</v>
      </c>
      <c r="F85" s="835" t="n">
        <f aca="false">'Resultado ANSES por etapas'!D24</f>
        <v>0.0155583049965991</v>
      </c>
      <c r="G85" s="835" t="n">
        <f aca="false">'Resultado ANSES por etapas'!F24</f>
        <v>0.000474495124682221</v>
      </c>
      <c r="H85" s="829" t="n">
        <v>2012</v>
      </c>
      <c r="I85" s="835" t="n">
        <f aca="false">D85-G55</f>
        <v>-0.00205720441724472</v>
      </c>
      <c r="J85" s="835" t="n">
        <f aca="false">E85+F85+G85-K55</f>
        <v>0.00358331705221695</v>
      </c>
      <c r="K85" s="835" t="n">
        <f aca="false">I85+J85</f>
        <v>0.00152611263497223</v>
      </c>
      <c r="L85" s="835"/>
    </row>
    <row r="86" customFormat="false" ht="15" hidden="false" customHeight="false" outlineLevel="0" collapsed="false">
      <c r="C86" s="829" t="n">
        <f aca="false">C85+1</f>
        <v>2013</v>
      </c>
      <c r="D86" s="830" t="n">
        <f aca="false">'Resultado ANSES por etapas'!B25</f>
        <v>0.0576719027752101</v>
      </c>
      <c r="E86" s="830" t="n">
        <f aca="false">'Resultado ANSES por etapas'!C25</f>
        <v>0.0223318530313047</v>
      </c>
      <c r="F86" s="830" t="n">
        <f aca="false">'Resultado ANSES por etapas'!D25</f>
        <v>0.0159148002617685</v>
      </c>
      <c r="G86" s="830" t="n">
        <f aca="false">'Resultado ANSES por etapas'!F25</f>
        <v>0.00122193042080368</v>
      </c>
      <c r="H86" s="829" t="n">
        <f aca="false">H85+1</f>
        <v>2013</v>
      </c>
      <c r="I86" s="830" t="n">
        <f aca="false">D86-G56</f>
        <v>-0.00361579745708259</v>
      </c>
      <c r="J86" s="830" t="n">
        <f aca="false">E86+F86+G86-K56</f>
        <v>0.00266412889892142</v>
      </c>
      <c r="K86" s="830" t="n">
        <f aca="false">I86+J86</f>
        <v>-0.000951668558161173</v>
      </c>
      <c r="L86" s="830"/>
    </row>
    <row r="87" customFormat="false" ht="15" hidden="false" customHeight="false" outlineLevel="0" collapsed="false">
      <c r="C87" s="829" t="n">
        <f aca="false">C86+1</f>
        <v>2014</v>
      </c>
      <c r="D87" s="835" t="n">
        <f aca="false">'Resultado ANSES por etapas'!B26</f>
        <v>0.0542098068652894</v>
      </c>
      <c r="E87" s="835" t="n">
        <f aca="false">'Resultado ANSES por etapas'!C26</f>
        <v>0.0225793750807335</v>
      </c>
      <c r="F87" s="835" t="n">
        <f aca="false">'Resultado ANSES por etapas'!D26</f>
        <v>0.015871302582137</v>
      </c>
      <c r="G87" s="835" t="n">
        <f aca="false">'Resultado ANSES por etapas'!F26</f>
        <v>0.0016327062141725</v>
      </c>
      <c r="H87" s="829" t="n">
        <f aca="false">H86+1</f>
        <v>2014</v>
      </c>
      <c r="I87" s="835" t="n">
        <f aca="false">D87-G57</f>
        <v>-0.00457038365868048</v>
      </c>
      <c r="J87" s="835" t="n">
        <f aca="false">E87+F87+G87-K57</f>
        <v>0.00327751990271201</v>
      </c>
      <c r="K87" s="835" t="n">
        <f aca="false">I87+J87</f>
        <v>-0.00129286375596847</v>
      </c>
      <c r="L87" s="835"/>
    </row>
    <row r="88" customFormat="false" ht="15" hidden="false" customHeight="false" outlineLevel="0" collapsed="false">
      <c r="C88" s="829" t="n">
        <f aca="false">C87+1</f>
        <v>2015</v>
      </c>
      <c r="D88" s="830" t="n">
        <f aca="false">'Resultado ANSES por etapas'!B27</f>
        <v>0.0564297158299164</v>
      </c>
      <c r="E88" s="830" t="n">
        <f aca="false">'Resultado ANSES por etapas'!C27</f>
        <v>0.0236426052651485</v>
      </c>
      <c r="F88" s="830" t="n">
        <f aca="false">'Resultado ANSES por etapas'!D27</f>
        <v>0.0160551081025211</v>
      </c>
      <c r="G88" s="830" t="n">
        <f aca="false">'Resultado ANSES por etapas'!F27</f>
        <v>0.00174808358257101</v>
      </c>
      <c r="H88" s="829" t="n">
        <f aca="false">H87+1</f>
        <v>2015</v>
      </c>
      <c r="I88" s="830" t="n">
        <f aca="false">D88-G58</f>
        <v>-0.00425263691753908</v>
      </c>
      <c r="J88" s="830" t="n">
        <f aca="false">E88+F88+G88-K58</f>
        <v>-0.00325469614423415</v>
      </c>
      <c r="K88" s="830" t="n">
        <f aca="false">I88+J88</f>
        <v>-0.00750733306177323</v>
      </c>
      <c r="L88" s="830"/>
    </row>
    <row r="89" customFormat="false" ht="15" hidden="false" customHeight="false" outlineLevel="0" collapsed="false">
      <c r="C89" s="829" t="n">
        <f aca="false">C88+1</f>
        <v>2016</v>
      </c>
      <c r="D89" s="835" t="n">
        <f aca="false">'Resultado ANSES por etapas'!B28</f>
        <v>0.0546875274954749</v>
      </c>
      <c r="E89" s="835" t="n">
        <f aca="false">'Resultado ANSES por etapas'!C28</f>
        <v>0.021229363568432</v>
      </c>
      <c r="F89" s="835" t="n">
        <f aca="false">'Resultado ANSES por etapas'!D28</f>
        <v>0.0115333980628038</v>
      </c>
      <c r="G89" s="835" t="n">
        <f aca="false">'Resultado ANSES por etapas'!F28</f>
        <v>0.00171059175545749</v>
      </c>
      <c r="H89" s="829" t="n">
        <f aca="false">H88+1</f>
        <v>2016</v>
      </c>
      <c r="I89" s="835" t="n">
        <f aca="false">D89-G59</f>
        <v>-0.00955231572502284</v>
      </c>
      <c r="J89" s="835" t="n">
        <f aca="false">E89+F89+G89-K59</f>
        <v>-0.0107944839708261</v>
      </c>
      <c r="K89" s="835" t="n">
        <f aca="false">I89+J89</f>
        <v>-0.0203467996958489</v>
      </c>
      <c r="L89" s="835"/>
    </row>
    <row r="90" customFormat="false" ht="15" hidden="false" customHeight="false" outlineLevel="0" collapsed="false">
      <c r="C90" s="829" t="n">
        <f aca="false">C89+1</f>
        <v>2017</v>
      </c>
      <c r="D90" s="830" t="n">
        <f aca="false">'Resultado ANSES por etapas'!B29</f>
        <v>0.055590096056665</v>
      </c>
      <c r="E90" s="830" t="n">
        <f aca="false">'Resultado ANSES por etapas'!C29</f>
        <v>0.0213651993139403</v>
      </c>
      <c r="F90" s="830" t="n">
        <f aca="false">'Resultado ANSES por etapas'!D29</f>
        <v>0.00831240027666563</v>
      </c>
      <c r="G90" s="830" t="n">
        <f aca="false">'Resultado ANSES por etapas'!F29</f>
        <v>0.00110535464672093</v>
      </c>
      <c r="H90" s="829" t="n">
        <f aca="false">H89+1</f>
        <v>2017</v>
      </c>
      <c r="I90" s="830" t="n">
        <f aca="false">D90-G60</f>
        <v>-0.00888264224859735</v>
      </c>
      <c r="J90" s="830" t="n">
        <f aca="false">E90+F90+G90-K60</f>
        <v>-0.0152220597595923</v>
      </c>
      <c r="K90" s="830" t="n">
        <f aca="false">I90+J90</f>
        <v>-0.0241047020081896</v>
      </c>
      <c r="L90" s="830"/>
    </row>
    <row r="91" customFormat="false" ht="15" hidden="false" customHeight="false" outlineLevel="0" collapsed="false">
      <c r="C91" s="829" t="n">
        <f aca="false">C90+1</f>
        <v>2018</v>
      </c>
      <c r="D91" s="835" t="n">
        <f aca="false">'Resultado ANSES por etapas'!B30</f>
        <v>0.0507048464919942</v>
      </c>
      <c r="E91" s="835" t="n">
        <f aca="false">'Resultado ANSES por etapas'!C30</f>
        <v>0.0267202526606726</v>
      </c>
      <c r="F91" s="835" t="n">
        <f aca="false">'Resultado ANSES por etapas'!D30</f>
        <v>0.00633564870628469</v>
      </c>
      <c r="G91" s="835" t="n">
        <f aca="false">'Resultado ANSES por etapas'!F30</f>
        <v>0.00032264996405818</v>
      </c>
      <c r="H91" s="829" t="n">
        <f aca="false">H90+1</f>
        <v>2018</v>
      </c>
      <c r="I91" s="835" t="n">
        <f aca="false">D91-G61</f>
        <v>-0.00893693003199979</v>
      </c>
      <c r="J91" s="835" t="n">
        <f aca="false">E91+F91+G91-K61</f>
        <v>-0.00933486776821268</v>
      </c>
      <c r="K91" s="835" t="n">
        <f aca="false">I91+J91</f>
        <v>-0.0182717978002125</v>
      </c>
      <c r="L91" s="835"/>
    </row>
  </sheetData>
  <mergeCells count="38">
    <mergeCell ref="C4:C5"/>
    <mergeCell ref="D4:D5"/>
    <mergeCell ref="E4:E5"/>
    <mergeCell ref="F4:F5"/>
    <mergeCell ref="G4:G5"/>
    <mergeCell ref="H4:H5"/>
    <mergeCell ref="I4:I5"/>
    <mergeCell ref="J4:J5"/>
    <mergeCell ref="K4:K5"/>
    <mergeCell ref="L4:L5"/>
    <mergeCell ref="M4:M5"/>
    <mergeCell ref="N4:N5"/>
    <mergeCell ref="O4:O5"/>
    <mergeCell ref="P4:P5"/>
    <mergeCell ref="Q4:Q5"/>
    <mergeCell ref="R4:R5"/>
    <mergeCell ref="C34:C35"/>
    <mergeCell ref="D34:D35"/>
    <mergeCell ref="E34:E35"/>
    <mergeCell ref="F34:F35"/>
    <mergeCell ref="G34:G35"/>
    <mergeCell ref="H34:H35"/>
    <mergeCell ref="I34:I35"/>
    <mergeCell ref="J34:J35"/>
    <mergeCell ref="K34:K35"/>
    <mergeCell ref="L34:L35"/>
    <mergeCell ref="M34:M35"/>
    <mergeCell ref="N34:N35"/>
    <mergeCell ref="C64:C65"/>
    <mergeCell ref="D64:D65"/>
    <mergeCell ref="E64:E65"/>
    <mergeCell ref="F64:F65"/>
    <mergeCell ref="G64:G65"/>
    <mergeCell ref="H64:H65"/>
    <mergeCell ref="I64:I65"/>
    <mergeCell ref="J64:J65"/>
    <mergeCell ref="K64:K65"/>
    <mergeCell ref="L64:L6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1685</TotalTime>
  <Application>LibreOffice/6.3.3.2$Windows_X86_64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2019-04-15T19:05:27Z</dcterms:created>
  <dc:creator>Windows User</dc:creator>
  <dc:description/>
  <dc:language>en-US</dc:language>
  <cp:lastModifiedBy>Leonardo Calcagno</cp:lastModifiedBy>
  <cp:lastPrinted>2019-09-11T15:44:50Z</cp:lastPrinted>
  <dcterms:modified xsi:type="dcterms:W3CDTF">2020-11-17T14:33:32Z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