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2" firstSheet="0" showHorizontalScroll="true" showSheetTabs="true" showVerticalScroll="true" tabRatio="534" windowHeight="8192" windowWidth="16384" xWindow="0" yWindow="0"/>
  </bookViews>
  <sheets>
    <sheet name="BALANCE GENERAL" sheetId="1" state="visible" r:id="rId2"/>
    <sheet name="RESUMEN Eventos" sheetId="2" state="visible" r:id="rId3"/>
    <sheet name="EVENTO 1" sheetId="3" state="visible" r:id="rId4"/>
    <sheet name="Ventas Sala Septiembre" sheetId="4" state="visible" r:id="rId5"/>
    <sheet name="Ventas Sala Octubre" sheetId="5" state="visible" r:id="rId6"/>
    <sheet name="Ventas Sala Noviembre" sheetId="6" state="visible" r:id="rId7"/>
    <sheet name="Ventas Sala Diciembre" sheetId="7" state="visible" r:id="rId8"/>
    <sheet name="Ventas Sala Enero" sheetId="8" state="visible" r:id="rId9"/>
    <sheet name="Ventas Sala Febrero" sheetId="9" state="visible" r:id="rId10"/>
    <sheet name="Ventas Sala Marzo" sheetId="10" state="visible" r:id="rId11"/>
    <sheet name="Ventas Sala Abril" sheetId="11" state="visible" r:id="rId12"/>
    <sheet name="Ventas Sala Mayo" sheetId="12" state="visible" r:id="rId13"/>
    <sheet name="Ventas Sala Junio" sheetId="13" state="visible" r:id="rId14"/>
    <sheet name="Ventas Sala Julio" sheetId="14" state="visible" r:id="rId15"/>
    <sheet name="Ventas Sala Agosto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<sst xmlns="http://schemas.openxmlformats.org/spreadsheetml/2006/main" count="1001" uniqueCount="164">
  <si>
    <t>INGRESOS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</si>
  <si>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</si>
  <si>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</si>
  <si>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</si>
  <si>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</si>
  <si>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</si>
  <si>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</si>
  <si>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</si>
  <si>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</si>
  <si>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</si>
  <si>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</si>
  <si>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</si>
  <si>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</si>
  <si>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TOTAL</t>
  </si>
  <si>
    <t>Venta en Sala de Lectura</t>
  </si>
  <si>
    <t>Eventos</t>
  </si>
  <si>
    <t>Otros Ingresos</t>
  </si>
  <si>
    <t>TOTAL INGRESOS</t>
  </si>
  <si>
    <t>EGRESOS</t>
  </si>
  <si>
    <t>Otros Egresos</t>
  </si>
  <si>
    <t>TOTAL OTROS EGRESOS</t>
  </si>
  <si>
    <t>BALANCE</t>
  </si>
  <si>
    <t>INGRESOS MENSUALES DE EVENTOS</t>
  </si>
  <si>
    <t>marzo</t>
  </si>
  <si>
    <t>abril</t>
  </si>
  <si>
    <t>Evento 1</t>
  </si>
  <si>
    <t>EGRESOS MENSUALES DE EVENTOS</t>
  </si>
  <si>
    <t>TOTAL  EGRESOS</t>
  </si>
  <si>
    <t>EVENTO</t>
  </si>
  <si>
    <t>ESTIMADO</t>
  </si>
  <si>
    <t>INSCRIPCIONES MARATONES LOCALES</t>
  </si>
  <si>
    <t>PATROCINIO FUNINDES MARATONES REGIONALES</t>
  </si>
  <si>
    <t>INSCRIPCIONES MARATONES REGIONALES</t>
  </si>
  <si>
    <t>VENTAS GURANDINGA</t>
  </si>
  <si>
    <t>INFOCARRERAS</t>
  </si>
  <si>
    <t>VENTA CAMISAS INFOCARRERAS</t>
  </si>
  <si>
    <t>PIE DEL PI DAY</t>
  </si>
  <si>
    <t>PREMIO 3ER LUGAR INFOCARRERAS</t>
  </si>
  <si>
    <t>EGRESOS GASTOS</t>
  </si>
  <si>
    <t>ACOGIDA COHORTE 2011 (DONAS)</t>
  </si>
  <si>
    <t>ACOGIDA COHORTE 2011 (PASTELITOS)</t>
  </si>
  <si>
    <t>CAMISAS MARATONES LOCALES</t>
  </si>
  <si>
    <t>PREMIOS MARATONES LOCALES</t>
  </si>
  <si>
    <t>PASTICHOS MARATONES LOCALES</t>
  </si>
  <si>
    <t>REFRESCOS MARATONES LOCALES</t>
  </si>
  <si>
    <t>MATERIALES VARIOS MARATONES LOCALES</t>
  </si>
  <si>
    <t>CAMISAS MARATONES REGIONALES</t>
  </si>
  <si>
    <t>PASAPALOS MARATONES REGIONALES</t>
  </si>
  <si>
    <t>IMPRESIONES</t>
  </si>
  <si>
    <t>INSCRIPCION EN GUARANDINGA</t>
  </si>
  <si>
    <t>MERCADO GUARANDINGA</t>
  </si>
  <si>
    <t>PAPELERIA INFOCARRERAS</t>
  </si>
  <si>
    <t>COMIDA INFOCARRERAS</t>
  </si>
  <si>
    <t>AGUAS INFOCARRERAS</t>
  </si>
  <si>
    <t>PREMIOS COMPUSHOW</t>
  </si>
  <si>
    <t>SPRAYS COMPUSHOW</t>
  </si>
  <si>
    <t>PAPEL BOND</t>
  </si>
  <si>
    <t>TELAS</t>
  </si>
  <si>
    <t>ANIMES</t>
  </si>
  <si>
    <t>PIZZAS INFOELECTIVAS</t>
  </si>
  <si>
    <t>REFRESCOS INFOELECTIVAS</t>
  </si>
  <si>
    <t>CARTULINAS</t>
  </si>
  <si>
    <t>BRAZALETES</t>
  </si>
  <si>
    <t>SONIDO COMPUSHOW</t>
  </si>
  <si>
    <t>OPERADOR LUCES COMPUSHOW</t>
  </si>
  <si>
    <t>REFRESCOS TARDE VIDEO JUEGOS</t>
  </si>
  <si>
    <t>CIERRE DE CAJA DIARIO - SEPTIEMBRE</t>
  </si>
  <si>
    <t>(CUANTO DINERO HAY EN CAJA AL FINAL DEL DÍA)</t>
  </si>
  <si>
    <t>CIERRE DE CAJA O CAJAS DIARIO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</si>
  <si>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</si>
  <si>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</si>
  <si>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</si>
  <si>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</si>
  <si>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</si>
  <si>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</si>
  <si>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</si>
  <si>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</si>
  <si>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</si>
  <si>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</si>
  <si>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</si>
  <si>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</si>
  <si>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</si>
  <si>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</si>
  <si>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</si>
  <si>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</si>
  <si>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</si>
  <si>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</si>
  <si>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</si>
  <si>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</si>
  <si>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</si>
  <si>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</si>
  <si>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</si>
  <si>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</si>
  <si>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</si>
  <si>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</si>
  <si>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</si>
  <si>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</si>
  <si>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</si>
  <si>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</si>
  <si>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Apertura de Caja</t>
  </si>
  <si>
    <t>Cierre de Caja</t>
  </si>
  <si>
    <t>BALANCE CAJA</t>
  </si>
  <si>
    <t>EGRESOS MENSUALES DE LA VENTA DE LA SALA</t>
  </si>
  <si>
    <t>(COMPRAS DE MERCANCIA)</t>
  </si>
  <si>
    <t>MERCADO</t>
  </si>
  <si>
    <t>PASTELITOS</t>
  </si>
  <si>
    <t>COPIAS</t>
  </si>
  <si>
    <t>DONAS</t>
  </si>
  <si>
    <t>BROWNIES</t>
  </si>
  <si>
    <t>TOTAL EGRESOS</t>
  </si>
  <si>
    <t>CIERRE DE CAJA DIARIO - OCTUBRE</t>
  </si>
  <si>
    <t>Sábado</t>
  </si>
  <si>
    <t>Domingo</t>
  </si>
  <si>
    <t>Lunes</t>
  </si>
  <si>
    <t>Viernes</t>
  </si>
  <si>
    <t>31</t>
  </si>
  <si>
    <t>ALFAJORES</t>
  </si>
  <si>
    <t>CAFE</t>
  </si>
  <si>
    <t>COMPRAS JORMANO</t>
  </si>
  <si>
    <t>CHUCHERIAS IMPORTADAS</t>
  </si>
  <si>
    <t>BEBIDAS MAKRO</t>
  </si>
  <si>
    <t>YOGURT</t>
  </si>
  <si>
    <t>PIZZA</t>
  </si>
  <si>
    <t>CIERRE DE CAJA DIARIO - NOVIEMBRE</t>
  </si>
  <si>
    <t>ROSQUITAS</t>
  </si>
  <si>
    <t>PONQUECITOS</t>
  </si>
  <si>
    <t>RECARGA TONNER</t>
  </si>
  <si>
    <t>CIERRE DE CAJA DIARIO - DICIEMBRE</t>
  </si>
  <si>
    <t>TOSTONES</t>
  </si>
  <si>
    <t>CIERRE DE CAJA DIARIO - ENERO</t>
  </si>
  <si>
    <t>SABADO</t>
  </si>
  <si>
    <t>DOMINGO</t>
  </si>
  <si>
    <t>Sabado</t>
  </si>
  <si>
    <t>MAKRO</t>
  </si>
  <si>
    <t>CROCANTIKAS</t>
  </si>
  <si>
    <t>REFRESCOS</t>
  </si>
  <si>
    <t>PANES</t>
  </si>
  <si>
    <t>COMPRA GALLETAS AARON</t>
  </si>
  <si>
    <t>LIBRO</t>
  </si>
  <si>
    <t>FOTOCOPIADORA</t>
  </si>
  <si>
    <t>CIERRE DE CAJA DIARIO - FEBRERO</t>
  </si>
  <si>
    <t>CARNAVAL</t>
  </si>
  <si>
    <t>CHOCOCHITAS</t>
  </si>
  <si>
    <t>CROCANTICAS</t>
  </si>
  <si>
    <t>GALLETAS</t>
  </si>
  <si>
    <t>SERVILLETAS</t>
  </si>
  <si>
    <t>TONNER</t>
  </si>
  <si>
    <t>CIERRE DE CAJA DIARIO - MARZO</t>
  </si>
  <si>
    <t>LIBRE</t>
  </si>
  <si>
    <t>SÁBADO</t>
  </si>
  <si>
    <t>COMPUSHOW</t>
  </si>
  <si>
    <t>SS</t>
  </si>
  <si>
    <t>RESMAS PAPEL</t>
  </si>
  <si>
    <t>CIERRE DE CAJA DIARIO - ABRIL</t>
  </si>
  <si>
    <t>Vacaciones</t>
  </si>
  <si>
    <t>BROWNIES CARLA</t>
  </si>
  <si>
    <t>BROWNIES ADRIANA</t>
  </si>
  <si>
    <t>VASOS</t>
  </si>
  <si>
    <t>PASTELES Y DONAS</t>
  </si>
  <si>
    <t>PIZZAS PASTELITOS Y DONAS</t>
  </si>
  <si>
    <t>CIERRE DE CAJA DIARIO - MAYO</t>
  </si>
  <si>
    <t>LIBROS</t>
  </si>
  <si>
    <t>CIERRE DE CAJA DIARIO - JUNIO</t>
  </si>
  <si>
    <t>CIERRE DE CAJA DIARIO - JULIO</t>
  </si>
</sst>
</file>

<file path=xl/styles.xml><?xml version="1.0" encoding="utf-8"?>
<styleSheet xmlns="http://schemas.openxmlformats.org/spreadsheetml/2006/main">
  <numFmts count="6">
    <numFmt formatCode="GENERAL" numFmtId="164"/>
    <numFmt formatCode="0" numFmtId="165"/>
    <numFmt formatCode="#,##0.00" numFmtId="166"/>
    <numFmt formatCode="MMMM;@" numFmtId="167"/>
    <numFmt formatCode="0.00" numFmtId="168"/>
    <numFmt formatCode="@" numFmtId="169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00"/>
      <sz val="8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8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1"/>
    </font>
    <font>
      <name val="Calibri"/>
      <charset val="1"/>
      <family val="2"/>
      <color rgb="00FFFFFF"/>
      <sz val="11"/>
    </font>
    <font>
      <name val="Arial"/>
      <charset val="1"/>
      <family val="2"/>
      <color rgb="00000000"/>
      <sz val="10"/>
    </font>
    <font>
      <name val="CALIBRI"/>
      <charset val="1"/>
      <family val="2"/>
      <color rgb="00000000"/>
      <sz val="8"/>
    </font>
    <font>
      <name val="Arial"/>
      <charset val="1"/>
      <family val="2"/>
      <color rgb="00000000"/>
      <sz val="8"/>
    </font>
    <font>
      <name val="CALIBRI"/>
      <charset val="1"/>
      <family val="2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00"/>
      <sz val="11"/>
    </font>
    <font>
      <name val="Arial"/>
      <charset val="1"/>
      <family val="2"/>
      <b val="true"/>
      <sz val="8"/>
    </font>
  </fonts>
  <fills count="8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969696"/>
        <bgColor rgb="00808080"/>
      </patternFill>
    </fill>
    <fill>
      <patternFill patternType="solid">
        <fgColor rgb="00339966"/>
        <bgColor rgb="00008080"/>
      </patternFill>
    </fill>
    <fill>
      <patternFill patternType="solid">
        <fgColor rgb="000066CC"/>
        <bgColor rgb="00008080"/>
      </patternFill>
    </fill>
    <fill>
      <patternFill patternType="solid">
        <fgColor rgb="0000CCFF"/>
        <bgColor rgb="0033CCCC"/>
      </patternFill>
    </fill>
    <fill>
      <patternFill patternType="solid">
        <fgColor rgb="00FFFFFF"/>
        <bgColor rgb="00FFFFCC"/>
      </patternFill>
    </fill>
  </fills>
  <borders count="14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</cellStyleXfs>
  <cellXfs count="8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2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2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2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20">
      <alignment horizontal="general" indent="0" shrinkToFit="false" textRotation="0" vertical="bottom" wrapText="true"/>
    </xf>
    <xf applyAlignment="true" applyBorder="true" applyFont="true" applyProtection="false" borderId="2" fillId="0" fontId="0" numFmtId="164" xfId="20">
      <alignment horizontal="general" indent="0" shrinkToFit="false" textRotation="0" vertical="bottom" wrapText="true"/>
    </xf>
    <xf applyAlignment="true" applyBorder="true" applyFont="true" applyProtection="false" borderId="3" fillId="0" fontId="5" numFmtId="165" xfId="20">
      <alignment horizontal="center" indent="0" shrinkToFit="false" textRotation="0" vertical="bottom" wrapText="false"/>
    </xf>
    <xf applyAlignment="true" applyBorder="true" applyFont="true" applyProtection="false" borderId="3" fillId="2" fontId="6" numFmtId="164" xfId="20">
      <alignment horizontal="right" indent="0" shrinkToFit="false" textRotation="0" vertical="center" wrapText="true"/>
    </xf>
    <xf applyAlignment="true" applyBorder="true" applyFont="true" applyProtection="false" borderId="3" fillId="2" fontId="7" numFmtId="164" xfId="20">
      <alignment horizontal="center" indent="0" shrinkToFit="false" textRotation="0" vertical="center" wrapText="true"/>
    </xf>
    <xf applyAlignment="true" applyBorder="true" applyFont="true" applyProtection="false" borderId="4" fillId="2" fontId="5" numFmtId="164" xfId="20">
      <alignment horizontal="right" indent="0" shrinkToFit="false" textRotation="0" vertical="center" wrapText="true"/>
    </xf>
    <xf applyAlignment="true" applyBorder="true" applyFont="true" applyProtection="false" borderId="3" fillId="0" fontId="5" numFmtId="166" xfId="20">
      <alignment horizontal="general" indent="0" shrinkToFit="false" textRotation="0" vertical="bottom" wrapText="false"/>
    </xf>
    <xf applyAlignment="true" applyBorder="true" applyFont="true" applyProtection="false" borderId="5" fillId="2" fontId="5" numFmtId="164" xfId="20">
      <alignment horizontal="right" indent="0" shrinkToFit="false" textRotation="0" vertical="center" wrapText="true"/>
    </xf>
    <xf applyAlignment="true" applyBorder="true" applyFont="true" applyProtection="false" borderId="6" fillId="2" fontId="5" numFmtId="164" xfId="20">
      <alignment horizontal="right" indent="0" shrinkToFit="false" textRotation="0" vertical="center" wrapText="true"/>
    </xf>
    <xf applyAlignment="true" applyBorder="true" applyFont="true" applyProtection="false" borderId="3" fillId="2" fontId="7" numFmtId="164" xfId="20">
      <alignment horizontal="right" indent="0" shrinkToFit="false" textRotation="0" vertical="center" wrapText="true"/>
    </xf>
    <xf applyAlignment="true" applyBorder="true" applyFont="true" applyProtection="false" borderId="3" fillId="2" fontId="7" numFmtId="166" xfId="20">
      <alignment horizontal="general" indent="0" shrinkToFit="false" textRotation="0" vertical="bottom" wrapText="false"/>
    </xf>
    <xf applyAlignment="true" applyBorder="true" applyFont="true" applyProtection="false" borderId="7" fillId="0" fontId="6" numFmtId="164" xfId="20">
      <alignment horizontal="general" indent="0" shrinkToFit="false" textRotation="0" vertical="center" wrapText="true"/>
    </xf>
    <xf applyAlignment="true" applyBorder="true" applyFont="true" applyProtection="false" borderId="7" fillId="0" fontId="0" numFmtId="164" xfId="20">
      <alignment horizontal="general" indent="0" shrinkToFit="false" textRotation="0" vertical="bottom" wrapText="true"/>
    </xf>
    <xf applyAlignment="true" applyBorder="true" applyFont="true" applyProtection="false" borderId="6" fillId="0" fontId="6" numFmtId="164" xfId="20">
      <alignment horizontal="right" indent="0" shrinkToFit="false" textRotation="0" vertical="center" wrapText="true"/>
    </xf>
    <xf applyAlignment="true" applyBorder="true" applyFont="true" applyProtection="false" borderId="8" fillId="0" fontId="0" numFmtId="164" xfId="20">
      <alignment horizontal="general" indent="0" shrinkToFit="false" textRotation="0" vertical="bottom" wrapText="true"/>
    </xf>
    <xf applyAlignment="true" applyBorder="true" applyFont="true" applyProtection="false" borderId="3" fillId="3" fontId="6" numFmtId="164" xfId="20">
      <alignment horizontal="center" indent="0" shrinkToFit="false" textRotation="0" vertical="center" wrapText="true"/>
    </xf>
    <xf applyAlignment="true" applyBorder="true" applyFont="true" applyProtection="false" borderId="3" fillId="3" fontId="7" numFmtId="164" xfId="20">
      <alignment horizontal="center" indent="0" shrinkToFit="false" textRotation="0" vertical="center" wrapText="true"/>
    </xf>
    <xf applyAlignment="true" applyBorder="true" applyFont="true" applyProtection="false" borderId="4" fillId="3" fontId="5" numFmtId="164" xfId="20">
      <alignment horizontal="right" indent="0" shrinkToFit="false" textRotation="0" vertical="center" wrapText="true"/>
    </xf>
    <xf applyAlignment="true" applyBorder="true" applyFont="true" applyProtection="false" borderId="9" fillId="0" fontId="5" numFmtId="166" xfId="20">
      <alignment horizontal="general" indent="0" shrinkToFit="false" textRotation="0" vertical="bottom" wrapText="false"/>
    </xf>
    <xf applyAlignment="true" applyBorder="true" applyFont="true" applyProtection="false" borderId="5" fillId="3" fontId="5" numFmtId="164" xfId="20">
      <alignment horizontal="right" indent="0" shrinkToFit="false" textRotation="0" vertical="center" wrapText="true"/>
    </xf>
    <xf applyAlignment="true" applyBorder="true" applyFont="false" applyProtection="false" borderId="9" fillId="0" fontId="0" numFmtId="164" xfId="20">
      <alignment horizontal="general" indent="0" shrinkToFit="false" textRotation="0" vertical="bottom" wrapText="false"/>
    </xf>
    <xf applyAlignment="true" applyBorder="true" applyFont="true" applyProtection="false" borderId="3" fillId="0" fontId="5" numFmtId="166" xfId="20">
      <alignment horizontal="right" indent="0" shrinkToFit="false" textRotation="0" vertical="bottom" wrapText="false"/>
    </xf>
    <xf applyAlignment="true" applyBorder="true" applyFont="true" applyProtection="false" borderId="6" fillId="3" fontId="5" numFmtId="164" xfId="20">
      <alignment horizontal="right" indent="0" shrinkToFit="false" textRotation="0" vertical="center" wrapText="true"/>
    </xf>
    <xf applyAlignment="true" applyBorder="true" applyFont="true" applyProtection="false" borderId="3" fillId="3" fontId="7" numFmtId="164" xfId="20">
      <alignment horizontal="right" indent="0" shrinkToFit="false" textRotation="0" vertical="center" wrapText="true"/>
    </xf>
    <xf applyAlignment="true" applyBorder="true" applyFont="true" applyProtection="false" borderId="3" fillId="3" fontId="7" numFmtId="166" xfId="20">
      <alignment horizontal="general" indent="0" shrinkToFit="false" textRotation="0" vertical="bottom" wrapText="false"/>
    </xf>
    <xf applyAlignment="true" applyBorder="true" applyFont="true" applyProtection="false" borderId="3" fillId="4" fontId="6" numFmtId="164" xfId="20">
      <alignment horizontal="right" indent="0" shrinkToFit="false" textRotation="0" vertical="center" wrapText="true"/>
    </xf>
    <xf applyAlignment="true" applyBorder="true" applyFont="true" applyProtection="false" borderId="3" fillId="4" fontId="8" numFmtId="166" xfId="20">
      <alignment horizontal="center" indent="0" shrinkToFit="false" textRotation="0" vertical="center" wrapText="false"/>
    </xf>
    <xf applyAlignment="true" applyBorder="false" applyFont="true" applyProtection="false" borderId="0" fillId="0" fontId="9" numFmtId="164" xfId="20">
      <alignment horizontal="general" indent="0" shrinkToFit="false" textRotation="0" vertical="center" wrapText="false"/>
    </xf>
    <xf applyAlignment="true" applyBorder="false" applyFont="true" applyProtection="false" borderId="0" fillId="0" fontId="10" numFmtId="164" xfId="20">
      <alignment horizontal="general" indent="0" shrinkToFit="false" textRotation="0" vertical="bottom" wrapText="false"/>
    </xf>
    <xf applyAlignment="true" applyBorder="false" applyFont="true" applyProtection="false" borderId="0" fillId="0" fontId="10" numFmtId="164" xfId="20">
      <alignment horizontal="general" indent="0" shrinkToFit="false" textRotation="0" vertical="center" wrapText="true"/>
    </xf>
    <xf applyAlignment="true" applyBorder="true" applyFont="true" applyProtection="false" borderId="1" fillId="0" fontId="10" numFmtId="164" xfId="20">
      <alignment horizontal="general" indent="0" shrinkToFit="false" textRotation="0" vertical="center" wrapText="true"/>
    </xf>
    <xf applyAlignment="true" applyBorder="true" applyFont="true" applyProtection="false" borderId="1" fillId="0" fontId="10" numFmtId="164" xfId="20">
      <alignment horizontal="general" indent="0" shrinkToFit="false" textRotation="0" vertical="bottom" wrapText="false"/>
    </xf>
    <xf applyAlignment="true" applyBorder="true" applyFont="true" applyProtection="false" borderId="3" fillId="5" fontId="4" numFmtId="164" xfId="20">
      <alignment horizontal="general" indent="0" shrinkToFit="false" textRotation="0" vertical="center" wrapText="true"/>
    </xf>
    <xf applyAlignment="true" applyBorder="true" applyFont="true" applyProtection="false" borderId="3" fillId="5" fontId="4" numFmtId="167" xfId="20">
      <alignment horizontal="center" indent="0" shrinkToFit="false" textRotation="0" vertical="center" wrapText="true"/>
    </xf>
    <xf applyAlignment="true" applyBorder="true" applyFont="true" applyProtection="false" borderId="3" fillId="5" fontId="4" numFmtId="164" xfId="20">
      <alignment horizontal="center" indent="0" shrinkToFit="false" textRotation="0" vertical="center" wrapText="true"/>
    </xf>
    <xf applyAlignment="true" applyBorder="true" applyFont="true" applyProtection="false" borderId="3" fillId="0" fontId="10" numFmtId="164" xfId="20">
      <alignment horizontal="general" indent="0" shrinkToFit="false" textRotation="0" vertical="bottom" wrapText="false"/>
    </xf>
    <xf applyAlignment="true" applyBorder="true" applyFont="true" applyProtection="false" borderId="3" fillId="0" fontId="10" numFmtId="164" xfId="20">
      <alignment horizontal="left" indent="0" shrinkToFit="false" textRotation="0" vertical="center" wrapText="true"/>
    </xf>
    <xf applyAlignment="true" applyBorder="true" applyFont="true" applyProtection="false" borderId="3" fillId="0" fontId="10" numFmtId="166" xfId="20">
      <alignment horizontal="general" indent="0" shrinkToFit="false" textRotation="0" vertical="center" wrapText="false"/>
    </xf>
    <xf applyAlignment="true" applyBorder="true" applyFont="true" applyProtection="false" borderId="3" fillId="0" fontId="4" numFmtId="166" xfId="20">
      <alignment horizontal="general" indent="0" shrinkToFit="false" textRotation="0" vertical="center" wrapText="false"/>
    </xf>
    <xf applyAlignment="true" applyBorder="true" applyFont="true" applyProtection="false" borderId="3" fillId="0" fontId="11" numFmtId="166" xfId="20">
      <alignment horizontal="general" indent="0" shrinkToFit="false" textRotation="0" vertical="center" wrapText="false"/>
    </xf>
    <xf applyAlignment="true" applyBorder="true" applyFont="true" applyProtection="false" borderId="3" fillId="6" fontId="4" numFmtId="164" xfId="20">
      <alignment horizontal="right" indent="0" shrinkToFit="false" textRotation="0" vertical="center" wrapText="true"/>
    </xf>
    <xf applyAlignment="true" applyBorder="true" applyFont="true" applyProtection="false" borderId="3" fillId="6" fontId="4" numFmtId="164" xfId="20">
      <alignment horizontal="left" indent="0" shrinkToFit="false" textRotation="0" vertical="center" wrapText="true"/>
    </xf>
    <xf applyAlignment="true" applyBorder="true" applyFont="true" applyProtection="false" borderId="3" fillId="6" fontId="4" numFmtId="166" xfId="20">
      <alignment horizontal="center" indent="0" shrinkToFit="false" textRotation="0" vertical="center" wrapText="false"/>
    </xf>
    <xf applyAlignment="true" applyBorder="true" applyFont="true" applyProtection="false" borderId="3" fillId="6" fontId="10" numFmtId="166" xfId="20">
      <alignment horizontal="general" indent="0" shrinkToFit="false" textRotation="0" vertical="center" wrapText="false"/>
    </xf>
    <xf applyAlignment="true" applyBorder="false" applyFont="true" applyProtection="false" borderId="0" fillId="0" fontId="12" numFmtId="164" xfId="20">
      <alignment horizontal="general" indent="0" shrinkToFit="false" textRotation="0" vertical="bottom" wrapText="false"/>
    </xf>
    <xf applyAlignment="true" applyBorder="false" applyFont="true" applyProtection="false" borderId="0" fillId="0" fontId="9" numFmtId="164" xfId="20">
      <alignment horizontal="general" indent="0" shrinkToFit="false" textRotation="0" vertical="center" wrapText="true"/>
    </xf>
    <xf applyAlignment="true" applyBorder="true" applyFont="true" applyProtection="false" borderId="10" fillId="0" fontId="12" numFmtId="164" xfId="20">
      <alignment horizontal="general" indent="0" shrinkToFit="false" textRotation="0" vertical="bottom" wrapText="true"/>
    </xf>
    <xf applyAlignment="true" applyBorder="true" applyFont="true" applyProtection="false" borderId="11" fillId="0" fontId="12" numFmtId="164" xfId="20">
      <alignment horizontal="general" indent="0" shrinkToFit="false" textRotation="0" vertical="bottom" wrapText="true"/>
    </xf>
    <xf applyAlignment="true" applyBorder="true" applyFont="true" applyProtection="false" borderId="7" fillId="0" fontId="12" numFmtId="164" xfId="20">
      <alignment horizontal="general" indent="0" shrinkToFit="false" textRotation="0" vertical="bottom" wrapText="true"/>
    </xf>
    <xf applyAlignment="true" applyBorder="true" applyFont="true" applyProtection="false" borderId="1" fillId="0" fontId="12" numFmtId="164" xfId="20">
      <alignment horizontal="general" indent="0" shrinkToFit="false" textRotation="0" vertical="bottom" wrapText="true"/>
    </xf>
    <xf applyAlignment="true" applyBorder="true" applyFont="true" applyProtection="false" borderId="12" fillId="0" fontId="12" numFmtId="164" xfId="20">
      <alignment horizontal="general" indent="0" shrinkToFit="false" textRotation="0" vertical="bottom" wrapText="true"/>
    </xf>
    <xf applyAlignment="true" applyBorder="false" applyFont="true" applyProtection="false" borderId="0" fillId="2" fontId="13" numFmtId="164" xfId="20">
      <alignment horizontal="right" indent="0" shrinkToFit="false" textRotation="0" vertical="bottom" wrapText="false"/>
    </xf>
    <xf applyAlignment="true" applyBorder="true" applyFont="true" applyProtection="false" borderId="9" fillId="0" fontId="12" numFmtId="164" xfId="20">
      <alignment horizontal="general" indent="0" shrinkToFit="false" textRotation="0" vertical="bottom" wrapText="false"/>
    </xf>
    <xf applyAlignment="true" applyBorder="false" applyFont="true" applyProtection="false" borderId="0" fillId="0" fontId="12" numFmtId="168" xfId="20">
      <alignment horizontal="general" indent="0" shrinkToFit="false" textRotation="0" vertical="bottom" wrapText="false"/>
    </xf>
    <xf applyAlignment="true" applyBorder="false" applyFont="true" applyProtection="false" borderId="0" fillId="2" fontId="14" numFmtId="164" xfId="20">
      <alignment horizontal="right" indent="0" shrinkToFit="false" textRotation="0" vertical="bottom" wrapText="false"/>
    </xf>
    <xf applyAlignment="true" applyBorder="true" applyFont="true" applyProtection="false" borderId="9" fillId="0" fontId="12" numFmtId="168" xfId="20">
      <alignment horizontal="general" indent="0" shrinkToFit="false" textRotation="0" vertical="bottom" wrapText="false"/>
    </xf>
    <xf applyAlignment="true" applyBorder="true" applyFont="true" applyProtection="false" borderId="3" fillId="0" fontId="5" numFmtId="168" xfId="20">
      <alignment horizontal="general" indent="0" shrinkToFit="false" textRotation="0" vertical="bottom" wrapText="false"/>
    </xf>
    <xf applyAlignment="true" applyBorder="true" applyFont="true" applyProtection="false" borderId="12" fillId="0" fontId="6" numFmtId="164" xfId="20">
      <alignment horizontal="general" indent="0" shrinkToFit="false" textRotation="0" vertical="center" wrapText="true"/>
    </xf>
    <xf applyAlignment="true" applyBorder="true" applyFont="true" applyProtection="false" borderId="3" fillId="3" fontId="6" numFmtId="164" xfId="20">
      <alignment horizontal="left" indent="0" shrinkToFit="false" textRotation="0" vertical="center" wrapText="true"/>
    </xf>
    <xf applyAlignment="true" applyBorder="true" applyFont="true" applyProtection="false" borderId="3" fillId="3" fontId="5" numFmtId="164" xfId="20">
      <alignment horizontal="right" indent="0" shrinkToFit="false" textRotation="0" vertical="center" wrapText="true"/>
    </xf>
    <xf applyAlignment="true" applyBorder="true" applyFont="true" applyProtection="false" borderId="3" fillId="3" fontId="6" numFmtId="164" xfId="20">
      <alignment horizontal="right" indent="0" shrinkToFit="false" textRotation="0" vertical="center" wrapText="true"/>
    </xf>
    <xf applyAlignment="true" applyBorder="true" applyFont="true" applyProtection="false" borderId="3" fillId="5" fontId="4" numFmtId="169" xfId="20">
      <alignment horizontal="center" indent="0" shrinkToFit="false" textRotation="0" vertical="center" wrapText="true"/>
    </xf>
    <xf applyAlignment="true" applyBorder="true" applyFont="true" applyProtection="false" borderId="3" fillId="7" fontId="10" numFmtId="166" xfId="20">
      <alignment horizontal="general" indent="0" shrinkToFit="false" textRotation="0" vertical="center" wrapText="false"/>
    </xf>
    <xf applyAlignment="true" applyBorder="true" applyFont="true" applyProtection="false" borderId="9" fillId="0" fontId="15" numFmtId="164" xfId="20">
      <alignment horizontal="general" indent="0" shrinkToFit="false" textRotation="0" vertical="bottom" wrapText="false"/>
    </xf>
    <xf applyAlignment="true" applyBorder="true" applyFont="true" applyProtection="false" borderId="9" fillId="6" fontId="16" numFmtId="166" xfId="20">
      <alignment horizontal="center" indent="0" shrinkToFit="false" textRotation="0" vertical="center" wrapText="false"/>
    </xf>
    <xf applyAlignment="true" applyBorder="true" applyFont="true" applyProtection="false" borderId="13" fillId="0" fontId="0" numFmtId="164" xfId="20">
      <alignment horizontal="general" indent="0" shrinkToFit="false" textRotation="0" vertical="bottom" wrapText="true"/>
    </xf>
    <xf applyAlignment="true" applyBorder="true" applyFont="true" applyProtection="false" borderId="10" fillId="0" fontId="0" numFmtId="164" xfId="20">
      <alignment horizontal="general" indent="0" shrinkToFit="false" textRotation="0" vertical="bottom" wrapText="true"/>
    </xf>
    <xf applyAlignment="true" applyBorder="true" applyFont="true" applyProtection="false" borderId="4" fillId="5" fontId="4" numFmtId="164" xfId="20">
      <alignment horizontal="general" indent="0" shrinkToFit="false" textRotation="0" vertical="center" wrapText="true"/>
    </xf>
    <xf applyAlignment="true" applyBorder="true" applyFont="true" applyProtection="false" borderId="13" fillId="0" fontId="10" numFmtId="166" xfId="20">
      <alignment horizontal="general" indent="0" shrinkToFit="false" textRotation="0" vertical="bottom" wrapText="false"/>
    </xf>
    <xf applyAlignment="true" applyBorder="true" applyFont="true" applyProtection="false" borderId="3" fillId="7" fontId="10" numFmtId="164" xfId="20">
      <alignment horizontal="general" indent="0" shrinkToFit="false" textRotation="0" vertical="bottom" wrapText="false"/>
    </xf>
    <xf applyAlignment="true" applyBorder="true" applyFont="true" applyProtection="false" borderId="3" fillId="7" fontId="10" numFmtId="164" xfId="20">
      <alignment horizontal="left" indent="0" shrinkToFit="false" textRotation="0" vertical="center" wrapText="true"/>
    </xf>
    <xf applyAlignment="true" applyBorder="true" applyFont="true" applyProtection="false" borderId="3" fillId="0" fontId="17" numFmtId="164" xfId="20">
      <alignment horizontal="left" indent="0" shrinkToFit="false" textRotation="0" vertical="center" wrapText="true"/>
    </xf>
    <xf applyAlignment="true" applyBorder="true" applyFont="true" applyProtection="false" borderId="3" fillId="0" fontId="17" numFmtId="166" xfId="20">
      <alignment horizontal="general" indent="0" shrinkToFit="false" textRotation="0" vertical="center" wrapText="false"/>
    </xf>
    <xf applyAlignment="true" applyBorder="false" applyFont="true" applyProtection="false" borderId="0" fillId="0" fontId="15" numFmtId="164" xfId="20">
      <alignment horizontal="general" indent="0" shrinkToFit="false" textRotation="0" vertical="bottom" wrapText="false"/>
    </xf>
    <xf applyAlignment="true" applyBorder="true" applyFont="true" applyProtection="false" borderId="1" fillId="0" fontId="4" numFmtId="164" xfId="20">
      <alignment horizontal="general" indent="0" shrinkToFit="false" textRotation="0" vertical="bottom" wrapText="false"/>
    </xf>
    <xf applyAlignment="true" applyBorder="true" applyFont="true" applyProtection="false" borderId="1" fillId="0" fontId="0" numFmtId="164" xfId="20">
      <alignment horizontal="center" indent="0" shrinkToFit="false" textRotation="0" vertical="bottom" wrapText="true"/>
    </xf>
    <xf applyAlignment="true" applyBorder="true" applyFont="true" applyProtection="false" borderId="1" fillId="0" fontId="10" numFmtId="164" xfId="20">
      <alignment horizontal="center" indent="0" shrinkToFit="false" textRotation="0" vertical="center" wrapText="true"/>
    </xf>
    <xf applyAlignment="true" applyBorder="true" applyFont="true" applyProtection="false" borderId="1" fillId="0" fontId="10" numFmtId="164" xfId="2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2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20">
      <alignment horizontal="center" indent="0" shrinkToFit="false" textRotation="0" vertical="bottom" wrapText="false"/>
    </xf>
    <xf applyAlignment="true" applyBorder="true" applyFont="true" applyProtection="false" borderId="7" fillId="0" fontId="18" numFmtId="164" xfId="20">
      <alignment horizontal="center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colorId="64" defaultGridColor="true" rightToLeft="false" showFormulas="false" showGridLines="true" showOutlineSymbols="true" showRowColHeaders="true" showZeros="true" tabSelected="false" topLeftCell="K18" view="normal" windowProtection="false" workbookViewId="0" zoomScale="100" zoomScaleNormal="100" zoomScalePageLayoutView="100">
      <selection activeCell="N46" activeCellId="0" pane="topLeft" sqref="N46"/>
    </sheetView>
  </sheetViews>
  <cols>
    <col collapsed="false" hidden="false" max="1" min="1" style="1" width="39.5960784313725"/>
    <col collapsed="false" hidden="false" max="2" min="2" style="1" width="32.043137254902"/>
    <col collapsed="false" hidden="false" max="3" min="3" style="1" width="31.6274509803922"/>
    <col collapsed="false" hidden="false" max="4" min="4" style="1" width="29.4313725490196"/>
    <col collapsed="false" hidden="false" max="5" min="5" style="1" width="32.4235294117647"/>
    <col collapsed="false" hidden="false" max="6" min="6" style="1" width="31.321568627451"/>
    <col collapsed="false" hidden="false" max="11" min="7" style="1" width="25.6235294117647"/>
    <col collapsed="false" hidden="false" max="12" min="12" style="1" width="33.9058823529412"/>
    <col collapsed="false" hidden="false" max="13" min="13" style="1" width="25.6235294117647"/>
    <col collapsed="false" hidden="false" max="14" min="14" style="1" width="31.321568627451"/>
    <col collapsed="false" hidden="false" max="257" min="15" style="1" width="24.1490196078431"/>
  </cols>
  <sheetData>
    <row collapsed="false" customFormat="false" customHeight="false" hidden="false" ht="12.8" outlineLevel="0" r="1">
      <c r="A1" s="2"/>
    </row>
    <row collapsed="false" customFormat="false" customHeight="true" hidden="false" ht="15" outlineLevel="0" r="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collapsed="false" customFormat="false" customHeight="false" hidden="false" ht="12.8" outlineLevel="0" r="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collapsed="false" customFormat="false" customHeight="false" hidden="false" ht="15.65" outlineLevel="0" r="6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</row>
    <row collapsed="false" customFormat="false" customHeight="false" hidden="false" ht="12.8" outlineLevel="0" r="7">
      <c r="A7" s="9" t="s">
        <v>14</v>
      </c>
      <c r="B7" s="10" t="n">
        <f aca="false">'Ventas Sala Septiembre'!AG7</f>
        <v>12389.7</v>
      </c>
      <c r="C7" s="10" t="n">
        <f aca="false">'Ventas Sala Octubre'!AH7</f>
        <v>35216.078</v>
      </c>
      <c r="D7" s="10" t="n">
        <f aca="false">'Ventas Sala Noviembre'!AG7</f>
        <v>37689.25</v>
      </c>
      <c r="E7" s="10" t="n">
        <f aca="false">'Ventas Sala Diciembre'!AH7</f>
        <v>5256.97</v>
      </c>
      <c r="F7" s="10" t="n">
        <f aca="false">'Ventas Sala Enero'!AH7</f>
        <v>26976.71</v>
      </c>
      <c r="G7" s="10" t="n">
        <f aca="false">'Ventas Sala Febrero'!AF7</f>
        <v>27983.4</v>
      </c>
      <c r="H7" s="10" t="n">
        <f aca="false">'Ventas Sala Marzo'!AH7</f>
        <v>17153.445</v>
      </c>
      <c r="I7" s="10" t="n">
        <f aca="false">'Ventas Sala Abril'!AG7</f>
        <v>13104.41</v>
      </c>
      <c r="J7" s="10" t="n">
        <f aca="false">'Ventas Sala Mayo'!AH7</f>
        <v>870.1</v>
      </c>
      <c r="K7" s="10" t="n">
        <f aca="false">'Ventas Sala Junio'!AG7</f>
        <v>-849.67</v>
      </c>
      <c r="L7" s="10" t="n">
        <f aca="false">'Ventas Sala Julio'!AH7</f>
        <v>0</v>
      </c>
      <c r="M7" s="10" t="n">
        <f aca="false">'Ventas Sala Agosto'!AH7</f>
        <v>0</v>
      </c>
      <c r="N7" s="10" t="n">
        <f aca="false">SUM(B7:M7)</f>
        <v>175790.393</v>
      </c>
    </row>
    <row collapsed="false" customFormat="false" customHeight="true" hidden="false" ht="12.75" outlineLevel="0" r="8">
      <c r="A8" s="11" t="s">
        <v>15</v>
      </c>
      <c r="B8" s="10" t="n">
        <f aca="false">'RESUMEN Eventos'!C31</f>
        <v>0</v>
      </c>
      <c r="C8" s="10" t="n">
        <f aca="false">'RESUMEN Eventos'!D31</f>
        <v>0</v>
      </c>
      <c r="D8" s="10" t="n">
        <f aca="false">'RESUMEN Eventos'!E31</f>
        <v>16100</v>
      </c>
      <c r="E8" s="10" t="n">
        <f aca="false">'RESUMEN Eventos'!F31</f>
        <v>0</v>
      </c>
      <c r="F8" s="10" t="n">
        <f aca="false">'RESUMEN Eventos'!G31</f>
        <v>2200</v>
      </c>
      <c r="G8" s="10" t="n">
        <f aca="false">'RESUMEN Eventos'!H31</f>
        <v>0</v>
      </c>
      <c r="H8" s="10" t="n">
        <f aca="false">'RESUMEN Eventos'!I31</f>
        <v>2304.2</v>
      </c>
      <c r="I8" s="10" t="n">
        <f aca="false">'RESUMEN Eventos'!J31</f>
        <v>0</v>
      </c>
      <c r="J8" s="10" t="n">
        <f aca="false">'RESUMEN Eventos'!K31</f>
        <v>0</v>
      </c>
      <c r="K8" s="10" t="n">
        <f aca="false">'RESUMEN Eventos'!L31</f>
        <v>0</v>
      </c>
      <c r="L8" s="10" t="n">
        <f aca="false">'RESUMEN Eventos'!M31</f>
        <v>0</v>
      </c>
      <c r="M8" s="10" t="n">
        <f aca="false">'RESUMEN Eventos'!N31</f>
        <v>0</v>
      </c>
      <c r="N8" s="10" t="n">
        <f aca="false">SUM(B8:M8)</f>
        <v>20604.2</v>
      </c>
    </row>
    <row collapsed="false" customFormat="false" customHeight="false" hidden="false" ht="12.8" outlineLevel="0" r="9">
      <c r="A9" s="11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 t="n">
        <v>5700</v>
      </c>
      <c r="M9" s="10" t="n">
        <v>6550</v>
      </c>
      <c r="N9" s="10" t="n">
        <f aca="false">SUM(B9:M9)</f>
        <v>12250</v>
      </c>
    </row>
    <row collapsed="false" customFormat="false" customHeight="true" hidden="false" ht="12.75" outlineLevel="0" r="10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 t="n">
        <f aca="false">SUM(B10:M10)</f>
        <v>0</v>
      </c>
    </row>
    <row collapsed="false" customFormat="false" customHeight="true" hidden="false" ht="12.75" outlineLevel="0" r="11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 t="n">
        <f aca="false">SUM(B11:M11)</f>
        <v>0</v>
      </c>
    </row>
    <row collapsed="false" customFormat="false" customHeight="true" hidden="false" ht="12.75" outlineLevel="0" r="12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 t="n">
        <f aca="false">SUM(B12:M12)</f>
        <v>0</v>
      </c>
    </row>
    <row collapsed="false" customFormat="false" customHeight="true" hidden="false" ht="12.75" outlineLevel="0" r="13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 t="n">
        <f aca="false">SUM(B13:M13)</f>
        <v>0</v>
      </c>
    </row>
    <row collapsed="false" customFormat="false" customHeight="true" hidden="false" ht="12.75" outlineLevel="0" r="14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 t="n">
        <f aca="false">SUM(B14:M14)</f>
        <v>0</v>
      </c>
    </row>
    <row collapsed="false" customFormat="false" customHeight="true" hidden="false" ht="12.75" outlineLevel="0" r="15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 t="n">
        <f aca="false">SUM(B15:M15)</f>
        <v>0</v>
      </c>
    </row>
    <row collapsed="false" customFormat="false" customHeight="true" hidden="false" ht="12.75" outlineLevel="0" r="16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 t="n">
        <f aca="false">SUM(B16:M16)</f>
        <v>0</v>
      </c>
    </row>
    <row collapsed="false" customFormat="false" customHeight="true" hidden="false" ht="12.75" outlineLevel="0" r="17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 t="n">
        <f aca="false">SUM(B17:M17)</f>
        <v>0</v>
      </c>
    </row>
    <row collapsed="false" customFormat="false" customHeight="true" hidden="false" ht="12.75" outlineLevel="0" r="18">
      <c r="A18" s="1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n">
        <f aca="false">SUM(B18:M18)</f>
        <v>0</v>
      </c>
    </row>
    <row collapsed="false" customFormat="false" customHeight="false" hidden="false" ht="12.8" outlineLevel="0" r="19">
      <c r="A19" s="13" t="s">
        <v>17</v>
      </c>
      <c r="B19" s="14" t="n">
        <f aca="false">SUM(B7:B18)</f>
        <v>12389.7</v>
      </c>
      <c r="C19" s="14" t="n">
        <f aca="false">SUM(C7:C18)</f>
        <v>35216.078</v>
      </c>
      <c r="D19" s="14" t="n">
        <f aca="false">SUM(D7:D18)</f>
        <v>53789.25</v>
      </c>
      <c r="E19" s="14" t="n">
        <f aca="false">SUM(E7:E18)</f>
        <v>5256.97</v>
      </c>
      <c r="F19" s="14" t="n">
        <f aca="false">SUM(F7:F18)</f>
        <v>29176.71</v>
      </c>
      <c r="G19" s="14" t="n">
        <f aca="false">SUM(G7:G18)</f>
        <v>27983.4</v>
      </c>
      <c r="H19" s="14" t="n">
        <f aca="false">SUM(H7:H18)</f>
        <v>19457.645</v>
      </c>
      <c r="I19" s="14" t="n">
        <f aca="false">SUM(I7:I18)</f>
        <v>13104.41</v>
      </c>
      <c r="J19" s="14" t="n">
        <f aca="false">SUM(J7:J18)</f>
        <v>870.1</v>
      </c>
      <c r="K19" s="14" t="n">
        <f aca="false">SUM(K7:K18)</f>
        <v>-849.67</v>
      </c>
      <c r="L19" s="14" t="n">
        <f aca="false">SUM(L7:L18)</f>
        <v>5700</v>
      </c>
      <c r="M19" s="14" t="n">
        <f aca="false">SUM(M7:M18)</f>
        <v>6550</v>
      </c>
      <c r="N19" s="14" t="n">
        <f aca="false">SUM(N7:N18)</f>
        <v>208644.593</v>
      </c>
    </row>
    <row collapsed="false" customFormat="false" customHeight="false" hidden="false" ht="15.2" outlineLevel="0" r="20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collapsed="false" customFormat="false" customHeight="false" hidden="false" ht="15.2" outlineLevel="0" r="21">
      <c r="A21" s="17"/>
      <c r="B21" s="1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collapsed="false" customFormat="false" customHeight="false" hidden="false" ht="15.65" outlineLevel="0" r="22">
      <c r="A22" s="19" t="s">
        <v>18</v>
      </c>
      <c r="B22" s="20" t="str">
        <f aca="false">B6</f>
        <v>SEPTIEMBRE</v>
      </c>
      <c r="C22" s="20" t="str">
        <f aca="false">C6</f>
        <v>OCTUBRE</v>
      </c>
      <c r="D22" s="20" t="str">
        <f aca="false">D6</f>
        <v>NOVIEMBRE</v>
      </c>
      <c r="E22" s="20" t="str">
        <f aca="false">E6</f>
        <v>DICIEMBRE</v>
      </c>
      <c r="F22" s="20" t="str">
        <f aca="false">F6</f>
        <v>ENERO</v>
      </c>
      <c r="G22" s="20" t="str">
        <f aca="false">G6</f>
        <v>FEBRERO</v>
      </c>
      <c r="H22" s="20" t="str">
        <f aca="false">H6</f>
        <v>MARZO</v>
      </c>
      <c r="I22" s="20" t="str">
        <f aca="false">I6</f>
        <v>ABRIL</v>
      </c>
      <c r="J22" s="20" t="str">
        <f aca="false">J6</f>
        <v>MAYO</v>
      </c>
      <c r="K22" s="20" t="str">
        <f aca="false">K6</f>
        <v>JUNIO</v>
      </c>
      <c r="L22" s="20" t="str">
        <f aca="false">L6</f>
        <v>JULIO</v>
      </c>
      <c r="M22" s="20" t="str">
        <f aca="false">M6</f>
        <v>AGOSTO</v>
      </c>
      <c r="N22" s="20" t="str">
        <f aca="false">N6</f>
        <v>TOTAL</v>
      </c>
    </row>
    <row collapsed="false" customFormat="false" customHeight="true" hidden="false" ht="15.65" outlineLevel="0" r="23">
      <c r="A23" s="21" t="str">
        <f aca="false">A7</f>
        <v>Venta en Sala de Lectura</v>
      </c>
      <c r="B23" s="22" t="n">
        <f aca="false">'Ventas Sala Septiembre'!C38</f>
        <v>11891.81</v>
      </c>
      <c r="C23" s="22" t="n">
        <f aca="false">'Ventas Sala Octubre'!C74</f>
        <v>29518.03</v>
      </c>
      <c r="D23" s="10" t="n">
        <f aca="false">'Ventas Sala Noviembre'!C56</f>
        <v>29187.5</v>
      </c>
      <c r="E23" s="10" t="n">
        <f aca="false">'Ventas Sala Diciembre'!C20</f>
        <v>1822</v>
      </c>
      <c r="F23" s="10" t="n">
        <f aca="false">'Ventas Sala Enero'!C56</f>
        <v>25888.78</v>
      </c>
      <c r="G23" s="10" t="n">
        <f aca="false">'Ventas Sala Febrero'!C62</f>
        <v>26347.23</v>
      </c>
      <c r="H23" s="10" t="n">
        <f aca="false">'Ventas Sala Marzo'!C36</f>
        <v>14983.57</v>
      </c>
      <c r="I23" s="10" t="n">
        <f aca="false">'Ventas Sala Abril'!C41</f>
        <v>10879.5</v>
      </c>
      <c r="J23" s="10" t="n">
        <f aca="false">'Ventas Sala Mayo'!C42</f>
        <v>22818.12</v>
      </c>
      <c r="K23" s="10" t="n">
        <f aca="false">'Ventas Sala Junio'!C40</f>
        <v>2330</v>
      </c>
      <c r="L23" s="10" t="n">
        <f aca="false">'Ventas Sala Julio'!C40</f>
        <v>0</v>
      </c>
      <c r="M23" s="10" t="n">
        <f aca="false">'Ventas Sala Agosto'!C40</f>
        <v>0</v>
      </c>
      <c r="N23" s="10" t="n">
        <f aca="false">SUM(B23:M23)</f>
        <v>175666.54</v>
      </c>
    </row>
    <row collapsed="false" customFormat="false" customHeight="true" hidden="false" ht="12.75" outlineLevel="0" r="24">
      <c r="A24" s="23" t="str">
        <f aca="false">A8</f>
        <v>Eventos</v>
      </c>
      <c r="B24" s="22" t="n">
        <f aca="false">'RESUMEN Eventos'!C64</f>
        <v>0</v>
      </c>
      <c r="C24" s="22" t="n">
        <f aca="false">'RESUMEN Eventos'!D64</f>
        <v>372</v>
      </c>
      <c r="D24" s="10" t="n">
        <f aca="false">'RESUMEN Eventos'!E64</f>
        <v>22032.18</v>
      </c>
      <c r="E24" s="10" t="n">
        <f aca="false">'RESUMEN Eventos'!F64</f>
        <v>0</v>
      </c>
      <c r="F24" s="10" t="n">
        <f aca="false">'RESUMEN Eventos'!G64</f>
        <v>1895.77</v>
      </c>
      <c r="G24" s="10" t="n">
        <f aca="false">'RESUMEN Eventos'!H64</f>
        <v>1470</v>
      </c>
      <c r="H24" s="10" t="n">
        <f aca="false">'RESUMEN Eventos'!I64</f>
        <v>3536.57</v>
      </c>
      <c r="I24" s="10" t="n">
        <f aca="false">'RESUMEN Eventos'!J64</f>
        <v>0</v>
      </c>
      <c r="J24" s="10" t="n">
        <f aca="false">'RESUMEN Eventos'!K64</f>
        <v>0</v>
      </c>
      <c r="K24" s="10" t="n">
        <f aca="false">'RESUMEN Eventos'!L64</f>
        <v>0</v>
      </c>
      <c r="L24" s="10" t="n">
        <f aca="false">'RESUMEN Eventos'!M64</f>
        <v>0</v>
      </c>
      <c r="M24" s="10" t="n">
        <f aca="false">'RESUMEN Eventos'!N64</f>
        <v>0</v>
      </c>
      <c r="N24" s="10" t="n">
        <f aca="false">SUM(B24:M24)</f>
        <v>29306.52</v>
      </c>
    </row>
    <row collapsed="false" customFormat="false" customHeight="false" hidden="false" ht="12.8" outlineLevel="0" r="25">
      <c r="A25" s="23" t="s">
        <v>19</v>
      </c>
      <c r="B25" s="24" t="n">
        <v>24.02</v>
      </c>
      <c r="C25" s="22" t="n">
        <v>34.41</v>
      </c>
      <c r="D25" s="10" t="n">
        <v>79.06</v>
      </c>
      <c r="E25" s="10"/>
      <c r="F25" s="10" t="n">
        <v>146.99</v>
      </c>
      <c r="G25" s="10" t="n">
        <v>400</v>
      </c>
      <c r="H25" s="10"/>
      <c r="I25" s="10"/>
      <c r="J25" s="10"/>
      <c r="K25" s="10"/>
      <c r="L25" s="10"/>
      <c r="M25" s="25" t="n">
        <v>1069.99</v>
      </c>
      <c r="N25" s="10" t="n">
        <f aca="false">SUM(B25:M25)</f>
        <v>1754.47</v>
      </c>
    </row>
    <row collapsed="false" customFormat="false" customHeight="true" hidden="false" ht="12.75" outlineLevel="0" r="26">
      <c r="A26" s="23"/>
      <c r="B26" s="24" t="n">
        <v>130</v>
      </c>
      <c r="C26" s="22" t="n">
        <v>100</v>
      </c>
      <c r="D26" s="10" t="n">
        <v>60</v>
      </c>
      <c r="E26" s="10"/>
      <c r="F26" s="10" t="n">
        <v>43.04</v>
      </c>
      <c r="G26" s="10" t="n">
        <v>260</v>
      </c>
      <c r="H26" s="10"/>
      <c r="I26" s="10"/>
      <c r="J26" s="10"/>
      <c r="K26" s="10"/>
      <c r="L26" s="10"/>
      <c r="M26" s="10" t="n">
        <v>103</v>
      </c>
      <c r="N26" s="10" t="n">
        <f aca="false">SUM(B26:M26)</f>
        <v>696.04</v>
      </c>
    </row>
    <row collapsed="false" customFormat="false" customHeight="true" hidden="false" ht="12.75" outlineLevel="0" r="27">
      <c r="A27" s="23"/>
      <c r="B27" s="24" t="n">
        <v>160.16</v>
      </c>
      <c r="C27" s="22" t="n">
        <v>40</v>
      </c>
      <c r="D27" s="10" t="n">
        <v>45.02</v>
      </c>
      <c r="E27" s="10"/>
      <c r="F27" s="10"/>
      <c r="G27" s="10" t="n">
        <v>80</v>
      </c>
      <c r="H27" s="10"/>
      <c r="I27" s="10"/>
      <c r="J27" s="10"/>
      <c r="K27" s="10"/>
      <c r="L27" s="10"/>
      <c r="M27" s="10" t="n">
        <v>1361.38</v>
      </c>
      <c r="N27" s="10" t="n">
        <f aca="false">SUM(B27:M27)</f>
        <v>1686.56</v>
      </c>
    </row>
    <row collapsed="false" customFormat="false" customHeight="true" hidden="false" ht="12.75" outlineLevel="0" r="28">
      <c r="A28" s="23"/>
      <c r="B28" s="24"/>
      <c r="C28" s="22" t="n">
        <v>544.99</v>
      </c>
      <c r="D28" s="10" t="n">
        <v>60</v>
      </c>
      <c r="E28" s="10"/>
      <c r="F28" s="10"/>
      <c r="G28" s="10" t="n">
        <f aca="false">12*680</f>
        <v>8160</v>
      </c>
      <c r="H28" s="10"/>
      <c r="I28" s="10"/>
      <c r="J28" s="10"/>
      <c r="K28" s="10"/>
      <c r="L28" s="10"/>
      <c r="M28" s="10"/>
      <c r="N28" s="10" t="n">
        <f aca="false">SUM(B28:M28)</f>
        <v>8764.99</v>
      </c>
    </row>
    <row collapsed="false" customFormat="false" customHeight="true" hidden="false" ht="12.75" outlineLevel="0" r="29">
      <c r="A29" s="23"/>
      <c r="B29" s="24"/>
      <c r="C29" s="22" t="n">
        <v>25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 t="n">
        <f aca="false">SUM(B29:M29)</f>
        <v>25</v>
      </c>
    </row>
    <row collapsed="false" customFormat="false" customHeight="true" hidden="false" ht="12.75" outlineLevel="0" r="30">
      <c r="A30" s="23"/>
      <c r="B30" s="22"/>
      <c r="C30" s="2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 t="n">
        <f aca="false">SUM(B30:M30)</f>
        <v>0</v>
      </c>
    </row>
    <row collapsed="false" customFormat="false" customHeight="true" hidden="false" ht="12.75" outlineLevel="0" r="31">
      <c r="A31" s="23"/>
      <c r="B31" s="22"/>
      <c r="C31" s="2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 t="n">
        <f aca="false">SUM(B31:M31)</f>
        <v>0</v>
      </c>
    </row>
    <row collapsed="false" customFormat="false" customHeight="true" hidden="false" ht="12.75" outlineLevel="0" r="32">
      <c r="A32" s="23"/>
      <c r="B32" s="22"/>
      <c r="C32" s="2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 t="n">
        <f aca="false">SUM(B32:M32)</f>
        <v>0</v>
      </c>
    </row>
    <row collapsed="false" customFormat="false" customHeight="true" hidden="false" ht="12.75" outlineLevel="0" r="33">
      <c r="A33" s="2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 t="n">
        <f aca="false">SUM(B33:M33)</f>
        <v>0</v>
      </c>
    </row>
    <row collapsed="false" customFormat="false" customHeight="true" hidden="false" ht="12.75" outlineLevel="0" r="34">
      <c r="A34" s="23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 t="n">
        <f aca="false">SUM(B34:M34)</f>
        <v>0</v>
      </c>
    </row>
    <row collapsed="false" customFormat="false" customHeight="true" hidden="false" ht="12.75" outlineLevel="0" r="35">
      <c r="A35" s="23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 t="n">
        <f aca="false">SUM(B35:M35)</f>
        <v>0</v>
      </c>
    </row>
    <row collapsed="false" customFormat="false" customHeight="true" hidden="false" ht="12.75" outlineLevel="0" r="36">
      <c r="A36" s="23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 t="n">
        <f aca="false">SUM(B36:M36)</f>
        <v>0</v>
      </c>
    </row>
    <row collapsed="false" customFormat="false" customHeight="true" hidden="false" ht="12.75" outlineLevel="0" r="37">
      <c r="A37" s="23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 t="n">
        <f aca="false">SUM(B37:M37)</f>
        <v>0</v>
      </c>
    </row>
    <row collapsed="false" customFormat="false" customHeight="true" hidden="false" ht="12.75" outlineLevel="0" r="38">
      <c r="A38" s="2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 t="n">
        <f aca="false">SUM(B38:M38)</f>
        <v>0</v>
      </c>
    </row>
    <row collapsed="false" customFormat="false" customHeight="true" hidden="false" ht="12.75" outlineLevel="0" r="39">
      <c r="A39" s="23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 t="n">
        <f aca="false">SUM(B39:M39)</f>
        <v>0</v>
      </c>
    </row>
    <row collapsed="false" customFormat="false" customHeight="true" hidden="false" ht="12.75" outlineLevel="0" r="40">
      <c r="A40" s="23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 t="n">
        <f aca="false">SUM(B40:M40)</f>
        <v>0</v>
      </c>
    </row>
    <row collapsed="false" customFormat="false" customHeight="true" hidden="false" ht="12.75" outlineLevel="0" r="41">
      <c r="A41" s="23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 t="n">
        <f aca="false">SUM(B41:M41)</f>
        <v>0</v>
      </c>
    </row>
    <row collapsed="false" customFormat="false" customHeight="true" hidden="false" ht="12.75" outlineLevel="0" r="42">
      <c r="A42" s="2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 t="n">
        <f aca="false">SUM(B42:M42)</f>
        <v>0</v>
      </c>
    </row>
    <row collapsed="false" customFormat="false" customHeight="false" hidden="false" ht="12.8" outlineLevel="0" r="43">
      <c r="A43" s="27" t="s">
        <v>20</v>
      </c>
      <c r="B43" s="28" t="n">
        <f aca="false">SUM(B23:B42)</f>
        <v>12205.99</v>
      </c>
      <c r="C43" s="28" t="n">
        <f aca="false">SUM(C23:C42)</f>
        <v>30634.43</v>
      </c>
      <c r="D43" s="28" t="n">
        <f aca="false">SUM(D23:D42)</f>
        <v>51463.76</v>
      </c>
      <c r="E43" s="28" t="n">
        <f aca="false">SUM(E23:E42)</f>
        <v>1822</v>
      </c>
      <c r="F43" s="28" t="n">
        <f aca="false">SUM(F23:F42)</f>
        <v>27974.58</v>
      </c>
      <c r="G43" s="28" t="n">
        <f aca="false">SUM(G23:G42)</f>
        <v>36717.23</v>
      </c>
      <c r="H43" s="28" t="n">
        <f aca="false">SUM(H23:H42)</f>
        <v>18520.14</v>
      </c>
      <c r="I43" s="28" t="n">
        <f aca="false">SUM(I23:I42)</f>
        <v>10879.5</v>
      </c>
      <c r="J43" s="28" t="n">
        <f aca="false">SUM(J23:J42)</f>
        <v>22818.12</v>
      </c>
      <c r="K43" s="28" t="n">
        <f aca="false">SUM(K23:K42)</f>
        <v>2330</v>
      </c>
      <c r="L43" s="28" t="n">
        <f aca="false">SUM(L23:L42)</f>
        <v>0</v>
      </c>
      <c r="M43" s="28" t="n">
        <f aca="false">SUM(M23:M42)</f>
        <v>2534.37</v>
      </c>
      <c r="N43" s="28" t="n">
        <f aca="false">SUM(N23:N42)</f>
        <v>217900.12</v>
      </c>
    </row>
    <row collapsed="false" customFormat="false" customHeight="false" hidden="false" ht="15.2" outlineLevel="0" r="4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collapsed="false" customFormat="false" customHeight="false" hidden="false" ht="12.8" outlineLevel="0"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collapsed="false" customFormat="false" customHeight="false" hidden="false" ht="15.65" outlineLevel="0" r="47">
      <c r="A47" s="29" t="s">
        <v>21</v>
      </c>
      <c r="B47" s="30" t="n">
        <f aca="false">B19-B43</f>
        <v>183.710000000001</v>
      </c>
      <c r="C47" s="30" t="n">
        <f aca="false">C19-C43</f>
        <v>4581.64799999998</v>
      </c>
      <c r="D47" s="30" t="n">
        <f aca="false">D19-D43</f>
        <v>2325.49000000001</v>
      </c>
      <c r="E47" s="30" t="n">
        <f aca="false">E19-E43</f>
        <v>3434.97</v>
      </c>
      <c r="F47" s="30" t="n">
        <f aca="false">F19-F43</f>
        <v>1202.13000000001</v>
      </c>
      <c r="G47" s="30" t="n">
        <f aca="false">G19-G43</f>
        <v>-8733.82999999999</v>
      </c>
      <c r="H47" s="30" t="n">
        <f aca="false">H19-H43</f>
        <v>937.505000000001</v>
      </c>
      <c r="I47" s="30" t="n">
        <f aca="false">I19-I43</f>
        <v>2224.91</v>
      </c>
      <c r="J47" s="30" t="n">
        <f aca="false">J19-J43</f>
        <v>-21948.02</v>
      </c>
      <c r="K47" s="30" t="n">
        <f aca="false">K19-K43</f>
        <v>-3179.67</v>
      </c>
      <c r="L47" s="30" t="n">
        <f aca="false">L19-L43</f>
        <v>5700</v>
      </c>
      <c r="M47" s="30" t="n">
        <f aca="false">M19-M43</f>
        <v>4015.63</v>
      </c>
      <c r="N47" s="30" t="n">
        <f aca="false">N19-N43</f>
        <v>-9255.52699999994</v>
      </c>
    </row>
    <row collapsed="false" customFormat="false" customHeight="false" hidden="false" ht="12.8" outlineLevel="0"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N48" s="16"/>
    </row>
  </sheetData>
  <mergeCells count="1">
    <mergeCell ref="B4:M4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3.5294117647059"/>
    <col collapsed="false" hidden="false" max="2" min="2" style="1" width="113.850980392157"/>
    <col collapsed="false" hidden="false" max="3" min="3" style="1" width="35.4627450980392"/>
    <col collapsed="false" hidden="false" max="4" min="4" style="1" width="25.6235294117647"/>
    <col collapsed="false" hidden="false" max="5" min="5" style="1" width="26.7882352941176"/>
    <col collapsed="false" hidden="false" max="8" min="6" style="1" width="25.6235294117647"/>
    <col collapsed="false" hidden="false" max="14" min="9" style="1" width="30.1882352941176"/>
    <col collapsed="false" hidden="false" max="15" min="15" style="1" width="33.5019607843137"/>
    <col collapsed="false" hidden="false" max="257" min="16" style="1" width="25.6235294117647"/>
  </cols>
  <sheetData>
    <row collapsed="false" customFormat="false" customHeight="false" hidden="false" ht="17.6" outlineLevel="0" r="1">
      <c r="A1" s="31" t="s">
        <v>22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collapsed="false" customFormat="false" customHeight="true" hidden="false" ht="15.75" outlineLevel="0" r="2"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collapsed="false" customFormat="false" customHeight="true" hidden="false" ht="15.75" outlineLevel="0" r="3">
      <c r="A3" s="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collapsed="false" customFormat="false" customHeight="false" hidden="false" ht="14.9" outlineLevel="0" r="4">
      <c r="A4" s="36"/>
      <c r="B4" s="36" t="s">
        <v>0</v>
      </c>
      <c r="C4" s="37" t="n">
        <v>40787</v>
      </c>
      <c r="D4" s="37" t="n">
        <v>40817</v>
      </c>
      <c r="E4" s="37" t="n">
        <v>40848</v>
      </c>
      <c r="F4" s="37" t="n">
        <v>40878</v>
      </c>
      <c r="G4" s="37" t="n">
        <v>40909</v>
      </c>
      <c r="H4" s="37" t="n">
        <v>40940</v>
      </c>
      <c r="I4" s="37" t="s">
        <v>23</v>
      </c>
      <c r="J4" s="37" t="s">
        <v>24</v>
      </c>
      <c r="K4" s="37" t="n">
        <v>40664</v>
      </c>
      <c r="L4" s="37" t="n">
        <v>40695</v>
      </c>
      <c r="M4" s="37" t="n">
        <v>40725</v>
      </c>
      <c r="N4" s="37" t="n">
        <v>40756</v>
      </c>
      <c r="O4" s="38" t="s">
        <v>13</v>
      </c>
    </row>
    <row collapsed="false" customFormat="false" customHeight="true" hidden="false" ht="15.75" outlineLevel="0" r="5">
      <c r="A5" s="39" t="n">
        <v>1</v>
      </c>
      <c r="B5" s="40" t="s">
        <v>25</v>
      </c>
      <c r="C5" s="41" t="n">
        <f aca="false">'EVENTO 1'!B21</f>
        <v>0</v>
      </c>
      <c r="D5" s="41" t="n">
        <f aca="false">'EVENTO 1'!C21</f>
        <v>0</v>
      </c>
      <c r="E5" s="41" t="n">
        <f aca="false">'EVENTO 1'!D21</f>
        <v>16100</v>
      </c>
      <c r="F5" s="41" t="n">
        <f aca="false">'EVENTO 1'!E21</f>
        <v>0</v>
      </c>
      <c r="G5" s="41" t="n">
        <f aca="false">'EVENTO 1'!F21</f>
        <v>2200</v>
      </c>
      <c r="H5" s="41" t="n">
        <f aca="false">'EVENTO 1'!G21</f>
        <v>0</v>
      </c>
      <c r="I5" s="41" t="n">
        <f aca="false">'EVENTO 1'!H21</f>
        <v>2304.2</v>
      </c>
      <c r="J5" s="41" t="n">
        <f aca="false">'EVENTO 1'!I21</f>
        <v>0</v>
      </c>
      <c r="K5" s="41" t="n">
        <f aca="false">'EVENTO 1'!J21</f>
        <v>0</v>
      </c>
      <c r="L5" s="41" t="n">
        <f aca="false">'EVENTO 1'!K21</f>
        <v>0</v>
      </c>
      <c r="M5" s="41" t="n">
        <f aca="false">'EVENTO 1'!L21</f>
        <v>0</v>
      </c>
      <c r="N5" s="41" t="n">
        <f aca="false">'EVENTO 1'!M21</f>
        <v>0</v>
      </c>
      <c r="O5" s="42" t="n">
        <f aca="false">SUM(C5:N5)</f>
        <v>20604.2</v>
      </c>
    </row>
    <row collapsed="false" customFormat="false" customHeight="true" hidden="false" ht="15.75" outlineLevel="0" r="6">
      <c r="A6" s="39" t="n">
        <v>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3"/>
      <c r="M6" s="41"/>
      <c r="N6" s="41"/>
      <c r="O6" s="42" t="n">
        <f aca="false">SUM(C6:N6)</f>
        <v>0</v>
      </c>
    </row>
    <row collapsed="false" customFormat="false" customHeight="true" hidden="false" ht="15.75" outlineLevel="0" r="7">
      <c r="A7" s="39" t="n">
        <v>3</v>
      </c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 t="n">
        <f aca="false">SUM(C7:N7)</f>
        <v>0</v>
      </c>
    </row>
    <row collapsed="false" customFormat="false" customHeight="true" hidden="false" ht="15.75" outlineLevel="0" r="8">
      <c r="A8" s="39" t="n">
        <v>4</v>
      </c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 t="n">
        <f aca="false">SUM(C8:N8)</f>
        <v>0</v>
      </c>
    </row>
    <row collapsed="false" customFormat="false" customHeight="true" hidden="false" ht="15.75" outlineLevel="0" r="9">
      <c r="A9" s="39" t="n">
        <v>5</v>
      </c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 t="n">
        <f aca="false">SUM(C9:N9)</f>
        <v>0</v>
      </c>
    </row>
    <row collapsed="false" customFormat="false" customHeight="true" hidden="false" ht="15.75" outlineLevel="0" r="10">
      <c r="A10" s="39" t="n">
        <v>6</v>
      </c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 t="n">
        <f aca="false">SUM(C10:N10)</f>
        <v>0</v>
      </c>
    </row>
    <row collapsed="false" customFormat="false" customHeight="true" hidden="false" ht="15.75" outlineLevel="0" r="11">
      <c r="A11" s="39" t="n">
        <v>7</v>
      </c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 t="n">
        <f aca="false">SUM(C11:N11)</f>
        <v>0</v>
      </c>
    </row>
    <row collapsed="false" customFormat="false" customHeight="true" hidden="false" ht="15.75" outlineLevel="0" r="12">
      <c r="A12" s="39" t="n">
        <v>8</v>
      </c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 t="n">
        <f aca="false">SUM(C12:N12)</f>
        <v>0</v>
      </c>
    </row>
    <row collapsed="false" customFormat="false" customHeight="true" hidden="false" ht="15.75" outlineLevel="0" r="13">
      <c r="A13" s="39" t="n">
        <v>9</v>
      </c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 t="n">
        <f aca="false">SUM(C13:N13)</f>
        <v>0</v>
      </c>
    </row>
    <row collapsed="false" customFormat="false" customHeight="true" hidden="false" ht="15.75" outlineLevel="0" r="14">
      <c r="A14" s="39" t="n">
        <v>10</v>
      </c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 t="n">
        <f aca="false">SUM(C14:N14)</f>
        <v>0</v>
      </c>
    </row>
    <row collapsed="false" customFormat="false" customHeight="true" hidden="false" ht="15.75" outlineLevel="0" r="15">
      <c r="A15" s="39" t="n">
        <v>11</v>
      </c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 t="n">
        <f aca="false">SUM(C15:N15)</f>
        <v>0</v>
      </c>
    </row>
    <row collapsed="false" customFormat="false" customHeight="true" hidden="false" ht="15.75" outlineLevel="0" r="16">
      <c r="A16" s="39" t="n">
        <v>12</v>
      </c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 t="n">
        <f aca="false">SUM(C16:N16)</f>
        <v>0</v>
      </c>
    </row>
    <row collapsed="false" customFormat="false" customHeight="true" hidden="false" ht="15.75" outlineLevel="0" r="17">
      <c r="A17" s="39" t="n">
        <v>13</v>
      </c>
      <c r="B17" s="40"/>
      <c r="C17" s="42"/>
      <c r="D17" s="41"/>
      <c r="E17" s="41"/>
      <c r="F17" s="42"/>
      <c r="G17" s="41"/>
      <c r="H17" s="41"/>
      <c r="I17" s="41"/>
      <c r="J17" s="41"/>
      <c r="K17" s="41"/>
      <c r="L17" s="42"/>
      <c r="M17" s="42"/>
      <c r="N17" s="42"/>
      <c r="O17" s="42" t="n">
        <f aca="false">SUM(C17:N17)</f>
        <v>0</v>
      </c>
    </row>
    <row collapsed="false" customFormat="false" customHeight="true" hidden="false" ht="15.75" outlineLevel="0" r="18">
      <c r="A18" s="39" t="n">
        <v>14</v>
      </c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 t="n">
        <f aca="false">SUM(C18:N18)</f>
        <v>0</v>
      </c>
    </row>
    <row collapsed="false" customFormat="false" customHeight="true" hidden="false" ht="15.75" outlineLevel="0" r="19">
      <c r="A19" s="39" t="n">
        <v>15</v>
      </c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 t="n">
        <f aca="false">SUM(C19:N19)</f>
        <v>0</v>
      </c>
    </row>
    <row collapsed="false" customFormat="false" customHeight="true" hidden="false" ht="15.75" outlineLevel="0" r="20">
      <c r="A20" s="39" t="n">
        <v>16</v>
      </c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 t="n">
        <f aca="false">SUM(C20:N20)</f>
        <v>0</v>
      </c>
    </row>
    <row collapsed="false" customFormat="false" customHeight="true" hidden="false" ht="15.75" outlineLevel="0" r="21">
      <c r="A21" s="39" t="n">
        <v>17</v>
      </c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 t="n">
        <f aca="false">SUM(C21:N21)</f>
        <v>0</v>
      </c>
    </row>
    <row collapsed="false" customFormat="false" customHeight="true" hidden="false" ht="15.75" outlineLevel="0" r="22">
      <c r="A22" s="39" t="n">
        <v>18</v>
      </c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 t="n">
        <f aca="false">SUM(C22:N22)</f>
        <v>0</v>
      </c>
    </row>
    <row collapsed="false" customFormat="false" customHeight="true" hidden="false" ht="15.75" outlineLevel="0" r="23">
      <c r="A23" s="39" t="n">
        <v>19</v>
      </c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 t="n">
        <f aca="false">SUM(C23:N23)</f>
        <v>0</v>
      </c>
    </row>
    <row collapsed="false" customFormat="false" customHeight="true" hidden="false" ht="15.75" outlineLevel="0" r="24">
      <c r="A24" s="39" t="n">
        <v>20</v>
      </c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 t="n">
        <f aca="false">SUM(C24:N24)</f>
        <v>0</v>
      </c>
    </row>
    <row collapsed="false" customFormat="false" customHeight="true" hidden="false" ht="15.75" outlineLevel="0" r="25">
      <c r="A25" s="39" t="n">
        <v>21</v>
      </c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 t="n">
        <f aca="false">SUM(C25:N25)</f>
        <v>0</v>
      </c>
    </row>
    <row collapsed="false" customFormat="false" customHeight="true" hidden="false" ht="15.75" outlineLevel="0" r="26">
      <c r="A26" s="39" t="n">
        <v>22</v>
      </c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 t="n">
        <f aca="false">SUM(C26:N26)</f>
        <v>0</v>
      </c>
    </row>
    <row collapsed="false" customFormat="false" customHeight="true" hidden="false" ht="15.75" outlineLevel="0" r="27">
      <c r="A27" s="39" t="n">
        <v>23</v>
      </c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 t="n">
        <f aca="false">SUM(C27:N27)</f>
        <v>0</v>
      </c>
    </row>
    <row collapsed="false" customFormat="false" customHeight="true" hidden="false" ht="15.75" outlineLevel="0" r="28">
      <c r="A28" s="39" t="n">
        <v>24</v>
      </c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 t="n">
        <f aca="false">SUM(C28:N28)</f>
        <v>0</v>
      </c>
    </row>
    <row collapsed="false" customFormat="false" customHeight="true" hidden="false" ht="15.75" outlineLevel="0" r="29">
      <c r="A29" s="39" t="n">
        <v>25</v>
      </c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 t="n">
        <f aca="false">SUM(C29:N29)</f>
        <v>0</v>
      </c>
    </row>
    <row collapsed="false" customFormat="false" customHeight="true" hidden="false" ht="15.75" outlineLevel="0" r="30">
      <c r="A30" s="39" t="n">
        <v>26</v>
      </c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 t="n">
        <f aca="false">SUM(C30:N30)</f>
        <v>0</v>
      </c>
    </row>
    <row collapsed="false" customFormat="false" customHeight="false" hidden="false" ht="14.9" outlineLevel="0" r="31">
      <c r="A31" s="44"/>
      <c r="B31" s="45" t="s">
        <v>17</v>
      </c>
      <c r="C31" s="46" t="n">
        <f aca="false">SUM(C5:C30)</f>
        <v>0</v>
      </c>
      <c r="D31" s="46" t="n">
        <f aca="false">SUM(D5:D30)</f>
        <v>0</v>
      </c>
      <c r="E31" s="46" t="n">
        <f aca="false">SUM(E5:E30)</f>
        <v>16100</v>
      </c>
      <c r="F31" s="46" t="n">
        <f aca="false">SUM(F5:F30)</f>
        <v>0</v>
      </c>
      <c r="G31" s="46" t="n">
        <f aca="false">SUM(G5:G30)</f>
        <v>2200</v>
      </c>
      <c r="H31" s="46" t="n">
        <f aca="false">SUM(H5:H30)</f>
        <v>0</v>
      </c>
      <c r="I31" s="46" t="n">
        <f aca="false">SUM(I5:I30)</f>
        <v>2304.2</v>
      </c>
      <c r="J31" s="46" t="n">
        <f aca="false">SUM(J5:J30)</f>
        <v>0</v>
      </c>
      <c r="K31" s="46" t="n">
        <f aca="false">SUM(K5:K30)</f>
        <v>0</v>
      </c>
      <c r="L31" s="46" t="n">
        <f aca="false">SUM(L5:L30)</f>
        <v>0</v>
      </c>
      <c r="M31" s="46" t="n">
        <f aca="false">SUM(M5:M30)</f>
        <v>0</v>
      </c>
      <c r="N31" s="46" t="n">
        <f aca="false">SUM(N5:N30)</f>
        <v>0</v>
      </c>
      <c r="O31" s="46" t="n">
        <f aca="false">SUM(O5:O30)</f>
        <v>20604.2</v>
      </c>
    </row>
    <row collapsed="false" customFormat="false" customHeight="true" hidden="false" ht="15.75" outlineLevel="0"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collapsed="false" customFormat="false" customHeight="false" hidden="false" ht="17.6" outlineLevel="0" r="34">
      <c r="A34" s="31" t="s">
        <v>26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collapsed="false" customFormat="false" customHeight="true" hidden="false" ht="15.75" outlineLevel="0" r="35">
      <c r="B35" s="3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collapsed="false" customFormat="false" customHeight="true" hidden="false" ht="15.75" outlineLevel="0" r="36">
      <c r="A36" s="4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</row>
    <row collapsed="false" customFormat="false" customHeight="false" hidden="false" ht="14.9" outlineLevel="0" r="37">
      <c r="A37" s="36"/>
      <c r="B37" s="36" t="s">
        <v>18</v>
      </c>
      <c r="C37" s="37" t="n">
        <v>40787</v>
      </c>
      <c r="D37" s="37" t="n">
        <v>40817</v>
      </c>
      <c r="E37" s="37" t="n">
        <v>40848</v>
      </c>
      <c r="F37" s="37" t="n">
        <v>40878</v>
      </c>
      <c r="G37" s="37" t="n">
        <v>40909</v>
      </c>
      <c r="H37" s="37" t="n">
        <v>40940</v>
      </c>
      <c r="I37" s="37" t="s">
        <v>23</v>
      </c>
      <c r="J37" s="37" t="s">
        <v>24</v>
      </c>
      <c r="K37" s="37" t="n">
        <v>40664</v>
      </c>
      <c r="L37" s="37" t="n">
        <v>40695</v>
      </c>
      <c r="M37" s="37" t="n">
        <v>40725</v>
      </c>
      <c r="N37" s="37" t="n">
        <v>40756</v>
      </c>
      <c r="O37" s="38" t="s">
        <v>13</v>
      </c>
    </row>
    <row collapsed="false" customFormat="false" customHeight="true" hidden="false" ht="15.75" outlineLevel="0" r="38">
      <c r="A38" s="39" t="n">
        <v>1</v>
      </c>
      <c r="B38" s="40" t="s">
        <v>25</v>
      </c>
      <c r="C38" s="41" t="n">
        <f aca="false">'EVENTO 1'!B55</f>
        <v>0</v>
      </c>
      <c r="D38" s="41" t="n">
        <f aca="false">'EVENTO 1'!C55</f>
        <v>372</v>
      </c>
      <c r="E38" s="41" t="n">
        <f aca="false">'EVENTO 1'!D55</f>
        <v>22032.18</v>
      </c>
      <c r="F38" s="41" t="n">
        <f aca="false">'EVENTO 1'!E55</f>
        <v>0</v>
      </c>
      <c r="G38" s="41" t="n">
        <f aca="false">'EVENTO 1'!F55</f>
        <v>1895.77</v>
      </c>
      <c r="H38" s="41" t="n">
        <f aca="false">'EVENTO 1'!G55</f>
        <v>1470</v>
      </c>
      <c r="I38" s="41" t="n">
        <f aca="false">'EVENTO 1'!H55</f>
        <v>3536.57</v>
      </c>
      <c r="J38" s="41" t="n">
        <f aca="false">'EVENTO 1'!I55</f>
        <v>0</v>
      </c>
      <c r="K38" s="41" t="n">
        <f aca="false">'EVENTO 1'!J55</f>
        <v>0</v>
      </c>
      <c r="L38" s="41" t="n">
        <f aca="false">'EVENTO 1'!K55</f>
        <v>0</v>
      </c>
      <c r="M38" s="41" t="n">
        <f aca="false">'EVENTO 1'!L55</f>
        <v>0</v>
      </c>
      <c r="N38" s="41" t="n">
        <f aca="false">'EVENTO 1'!M55</f>
        <v>0</v>
      </c>
      <c r="O38" s="42" t="n">
        <f aca="false">SUM(C38:N38)</f>
        <v>29306.52</v>
      </c>
    </row>
    <row collapsed="false" customFormat="false" customHeight="true" hidden="false" ht="15.75" outlineLevel="0" r="39">
      <c r="A39" s="39" t="n">
        <v>2</v>
      </c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3"/>
      <c r="M39" s="41"/>
      <c r="N39" s="41"/>
      <c r="O39" s="42" t="n">
        <f aca="false">SUM(C39:N39)</f>
        <v>0</v>
      </c>
    </row>
    <row collapsed="false" customFormat="false" customHeight="true" hidden="false" ht="15.75" outlineLevel="0" r="40">
      <c r="A40" s="39" t="n">
        <v>3</v>
      </c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 t="n">
        <f aca="false">SUM(C40:N40)</f>
        <v>0</v>
      </c>
    </row>
    <row collapsed="false" customFormat="false" customHeight="true" hidden="false" ht="15.75" outlineLevel="0" r="41">
      <c r="A41" s="39" t="n">
        <v>4</v>
      </c>
      <c r="B41" s="40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 t="n">
        <f aca="false">SUM(C41:N41)</f>
        <v>0</v>
      </c>
    </row>
    <row collapsed="false" customFormat="false" customHeight="true" hidden="false" ht="15.75" outlineLevel="0" r="42">
      <c r="A42" s="39" t="n">
        <v>5</v>
      </c>
      <c r="B42" s="40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2" t="n">
        <f aca="false">SUM(C42:N42)</f>
        <v>0</v>
      </c>
    </row>
    <row collapsed="false" customFormat="false" customHeight="true" hidden="false" ht="15.75" outlineLevel="0" r="43">
      <c r="A43" s="39" t="n">
        <v>6</v>
      </c>
      <c r="B43" s="40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2" t="n">
        <f aca="false">SUM(C43:N43)</f>
        <v>0</v>
      </c>
    </row>
    <row collapsed="false" customFormat="false" customHeight="true" hidden="false" ht="15.75" outlineLevel="0" r="44">
      <c r="A44" s="39" t="n">
        <v>7</v>
      </c>
      <c r="B44" s="40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 t="n">
        <f aca="false">SUM(C44:N44)</f>
        <v>0</v>
      </c>
    </row>
    <row collapsed="false" customFormat="false" customHeight="true" hidden="false" ht="15.75" outlineLevel="0" r="45">
      <c r="A45" s="39" t="n">
        <v>8</v>
      </c>
      <c r="B45" s="40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 t="n">
        <f aca="false">SUM(C45:N45)</f>
        <v>0</v>
      </c>
    </row>
    <row collapsed="false" customFormat="false" customHeight="true" hidden="false" ht="15.75" outlineLevel="0" r="46">
      <c r="A46" s="39" t="n">
        <v>9</v>
      </c>
      <c r="B46" s="40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 t="n">
        <f aca="false">SUM(C46:N46)</f>
        <v>0</v>
      </c>
    </row>
    <row collapsed="false" customFormat="false" customHeight="true" hidden="false" ht="15.75" outlineLevel="0" r="47">
      <c r="A47" s="39" t="n">
        <v>10</v>
      </c>
      <c r="B47" s="40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 t="n">
        <f aca="false">SUM(C47:N47)</f>
        <v>0</v>
      </c>
    </row>
    <row collapsed="false" customFormat="false" customHeight="true" hidden="false" ht="15.75" outlineLevel="0" r="48">
      <c r="A48" s="39" t="n">
        <v>11</v>
      </c>
      <c r="B48" s="40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 t="n">
        <f aca="false">SUM(C48:N48)</f>
        <v>0</v>
      </c>
    </row>
    <row collapsed="false" customFormat="false" customHeight="true" hidden="false" ht="15.75" outlineLevel="0" r="49">
      <c r="A49" s="39" t="n">
        <v>12</v>
      </c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 t="n">
        <f aca="false">SUM(C49:N49)</f>
        <v>0</v>
      </c>
    </row>
    <row collapsed="false" customFormat="false" customHeight="true" hidden="false" ht="15.75" outlineLevel="0" r="50">
      <c r="A50" s="39" t="n">
        <v>13</v>
      </c>
      <c r="B50" s="40"/>
      <c r="C50" s="42"/>
      <c r="D50" s="41"/>
      <c r="E50" s="41"/>
      <c r="F50" s="42"/>
      <c r="G50" s="41"/>
      <c r="H50" s="41"/>
      <c r="I50" s="41"/>
      <c r="J50" s="41"/>
      <c r="K50" s="41"/>
      <c r="L50" s="42"/>
      <c r="M50" s="42"/>
      <c r="N50" s="42"/>
      <c r="O50" s="42" t="n">
        <f aca="false">SUM(C50:N50)</f>
        <v>0</v>
      </c>
    </row>
    <row collapsed="false" customFormat="false" customHeight="true" hidden="false" ht="15.75" outlineLevel="0" r="51">
      <c r="A51" s="39" t="n">
        <v>14</v>
      </c>
      <c r="B51" s="40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2" t="n">
        <f aca="false">SUM(C51:N51)</f>
        <v>0</v>
      </c>
    </row>
    <row collapsed="false" customFormat="false" customHeight="true" hidden="false" ht="15.75" outlineLevel="0" r="52">
      <c r="A52" s="39" t="n">
        <v>15</v>
      </c>
      <c r="B52" s="40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2" t="n">
        <f aca="false">SUM(C52:N52)</f>
        <v>0</v>
      </c>
    </row>
    <row collapsed="false" customFormat="false" customHeight="true" hidden="false" ht="15.75" outlineLevel="0" r="53">
      <c r="A53" s="39" t="n">
        <v>16</v>
      </c>
      <c r="B53" s="40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2" t="n">
        <f aca="false">SUM(C53:N53)</f>
        <v>0</v>
      </c>
    </row>
    <row collapsed="false" customFormat="false" customHeight="true" hidden="false" ht="15.75" outlineLevel="0" r="54">
      <c r="A54" s="39" t="n">
        <v>17</v>
      </c>
      <c r="B54" s="40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2" t="n">
        <f aca="false">SUM(C54:N54)</f>
        <v>0</v>
      </c>
    </row>
    <row collapsed="false" customFormat="false" customHeight="true" hidden="false" ht="15.75" outlineLevel="0" r="55">
      <c r="A55" s="39" t="n">
        <v>18</v>
      </c>
      <c r="B55" s="40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2" t="n">
        <f aca="false">SUM(C55:N55)</f>
        <v>0</v>
      </c>
    </row>
    <row collapsed="false" customFormat="false" customHeight="true" hidden="false" ht="15.75" outlineLevel="0" r="56">
      <c r="A56" s="39" t="n">
        <v>19</v>
      </c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2" t="n">
        <f aca="false">SUM(C56:N56)</f>
        <v>0</v>
      </c>
    </row>
    <row collapsed="false" customFormat="false" customHeight="true" hidden="false" ht="15.75" outlineLevel="0" r="57">
      <c r="A57" s="39" t="n">
        <v>20</v>
      </c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2" t="n">
        <f aca="false">SUM(C57:N57)</f>
        <v>0</v>
      </c>
    </row>
    <row collapsed="false" customFormat="false" customHeight="true" hidden="false" ht="15.75" outlineLevel="0" r="58">
      <c r="A58" s="39" t="n">
        <v>21</v>
      </c>
      <c r="B58" s="40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2" t="n">
        <f aca="false">SUM(C58:N58)</f>
        <v>0</v>
      </c>
    </row>
    <row collapsed="false" customFormat="false" customHeight="true" hidden="false" ht="15.75" outlineLevel="0" r="59">
      <c r="A59" s="39" t="n">
        <v>22</v>
      </c>
      <c r="B59" s="40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2" t="n">
        <f aca="false">SUM(C59:N59)</f>
        <v>0</v>
      </c>
    </row>
    <row collapsed="false" customFormat="false" customHeight="true" hidden="false" ht="15.75" outlineLevel="0" r="60">
      <c r="A60" s="39" t="n">
        <v>23</v>
      </c>
      <c r="B60" s="40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2" t="n">
        <f aca="false">SUM(C60:N60)</f>
        <v>0</v>
      </c>
    </row>
    <row collapsed="false" customFormat="false" customHeight="true" hidden="false" ht="15.75" outlineLevel="0" r="61">
      <c r="A61" s="39" t="n">
        <v>24</v>
      </c>
      <c r="B61" s="40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2" t="n">
        <f aca="false">SUM(C61:N61)</f>
        <v>0</v>
      </c>
    </row>
    <row collapsed="false" customFormat="false" customHeight="true" hidden="false" ht="15.75" outlineLevel="0" r="62">
      <c r="A62" s="39" t="n">
        <v>25</v>
      </c>
      <c r="B62" s="40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2" t="n">
        <f aca="false">SUM(C62:N62)</f>
        <v>0</v>
      </c>
    </row>
    <row collapsed="false" customFormat="false" customHeight="true" hidden="false" ht="15.75" outlineLevel="0" r="63">
      <c r="A63" s="39" t="n">
        <v>26</v>
      </c>
      <c r="B63" s="40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2" t="n">
        <f aca="false">SUM(C63:N63)</f>
        <v>0</v>
      </c>
    </row>
    <row collapsed="false" customFormat="false" customHeight="false" hidden="false" ht="14.9" outlineLevel="0" r="64">
      <c r="A64" s="44"/>
      <c r="B64" s="45" t="s">
        <v>27</v>
      </c>
      <c r="C64" s="47" t="n">
        <f aca="false">SUM(C38:C63)</f>
        <v>0</v>
      </c>
      <c r="D64" s="47" t="n">
        <f aca="false">SUM(D38:D63)</f>
        <v>372</v>
      </c>
      <c r="E64" s="47" t="n">
        <f aca="false">SUM(E38:E63)</f>
        <v>22032.18</v>
      </c>
      <c r="F64" s="47" t="n">
        <f aca="false">SUM(F38:F63)</f>
        <v>0</v>
      </c>
      <c r="G64" s="47" t="n">
        <f aca="false">SUM(G38:G63)</f>
        <v>1895.77</v>
      </c>
      <c r="H64" s="47" t="n">
        <f aca="false">SUM(H38:H63)</f>
        <v>1470</v>
      </c>
      <c r="I64" s="47" t="n">
        <f aca="false">SUM(I38:I63)</f>
        <v>3536.57</v>
      </c>
      <c r="J64" s="47" t="n">
        <f aca="false">SUM(J38:J63)</f>
        <v>0</v>
      </c>
      <c r="K64" s="47" t="n">
        <f aca="false">SUM(K38:K63)</f>
        <v>0</v>
      </c>
      <c r="L64" s="47" t="n">
        <f aca="false">SUM(L38:L63)</f>
        <v>0</v>
      </c>
      <c r="M64" s="47" t="n">
        <f aca="false">SUM(M38:M63)</f>
        <v>0</v>
      </c>
      <c r="N64" s="47" t="n">
        <f aca="false">SUM(N38:N63)</f>
        <v>0</v>
      </c>
      <c r="O64" s="46" t="n">
        <f aca="false">SUM(O38:O63)</f>
        <v>29306.52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colorId="64" defaultGridColor="true" rightToLeft="false" showFormulas="false" showGridLines="true" showOutlineSymbols="true" showRowColHeaders="true" showZeros="true" tabSelected="false" topLeftCell="A5" view="normal" windowProtection="false" workbookViewId="0" zoomScale="100" zoomScaleNormal="100" zoomScalePageLayoutView="100">
      <selection activeCell="A14" activeCellId="0" pane="topLeft" sqref="A14"/>
    </sheetView>
  </sheetViews>
  <cols>
    <col collapsed="false" hidden="false" max="1" min="1" style="48" width="86.3647058823529"/>
    <col collapsed="false" hidden="false" max="3" min="2" style="48" width="25.6235294117647"/>
    <col collapsed="false" hidden="false" max="6" min="4" style="48" width="26.7882352941176"/>
    <col collapsed="false" hidden="false" max="7" min="7" style="48" width="23.4352941176471"/>
    <col collapsed="false" hidden="false" max="8" min="8" style="48" width="27.1882352941176"/>
    <col collapsed="false" hidden="false" max="13" min="9" style="48" width="23.4352941176471"/>
    <col collapsed="false" hidden="false" max="14" min="14" style="48" width="15.0235294117647"/>
    <col collapsed="false" hidden="false" max="257" min="15" style="48" width="24.1490196078431"/>
  </cols>
  <sheetData>
    <row collapsed="false" customFormat="false" customHeight="false" hidden="false" ht="17.9" outlineLevel="0" r="1">
      <c r="A1" s="49" t="s">
        <v>28</v>
      </c>
    </row>
    <row collapsed="false" customFormat="false" customHeight="true" hidden="false" ht="30" outlineLevel="0" r="2">
      <c r="B2" s="3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collapsed="false" customFormat="false" customHeight="false" hidden="true" ht="12.8" outlineLevel="0" r="3">
      <c r="A3" s="50"/>
      <c r="B3" s="6" t="n">
        <v>200</v>
      </c>
      <c r="C3" s="6" t="n">
        <v>200</v>
      </c>
      <c r="D3" s="6" t="n">
        <v>200</v>
      </c>
      <c r="E3" s="6" t="n">
        <v>200</v>
      </c>
      <c r="F3" s="6" t="n">
        <v>200</v>
      </c>
      <c r="G3" s="6" t="n">
        <v>200</v>
      </c>
      <c r="H3" s="6" t="n">
        <v>200</v>
      </c>
      <c r="I3" s="51"/>
      <c r="J3" s="52"/>
      <c r="K3" s="52"/>
      <c r="L3" s="52"/>
      <c r="M3" s="52"/>
    </row>
    <row collapsed="false" customFormat="false" customHeight="false" hidden="true" ht="12.8" outlineLevel="0" r="4">
      <c r="A4" s="53"/>
      <c r="B4" s="54"/>
      <c r="C4" s="54"/>
      <c r="D4" s="54"/>
      <c r="E4" s="54"/>
      <c r="F4" s="54"/>
      <c r="G4" s="54"/>
      <c r="H4" s="54"/>
      <c r="I4" s="53"/>
      <c r="J4" s="53"/>
      <c r="K4" s="53"/>
      <c r="L4" s="53"/>
      <c r="M4" s="53"/>
      <c r="N4" s="53"/>
    </row>
    <row collapsed="false" customFormat="false" customHeight="false" hidden="false" ht="15.65" outlineLevel="0" r="5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</row>
    <row collapsed="false" customFormat="false" customHeight="true" hidden="false" ht="12.75" outlineLevel="0" r="6">
      <c r="A6" s="55" t="s">
        <v>30</v>
      </c>
      <c r="B6" s="10"/>
      <c r="C6" s="56"/>
      <c r="D6" s="57" t="n">
        <f aca="false">8*300</f>
        <v>2400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collapsed="false" customFormat="false" customHeight="true" hidden="false" ht="12.75" outlineLevel="0" r="7">
      <c r="A7" s="58" t="s">
        <v>31</v>
      </c>
      <c r="B7" s="10"/>
      <c r="D7" s="59" t="n">
        <v>5000</v>
      </c>
      <c r="E7" s="10"/>
      <c r="F7" s="10"/>
      <c r="G7" s="10"/>
      <c r="H7" s="10"/>
      <c r="I7" s="10"/>
      <c r="J7" s="10"/>
      <c r="K7" s="10"/>
      <c r="L7" s="10"/>
      <c r="M7" s="10"/>
      <c r="N7" s="10"/>
    </row>
    <row collapsed="false" customFormat="false" customHeight="true" hidden="false" ht="12.75" outlineLevel="0" r="8">
      <c r="A8" s="58" t="s">
        <v>32</v>
      </c>
      <c r="B8" s="10"/>
      <c r="C8" s="10"/>
      <c r="D8" s="57" t="n">
        <f aca="false">300*19</f>
        <v>5700</v>
      </c>
      <c r="E8" s="10"/>
      <c r="F8" s="10"/>
      <c r="G8" s="10"/>
      <c r="H8" s="10"/>
      <c r="I8" s="10"/>
      <c r="J8" s="10"/>
      <c r="K8" s="10"/>
      <c r="L8" s="10"/>
      <c r="M8" s="10"/>
      <c r="N8" s="10"/>
    </row>
    <row collapsed="false" customFormat="false" customHeight="true" hidden="false" ht="12.75" outlineLevel="0" r="9">
      <c r="A9" s="11" t="s">
        <v>33</v>
      </c>
      <c r="B9" s="10"/>
      <c r="C9" s="10"/>
      <c r="D9" s="60" t="n">
        <v>3000</v>
      </c>
      <c r="E9" s="10"/>
      <c r="F9" s="10"/>
      <c r="G9" s="10"/>
      <c r="H9" s="10"/>
      <c r="I9" s="10"/>
      <c r="J9" s="10"/>
      <c r="K9" s="10"/>
      <c r="L9" s="10"/>
      <c r="M9" s="10"/>
      <c r="N9" s="10"/>
    </row>
    <row collapsed="false" customFormat="false" customHeight="true" hidden="false" ht="12.75" outlineLevel="0" r="10">
      <c r="A10" s="11" t="s">
        <v>34</v>
      </c>
      <c r="B10" s="10"/>
      <c r="C10" s="10"/>
      <c r="D10" s="60"/>
      <c r="E10" s="10"/>
      <c r="F10" s="10" t="n">
        <v>1000</v>
      </c>
      <c r="G10" s="10"/>
      <c r="H10" s="10"/>
      <c r="I10" s="10"/>
      <c r="J10" s="10"/>
      <c r="K10" s="10"/>
      <c r="L10" s="10"/>
      <c r="M10" s="10"/>
      <c r="N10" s="10"/>
    </row>
    <row collapsed="false" customFormat="false" customHeight="true" hidden="false" ht="12.75" outlineLevel="0" r="11">
      <c r="A11" s="11" t="s">
        <v>35</v>
      </c>
      <c r="B11" s="10"/>
      <c r="C11" s="10"/>
      <c r="D11" s="60"/>
      <c r="E11" s="10"/>
      <c r="F11" s="10" t="n">
        <f aca="false">15*80</f>
        <v>1200</v>
      </c>
      <c r="G11" s="10"/>
      <c r="H11" s="10"/>
      <c r="I11" s="10"/>
      <c r="J11" s="10"/>
      <c r="K11" s="10"/>
      <c r="L11" s="10"/>
      <c r="M11" s="10"/>
      <c r="N11" s="10"/>
    </row>
    <row collapsed="false" customFormat="false" customHeight="true" hidden="false" ht="12.75" outlineLevel="0" r="12">
      <c r="A12" s="11" t="s">
        <v>36</v>
      </c>
      <c r="B12" s="10"/>
      <c r="C12" s="10"/>
      <c r="D12" s="60"/>
      <c r="E12" s="10"/>
      <c r="F12" s="10"/>
      <c r="G12" s="10"/>
      <c r="H12" s="10" t="n">
        <f aca="false">30*3.14</f>
        <v>94.2</v>
      </c>
      <c r="I12" s="10"/>
      <c r="J12" s="10"/>
      <c r="K12" s="10"/>
      <c r="L12" s="10"/>
      <c r="M12" s="10"/>
      <c r="N12" s="10"/>
    </row>
    <row collapsed="false" customFormat="false" customHeight="true" hidden="false" ht="12.75" outlineLevel="0" r="13">
      <c r="A13" s="11" t="s">
        <v>37</v>
      </c>
      <c r="B13" s="10"/>
      <c r="C13" s="10"/>
      <c r="D13" s="60"/>
      <c r="E13" s="10"/>
      <c r="F13" s="10"/>
      <c r="G13" s="10"/>
      <c r="H13" s="10" t="n">
        <v>2210</v>
      </c>
      <c r="I13" s="10"/>
      <c r="J13" s="10"/>
      <c r="K13" s="10"/>
      <c r="L13" s="10"/>
      <c r="M13" s="10"/>
      <c r="N13" s="10"/>
    </row>
    <row collapsed="false" customFormat="false" customHeight="true" hidden="false" ht="12.75" outlineLevel="0" r="14">
      <c r="A14" s="11"/>
      <c r="B14" s="10"/>
      <c r="C14" s="10"/>
      <c r="D14" s="6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collapsed="false" customFormat="false" customHeight="true" hidden="false" ht="12.75" outlineLevel="0" r="15">
      <c r="A15" s="11"/>
      <c r="B15" s="10"/>
      <c r="C15" s="10"/>
      <c r="D15" s="6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collapsed="false" customFormat="false" customHeight="true" hidden="false" ht="12.75" outlineLevel="0" r="16">
      <c r="A16" s="11"/>
      <c r="B16" s="10"/>
      <c r="C16" s="10"/>
      <c r="D16" s="6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collapsed="false" customFormat="false" customHeight="true" hidden="false" ht="12.75" outlineLevel="0" r="17">
      <c r="A17" s="11"/>
      <c r="B17" s="10"/>
      <c r="C17" s="10"/>
      <c r="D17" s="6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collapsed="false" customFormat="false" customHeight="true" hidden="false" ht="12.75" outlineLevel="0" r="18">
      <c r="A18" s="11"/>
      <c r="B18" s="10"/>
      <c r="C18" s="10"/>
      <c r="D18" s="6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collapsed="false" customFormat="false" customHeight="true" hidden="false" ht="12.75" outlineLevel="0" r="19">
      <c r="A19" s="11"/>
      <c r="B19" s="10"/>
      <c r="C19" s="10"/>
      <c r="D19" s="6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collapsed="false" customFormat="false" customHeight="true" hidden="false" ht="12.75" outlineLevel="0" r="20">
      <c r="A20" s="12"/>
      <c r="B20" s="10"/>
      <c r="C20" s="10"/>
      <c r="D20" s="6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collapsed="false" customFormat="false" customHeight="false" hidden="false" ht="15.65" outlineLevel="0" r="21">
      <c r="A21" s="7" t="s">
        <v>17</v>
      </c>
      <c r="B21" s="14" t="n">
        <f aca="false">SUM(B6:B20)</f>
        <v>0</v>
      </c>
      <c r="C21" s="14" t="n">
        <f aca="false">SUM(C6:C20)</f>
        <v>0</v>
      </c>
      <c r="D21" s="14" t="n">
        <f aca="false">SUM(D6:D20)</f>
        <v>16100</v>
      </c>
      <c r="E21" s="14" t="n">
        <f aca="false">SUM(E6:E20)</f>
        <v>0</v>
      </c>
      <c r="F21" s="14" t="n">
        <f aca="false">SUM(F6:F20)</f>
        <v>2200</v>
      </c>
      <c r="G21" s="14" t="n">
        <f aca="false">SUM(G6:G20)</f>
        <v>0</v>
      </c>
      <c r="H21" s="14" t="n">
        <f aca="false">SUM(H6:H20)</f>
        <v>2304.2</v>
      </c>
      <c r="I21" s="14" t="n">
        <f aca="false">SUM(I6:I20)</f>
        <v>0</v>
      </c>
      <c r="J21" s="14" t="n">
        <f aca="false">SUM(J6:J20)</f>
        <v>0</v>
      </c>
      <c r="K21" s="14" t="n">
        <f aca="false">SUM(K6:K20)</f>
        <v>0</v>
      </c>
      <c r="L21" s="14" t="n">
        <f aca="false">SUM(L6:L20)</f>
        <v>0</v>
      </c>
      <c r="M21" s="14" t="n">
        <f aca="false">SUM(M6:M20)</f>
        <v>0</v>
      </c>
      <c r="N21" s="14" t="n">
        <f aca="false">SUM(N6:N20)</f>
        <v>0</v>
      </c>
    </row>
    <row collapsed="false" customFormat="false" customHeight="false" hidden="false" ht="15.2" outlineLevel="0" r="22">
      <c r="A22" s="6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collapsed="false" customFormat="false" customHeight="false" hidden="false" ht="15.65" outlineLevel="0" r="23">
      <c r="A23" s="62" t="s">
        <v>38</v>
      </c>
      <c r="B23" s="20" t="str">
        <f aca="false">B5</f>
        <v>SEPTIEMBRE</v>
      </c>
      <c r="C23" s="20" t="str">
        <f aca="false">C5</f>
        <v>OCTUBRE</v>
      </c>
      <c r="D23" s="20" t="str">
        <f aca="false">D5</f>
        <v>NOVIEMBRE</v>
      </c>
      <c r="E23" s="20" t="str">
        <f aca="false">E5</f>
        <v>DICIEMBRE</v>
      </c>
      <c r="F23" s="20" t="str">
        <f aca="false">F5</f>
        <v>ENERO</v>
      </c>
      <c r="G23" s="20" t="str">
        <f aca="false">G5</f>
        <v>FEBRERO</v>
      </c>
      <c r="H23" s="20" t="str">
        <f aca="false">H5</f>
        <v>MARZO</v>
      </c>
      <c r="I23" s="20" t="str">
        <f aca="false">I5</f>
        <v>ABRIL</v>
      </c>
      <c r="J23" s="20" t="str">
        <f aca="false">J5</f>
        <v>MAYO</v>
      </c>
      <c r="K23" s="20" t="str">
        <f aca="false">K5</f>
        <v>JUNIO</v>
      </c>
      <c r="L23" s="20" t="str">
        <f aca="false">L5</f>
        <v>JULIO</v>
      </c>
      <c r="M23" s="20" t="str">
        <f aca="false">M5</f>
        <v>AGOSTO</v>
      </c>
      <c r="N23" s="20" t="str">
        <f aca="false">N5</f>
        <v>TOTAL</v>
      </c>
    </row>
    <row collapsed="false" customFormat="false" customHeight="true" hidden="false" ht="12.75" outlineLevel="0" r="24">
      <c r="A24" s="63" t="s">
        <v>39</v>
      </c>
      <c r="B24" s="10"/>
      <c r="C24" s="10" t="n">
        <v>212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collapsed="false" customFormat="false" customHeight="true" hidden="false" ht="12.75" outlineLevel="0" r="25">
      <c r="A25" s="63" t="s">
        <v>40</v>
      </c>
      <c r="B25" s="10"/>
      <c r="C25" s="10" t="n">
        <v>160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collapsed="false" customFormat="false" customHeight="true" hidden="false" ht="12.75" outlineLevel="0" r="26">
      <c r="A26" s="63" t="s">
        <v>41</v>
      </c>
      <c r="B26" s="10"/>
      <c r="D26" s="10" t="n">
        <v>2035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collapsed="false" customFormat="false" customHeight="true" hidden="false" ht="12.75" outlineLevel="0" r="27">
      <c r="A27" s="63" t="s">
        <v>42</v>
      </c>
      <c r="B27" s="10"/>
      <c r="C27" s="10"/>
      <c r="D27" s="10" t="n">
        <v>242.56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collapsed="false" customFormat="false" customHeight="true" hidden="false" ht="12.75" outlineLevel="0" r="28">
      <c r="A28" s="63" t="s">
        <v>43</v>
      </c>
      <c r="B28" s="10"/>
      <c r="C28" s="10"/>
      <c r="D28" s="10" t="n">
        <v>2250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collapsed="false" customFormat="false" customHeight="true" hidden="false" ht="12.75" outlineLevel="0" r="29">
      <c r="A29" s="63" t="s">
        <v>44</v>
      </c>
      <c r="B29" s="10"/>
      <c r="C29" s="10"/>
      <c r="D29" s="10" t="n">
        <v>229.99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collapsed="false" customFormat="false" customHeight="true" hidden="false" ht="12.75" outlineLevel="0" r="30">
      <c r="A30" s="63" t="s">
        <v>45</v>
      </c>
      <c r="B30" s="10"/>
      <c r="C30" s="10"/>
      <c r="D30" s="10" t="n">
        <v>218.82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collapsed="false" customFormat="false" customHeight="true" hidden="false" ht="12.75" outlineLevel="0" r="31">
      <c r="A31" s="63" t="s">
        <v>46</v>
      </c>
      <c r="B31" s="10"/>
      <c r="C31" s="10"/>
      <c r="D31" s="10" t="n">
        <f aca="false">50*130</f>
        <v>6500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collapsed="false" customFormat="false" customHeight="true" hidden="false" ht="12.75" outlineLevel="0" r="32">
      <c r="A32" s="63" t="s">
        <v>47</v>
      </c>
      <c r="B32" s="10"/>
      <c r="C32" s="10"/>
      <c r="D32" s="10" t="n">
        <v>1100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collapsed="false" customFormat="false" customHeight="true" hidden="false" ht="12.75" outlineLevel="0" r="33">
      <c r="A33" s="63" t="s">
        <v>48</v>
      </c>
      <c r="B33" s="10"/>
      <c r="C33" s="10"/>
      <c r="D33" s="10" t="n">
        <v>757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collapsed="false" customFormat="false" customHeight="true" hidden="false" ht="12.75" outlineLevel="0" r="34">
      <c r="A34" s="63" t="s">
        <v>49</v>
      </c>
      <c r="B34" s="10"/>
      <c r="C34" s="10"/>
      <c r="D34" s="10" t="n">
        <v>500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collapsed="false" customFormat="false" customHeight="true" hidden="false" ht="12.75" outlineLevel="0" r="35">
      <c r="A35" s="63" t="s">
        <v>50</v>
      </c>
      <c r="B35" s="10"/>
      <c r="C35" s="10"/>
      <c r="D35" s="10" t="n">
        <v>8198.81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collapsed="false" customFormat="false" customHeight="true" hidden="false" ht="12.75" outlineLevel="0" r="36">
      <c r="A36" s="63" t="s">
        <v>51</v>
      </c>
      <c r="B36" s="10"/>
      <c r="C36" s="10"/>
      <c r="D36" s="10"/>
      <c r="E36" s="10"/>
      <c r="F36" s="10" t="n">
        <v>524</v>
      </c>
      <c r="G36" s="10"/>
      <c r="H36" s="10"/>
      <c r="I36" s="10"/>
      <c r="J36" s="10"/>
      <c r="K36" s="10"/>
      <c r="L36" s="10"/>
      <c r="M36" s="10"/>
      <c r="N36" s="10"/>
    </row>
    <row collapsed="false" customFormat="false" customHeight="true" hidden="false" ht="12.75" outlineLevel="0" r="37">
      <c r="A37" s="63" t="s">
        <v>52</v>
      </c>
      <c r="B37" s="10"/>
      <c r="C37" s="10"/>
      <c r="D37" s="10"/>
      <c r="E37" s="10"/>
      <c r="F37" s="10" t="n">
        <v>1175.01</v>
      </c>
      <c r="G37" s="10"/>
      <c r="H37" s="10"/>
      <c r="I37" s="10"/>
      <c r="J37" s="10"/>
      <c r="K37" s="10"/>
      <c r="L37" s="10"/>
      <c r="M37" s="10"/>
      <c r="N37" s="10"/>
    </row>
    <row collapsed="false" customFormat="false" customHeight="true" hidden="false" ht="12.75" outlineLevel="0" r="38">
      <c r="A38" s="63" t="s">
        <v>53</v>
      </c>
      <c r="B38" s="10"/>
      <c r="C38" s="10"/>
      <c r="D38" s="10"/>
      <c r="E38" s="10"/>
      <c r="F38" s="10" t="n">
        <v>196.76</v>
      </c>
      <c r="G38" s="10"/>
      <c r="H38" s="10"/>
      <c r="I38" s="10"/>
      <c r="J38" s="10"/>
      <c r="K38" s="10"/>
      <c r="L38" s="10"/>
      <c r="M38" s="10"/>
      <c r="N38" s="10"/>
    </row>
    <row collapsed="false" customFormat="false" customHeight="true" hidden="false" ht="12.75" outlineLevel="0" r="39">
      <c r="A39" s="63" t="s">
        <v>54</v>
      </c>
      <c r="B39" s="10"/>
      <c r="C39" s="10"/>
      <c r="D39" s="10"/>
      <c r="E39" s="10"/>
      <c r="F39" s="10"/>
      <c r="G39" s="10" t="n">
        <v>1470</v>
      </c>
      <c r="H39" s="10"/>
      <c r="I39" s="10"/>
      <c r="J39" s="10"/>
      <c r="K39" s="10"/>
      <c r="L39" s="10"/>
      <c r="M39" s="10"/>
      <c r="N39" s="10"/>
    </row>
    <row collapsed="false" customFormat="false" customHeight="true" hidden="false" ht="12.75" outlineLevel="0" r="40">
      <c r="A40" s="63" t="s">
        <v>55</v>
      </c>
      <c r="B40" s="10"/>
      <c r="C40" s="10"/>
      <c r="D40" s="10"/>
      <c r="E40" s="10"/>
      <c r="F40" s="10"/>
      <c r="G40" s="10"/>
      <c r="H40" s="10" t="n">
        <v>100</v>
      </c>
      <c r="I40" s="10"/>
      <c r="J40" s="10"/>
      <c r="K40" s="10"/>
      <c r="L40" s="10"/>
      <c r="M40" s="10"/>
      <c r="N40" s="10"/>
    </row>
    <row collapsed="false" customFormat="false" customHeight="true" hidden="false" ht="12.75" outlineLevel="0" r="41">
      <c r="A41" s="63" t="s">
        <v>56</v>
      </c>
      <c r="B41" s="10"/>
      <c r="C41" s="10"/>
      <c r="D41" s="10"/>
      <c r="E41" s="10"/>
      <c r="F41" s="10"/>
      <c r="G41" s="10"/>
      <c r="H41" s="10" t="n">
        <v>11.92</v>
      </c>
      <c r="I41" s="10"/>
      <c r="J41" s="10"/>
      <c r="K41" s="10"/>
      <c r="L41" s="10"/>
      <c r="M41" s="10"/>
      <c r="N41" s="10"/>
    </row>
    <row collapsed="false" customFormat="false" customHeight="true" hidden="false" ht="12.75" outlineLevel="0" r="42">
      <c r="A42" s="63" t="s">
        <v>57</v>
      </c>
      <c r="B42" s="10"/>
      <c r="C42" s="10"/>
      <c r="D42" s="10"/>
      <c r="E42" s="10"/>
      <c r="F42" s="10"/>
      <c r="G42" s="10"/>
      <c r="H42" s="10" t="n">
        <v>173.94</v>
      </c>
      <c r="I42" s="10"/>
      <c r="J42" s="10"/>
      <c r="K42" s="10"/>
      <c r="L42" s="10"/>
      <c r="M42" s="10"/>
      <c r="N42" s="10"/>
    </row>
    <row collapsed="false" customFormat="false" customHeight="true" hidden="false" ht="12.75" outlineLevel="0" r="43">
      <c r="A43" s="63" t="s">
        <v>58</v>
      </c>
      <c r="B43" s="10"/>
      <c r="C43" s="10"/>
      <c r="D43" s="10"/>
      <c r="E43" s="10"/>
      <c r="F43" s="10"/>
      <c r="G43" s="10"/>
      <c r="H43" s="10" t="n">
        <v>65</v>
      </c>
      <c r="I43" s="10"/>
      <c r="J43" s="10"/>
      <c r="K43" s="10"/>
      <c r="L43" s="10"/>
      <c r="M43" s="10"/>
      <c r="N43" s="10"/>
    </row>
    <row collapsed="false" customFormat="false" customHeight="true" hidden="false" ht="12.75" outlineLevel="0" r="44">
      <c r="A44" s="63" t="s">
        <v>59</v>
      </c>
      <c r="B44" s="10"/>
      <c r="C44" s="10"/>
      <c r="D44" s="10"/>
      <c r="E44" s="10"/>
      <c r="F44" s="10"/>
      <c r="G44" s="10"/>
      <c r="H44" s="10" t="n">
        <v>200</v>
      </c>
      <c r="I44" s="10"/>
      <c r="J44" s="10"/>
      <c r="K44" s="10"/>
      <c r="L44" s="10"/>
      <c r="M44" s="10"/>
      <c r="N44" s="10"/>
    </row>
    <row collapsed="false" customFormat="false" customHeight="true" hidden="false" ht="12.75" outlineLevel="0" r="45">
      <c r="A45" s="63" t="s">
        <v>60</v>
      </c>
      <c r="B45" s="10"/>
      <c r="C45" s="10"/>
      <c r="D45" s="10"/>
      <c r="E45" s="10"/>
      <c r="F45" s="10"/>
      <c r="G45" s="10"/>
      <c r="H45" s="10" t="n">
        <v>114.96</v>
      </c>
      <c r="I45" s="10"/>
      <c r="J45" s="10"/>
      <c r="K45" s="10"/>
      <c r="L45" s="10"/>
      <c r="M45" s="10"/>
      <c r="N45" s="10"/>
    </row>
    <row collapsed="false" customFormat="false" customHeight="true" hidden="false" ht="12.75" outlineLevel="0" r="46">
      <c r="A46" s="63" t="s">
        <v>61</v>
      </c>
      <c r="B46" s="10"/>
      <c r="C46" s="10"/>
      <c r="D46" s="10"/>
      <c r="E46" s="10"/>
      <c r="F46" s="10"/>
      <c r="G46" s="10"/>
      <c r="H46" s="10" t="n">
        <v>155</v>
      </c>
      <c r="I46" s="10"/>
      <c r="J46" s="10"/>
      <c r="K46" s="10"/>
      <c r="L46" s="10"/>
      <c r="M46" s="10"/>
      <c r="N46" s="10"/>
    </row>
    <row collapsed="false" customFormat="false" customHeight="true" hidden="false" ht="12.75" outlineLevel="0" r="47">
      <c r="A47" s="63" t="s">
        <v>62</v>
      </c>
      <c r="B47" s="10"/>
      <c r="C47" s="10"/>
      <c r="D47" s="10"/>
      <c r="E47" s="10"/>
      <c r="F47" s="10"/>
      <c r="G47" s="10"/>
      <c r="H47" s="10" t="n">
        <v>700</v>
      </c>
      <c r="I47" s="10"/>
      <c r="J47" s="10"/>
      <c r="K47" s="10"/>
      <c r="L47" s="10"/>
      <c r="M47" s="10"/>
      <c r="N47" s="10"/>
    </row>
    <row collapsed="false" customFormat="false" customHeight="true" hidden="false" ht="12.75" outlineLevel="0" r="48">
      <c r="A48" s="63" t="s">
        <v>63</v>
      </c>
      <c r="B48" s="10"/>
      <c r="C48" s="10"/>
      <c r="D48" s="10"/>
      <c r="E48" s="10"/>
      <c r="F48" s="10"/>
      <c r="G48" s="10"/>
      <c r="H48" s="10" t="n">
        <v>1500</v>
      </c>
      <c r="I48" s="10"/>
      <c r="J48" s="10"/>
      <c r="K48" s="10"/>
      <c r="L48" s="10"/>
      <c r="M48" s="10"/>
      <c r="N48" s="10"/>
    </row>
    <row collapsed="false" customFormat="false" customHeight="true" hidden="false" ht="12.75" outlineLevel="0" r="49">
      <c r="A49" s="63" t="s">
        <v>64</v>
      </c>
      <c r="B49" s="10"/>
      <c r="C49" s="10"/>
      <c r="D49" s="10"/>
      <c r="E49" s="10"/>
      <c r="F49" s="10"/>
      <c r="G49" s="10"/>
      <c r="H49" s="10" t="n">
        <v>430</v>
      </c>
      <c r="I49" s="10"/>
      <c r="J49" s="10"/>
      <c r="K49" s="10"/>
      <c r="L49" s="10"/>
      <c r="M49" s="10"/>
      <c r="N49" s="10"/>
    </row>
    <row collapsed="false" customFormat="false" customHeight="true" hidden="false" ht="12.75" outlineLevel="0" r="50">
      <c r="A50" s="63" t="s">
        <v>65</v>
      </c>
      <c r="B50" s="10"/>
      <c r="C50" s="10"/>
      <c r="D50" s="10"/>
      <c r="E50" s="10"/>
      <c r="F50" s="10"/>
      <c r="G50" s="10"/>
      <c r="H50" s="10" t="n">
        <v>85.75</v>
      </c>
      <c r="I50" s="10"/>
      <c r="J50" s="10"/>
      <c r="K50" s="10"/>
      <c r="L50" s="10"/>
      <c r="M50" s="10"/>
      <c r="N50" s="10"/>
    </row>
    <row collapsed="false" customFormat="false" customHeight="true" hidden="false" ht="12.75" outlineLevel="0" r="51">
      <c r="A51" s="63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collapsed="false" customFormat="false" customHeight="true" hidden="false" ht="12.75" outlineLevel="0" r="52">
      <c r="A52" s="63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collapsed="false" customFormat="false" customHeight="true" hidden="false" ht="12.75" outlineLevel="0" r="53">
      <c r="A53" s="63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collapsed="false" customFormat="false" customHeight="true" hidden="false" ht="12.75" outlineLevel="0" r="54">
      <c r="A54" s="63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collapsed="false" customFormat="false" customHeight="false" hidden="false" ht="15.65" outlineLevel="0" r="55">
      <c r="A55" s="64" t="s">
        <v>13</v>
      </c>
      <c r="B55" s="28" t="n">
        <f aca="false">SUM(B24:B54)</f>
        <v>0</v>
      </c>
      <c r="C55" s="28" t="n">
        <f aca="false">SUM(C24:C54)</f>
        <v>372</v>
      </c>
      <c r="D55" s="28" t="n">
        <f aca="false">SUM(D24:D54)</f>
        <v>22032.18</v>
      </c>
      <c r="E55" s="28" t="n">
        <f aca="false">SUM(E24:E54)</f>
        <v>0</v>
      </c>
      <c r="F55" s="28" t="n">
        <f aca="false">SUM(F24:F54)</f>
        <v>1895.77</v>
      </c>
      <c r="G55" s="28" t="n">
        <f aca="false">SUM(G24:G54)</f>
        <v>1470</v>
      </c>
      <c r="H55" s="28" t="n">
        <f aca="false">SUM(H24:H54)</f>
        <v>3536.57</v>
      </c>
      <c r="I55" s="28" t="n">
        <f aca="false">SUM(I24:I54)</f>
        <v>0</v>
      </c>
      <c r="J55" s="28" t="n">
        <f aca="false">SUM(J24:J54)</f>
        <v>0</v>
      </c>
      <c r="K55" s="28" t="n">
        <f aca="false">SUM(K24:K54)</f>
        <v>0</v>
      </c>
      <c r="L55" s="28" t="n">
        <f aca="false">SUM(L24:L54)</f>
        <v>0</v>
      </c>
      <c r="M55" s="28" t="n">
        <f aca="false">SUM(M24:M54)</f>
        <v>0</v>
      </c>
      <c r="N55" s="28" t="n">
        <f aca="false">SUM(N24:N54)</f>
        <v>0</v>
      </c>
    </row>
    <row collapsed="false" customFormat="false" customHeight="false" hidden="false" ht="15.2" outlineLevel="0" r="56">
      <c r="A56" s="15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</row>
    <row collapsed="false" customFormat="false" customHeight="false" hidden="false" ht="12.8" outlineLevel="0"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</row>
    <row collapsed="false" customFormat="false" customHeight="false" hidden="false" ht="15.65" outlineLevel="0" r="58">
      <c r="A58" s="29" t="s">
        <v>21</v>
      </c>
      <c r="B58" s="30" t="n">
        <f aca="false">B21-B55</f>
        <v>0</v>
      </c>
      <c r="C58" s="30" t="n">
        <f aca="false">C21-C55</f>
        <v>-372</v>
      </c>
      <c r="D58" s="30" t="n">
        <f aca="false">D21-D55</f>
        <v>-5932.18</v>
      </c>
      <c r="E58" s="30" t="n">
        <f aca="false">E21-E55</f>
        <v>0</v>
      </c>
      <c r="F58" s="30" t="n">
        <f aca="false">F21-F55</f>
        <v>304.23</v>
      </c>
      <c r="G58" s="30" t="n">
        <f aca="false">G21-G55</f>
        <v>-1470</v>
      </c>
      <c r="H58" s="30" t="n">
        <f aca="false">H21-H55</f>
        <v>-1232.37</v>
      </c>
      <c r="I58" s="30" t="n">
        <f aca="false">I21-I55</f>
        <v>0</v>
      </c>
      <c r="J58" s="30" t="n">
        <f aca="false">J21-J55</f>
        <v>0</v>
      </c>
      <c r="K58" s="30" t="n">
        <f aca="false">K21-K55</f>
        <v>0</v>
      </c>
      <c r="L58" s="30" t="n">
        <f aca="false">L21-L55</f>
        <v>0</v>
      </c>
      <c r="M58" s="30" t="n">
        <f aca="false">M21-M55</f>
        <v>0</v>
      </c>
      <c r="N58" s="30" t="n">
        <f aca="false">N21-N55</f>
        <v>0</v>
      </c>
    </row>
  </sheetData>
  <mergeCells count="1">
    <mergeCell ref="B2:M2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8"/>
  <sheetViews>
    <sheetView colorId="64" defaultGridColor="true" rightToLeft="false" showFormulas="false" showGridLines="true" showOutlineSymbols="true" showRowColHeaders="true" showZeros="true" tabSelected="false" topLeftCell="A20" view="normal" windowProtection="false" workbookViewId="0" zoomScale="100" zoomScaleNormal="100" zoomScalePageLayoutView="100">
      <selection activeCell="B48" activeCellId="0" pane="topLeft" sqref="B48"/>
    </sheetView>
  </sheetViews>
  <cols>
    <col collapsed="false" hidden="false" max="1" min="1" style="1" width="55.7411764705882"/>
    <col collapsed="false" hidden="false" max="2" min="2" style="1" width="104.090196078431"/>
    <col collapsed="false" hidden="false" max="3" min="3" style="1" width="45.9450980392157"/>
    <col collapsed="false" hidden="false" max="7" min="4" style="1" width="36.1764705882353"/>
    <col collapsed="false" hidden="false" max="8" min="8" style="1" width="32.678431372549"/>
    <col collapsed="false" hidden="false" max="11" min="9" style="1" width="30.1882352941176"/>
    <col collapsed="false" hidden="false" max="12" min="12" style="1" width="30.4980392156863"/>
    <col collapsed="false" hidden="false" max="32" min="13" style="1" width="30.1882352941176"/>
    <col collapsed="false" hidden="false" max="33" min="33" style="1" width="33.5019607843137"/>
    <col collapsed="false" hidden="false" max="257" min="34" style="1" width="24.1490196078431"/>
  </cols>
  <sheetData>
    <row collapsed="false" customFormat="false" customHeight="false" hidden="false" ht="17.6" outlineLevel="0" r="1">
      <c r="A1" s="31" t="s">
        <v>66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collapsed="false" customFormat="false" customHeight="true" hidden="false" ht="15.75" outlineLevel="0" r="3">
      <c r="A3" s="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 t="n">
        <v>201.5</v>
      </c>
      <c r="D5" s="41" t="n">
        <v>818.3</v>
      </c>
      <c r="E5" s="41" t="n">
        <v>1774.5</v>
      </c>
      <c r="F5" s="66" t="n">
        <v>1120.75</v>
      </c>
      <c r="G5" s="41" t="n">
        <v>1064.75</v>
      </c>
      <c r="H5" s="41" t="n">
        <v>899</v>
      </c>
      <c r="I5" s="41" t="n">
        <v>2070</v>
      </c>
      <c r="J5" s="41" t="n">
        <v>1156.51</v>
      </c>
      <c r="K5" s="41" t="n">
        <v>2099.51</v>
      </c>
      <c r="L5" s="41" t="n">
        <v>1221.51</v>
      </c>
      <c r="M5" s="67" t="n">
        <v>2445.1</v>
      </c>
      <c r="N5" s="67" t="n">
        <v>986.69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 t="n">
        <f aca="false">818.3+200</f>
        <v>1018.3</v>
      </c>
      <c r="D6" s="41" t="n">
        <v>1774.5</v>
      </c>
      <c r="E6" s="66" t="n">
        <v>2520.75</v>
      </c>
      <c r="F6" s="41" t="n">
        <v>1964.75</v>
      </c>
      <c r="G6" s="41" t="n">
        <v>1899</v>
      </c>
      <c r="H6" s="41" t="n">
        <v>1944</v>
      </c>
      <c r="I6" s="41" t="n">
        <v>3256.61</v>
      </c>
      <c r="J6" s="41" t="n">
        <v>2099.51</v>
      </c>
      <c r="K6" s="41" t="n">
        <v>3721.51</v>
      </c>
      <c r="L6" s="41" t="n">
        <v>2445.1</v>
      </c>
      <c r="M6" s="67" t="n">
        <v>3447.49</v>
      </c>
      <c r="N6" s="67" t="n">
        <v>2156.3</v>
      </c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816.8</v>
      </c>
      <c r="D7" s="46" t="n">
        <f aca="false">D6-D5</f>
        <v>956.2</v>
      </c>
      <c r="E7" s="46" t="n">
        <f aca="false">E6-E5</f>
        <v>746.25</v>
      </c>
      <c r="F7" s="46" t="n">
        <f aca="false">F6-F5</f>
        <v>844</v>
      </c>
      <c r="G7" s="46" t="n">
        <f aca="false">G6-G5</f>
        <v>834.25</v>
      </c>
      <c r="H7" s="46" t="n">
        <f aca="false">H6-H5</f>
        <v>1045</v>
      </c>
      <c r="I7" s="46" t="n">
        <f aca="false">I6-I5</f>
        <v>1186.61</v>
      </c>
      <c r="J7" s="46" t="n">
        <f aca="false">J6-J5</f>
        <v>943</v>
      </c>
      <c r="K7" s="46" t="n">
        <f aca="false">K6-K5</f>
        <v>1622</v>
      </c>
      <c r="L7" s="46" t="n">
        <f aca="false">L6-L5</f>
        <v>1223.59</v>
      </c>
      <c r="M7" s="68" t="n">
        <f aca="false">M6-M5</f>
        <v>1002.39</v>
      </c>
      <c r="N7" s="68" t="n">
        <f aca="false">N6-N5</f>
        <v>1169.61</v>
      </c>
      <c r="O7" s="46" t="n">
        <f aca="false">O6-O5</f>
        <v>0</v>
      </c>
      <c r="P7" s="46" t="n">
        <f aca="false">P6-P5</f>
        <v>0</v>
      </c>
      <c r="Q7" s="46" t="n">
        <f aca="false">Q6-Q5</f>
        <v>0</v>
      </c>
      <c r="R7" s="46" t="n">
        <f aca="false">R6-R5</f>
        <v>0</v>
      </c>
      <c r="S7" s="46" t="n">
        <f aca="false">S6-S5</f>
        <v>0</v>
      </c>
      <c r="T7" s="46" t="n">
        <f aca="false">T6-T5</f>
        <v>0</v>
      </c>
      <c r="U7" s="46" t="n">
        <f aca="false">U6-U5</f>
        <v>0</v>
      </c>
      <c r="V7" s="46" t="n">
        <f aca="false">V6-V5</f>
        <v>0</v>
      </c>
      <c r="W7" s="46" t="n">
        <f aca="false">W6-W5</f>
        <v>0</v>
      </c>
      <c r="X7" s="46" t="n">
        <f aca="false">X6-X5</f>
        <v>0</v>
      </c>
      <c r="Y7" s="46" t="n">
        <f aca="false">Y6-Y5</f>
        <v>0</v>
      </c>
      <c r="Z7" s="46" t="n">
        <f aca="false">Z6-Z5</f>
        <v>0</v>
      </c>
      <c r="AA7" s="46" t="n">
        <f aca="false">AA6-AA5</f>
        <v>0</v>
      </c>
      <c r="AB7" s="46" t="n">
        <f aca="false">AB6-AB5</f>
        <v>0</v>
      </c>
      <c r="AC7" s="46" t="n">
        <f aca="false">AC6-AC5</f>
        <v>0</v>
      </c>
      <c r="AD7" s="46" t="n">
        <f aca="false">AD6-AD5</f>
        <v>0</v>
      </c>
      <c r="AE7" s="46" t="n">
        <f aca="false">AE6-AE5</f>
        <v>0</v>
      </c>
      <c r="AF7" s="46" t="n">
        <f aca="false">AF6-AF5</f>
        <v>0</v>
      </c>
      <c r="AG7" s="46" t="n">
        <f aca="false">SUM(C7:AF7)</f>
        <v>12389.7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AG7-C38</f>
        <v>497.890000000001</v>
      </c>
    </row>
    <row collapsed="false" customFormat="false" customHeight="true" hidden="false" ht="15.75" outlineLevel="0" r="14">
      <c r="A14" s="39" t="n">
        <v>1</v>
      </c>
      <c r="B14" s="40" t="s">
        <v>104</v>
      </c>
      <c r="C14" s="41" t="n">
        <v>2865.91</v>
      </c>
      <c r="D14" s="69"/>
    </row>
    <row collapsed="false" customFormat="false" customHeight="true" hidden="false" ht="15.75" outlineLevel="0" r="15">
      <c r="A15" s="39" t="n">
        <f aca="false">A14+1</f>
        <v>2</v>
      </c>
      <c r="B15" s="40" t="s">
        <v>105</v>
      </c>
      <c r="C15" s="41" t="n">
        <v>153.5</v>
      </c>
      <c r="D15" s="69"/>
    </row>
    <row collapsed="false" customFormat="false" customHeight="true" hidden="false" ht="15.75" outlineLevel="0" r="16">
      <c r="A16" s="39" t="n">
        <f aca="false">A15+1</f>
        <v>3</v>
      </c>
      <c r="B16" s="40" t="s">
        <v>106</v>
      </c>
      <c r="C16" s="41" t="n">
        <v>556</v>
      </c>
      <c r="D16" s="69"/>
    </row>
    <row collapsed="false" customFormat="false" customHeight="true" hidden="false" ht="15.75" outlineLevel="0" r="17">
      <c r="A17" s="39" t="n">
        <f aca="false">A16+1</f>
        <v>4</v>
      </c>
      <c r="B17" s="40" t="s">
        <v>107</v>
      </c>
      <c r="C17" s="41" t="n">
        <v>97.5</v>
      </c>
      <c r="D17" s="69"/>
    </row>
    <row collapsed="false" customFormat="false" customHeight="true" hidden="false" ht="15.75" outlineLevel="0" r="18">
      <c r="A18" s="73" t="n">
        <f aca="false">A17+1</f>
        <v>5</v>
      </c>
      <c r="B18" s="74" t="s">
        <v>107</v>
      </c>
      <c r="C18" s="66" t="n">
        <v>65</v>
      </c>
      <c r="D18" s="69"/>
    </row>
    <row collapsed="false" customFormat="false" customHeight="true" hidden="false" ht="15.75" outlineLevel="0" r="19">
      <c r="A19" s="73" t="n">
        <f aca="false">A18+1</f>
        <v>6</v>
      </c>
      <c r="B19" s="40" t="s">
        <v>107</v>
      </c>
      <c r="C19" s="41" t="n">
        <v>78</v>
      </c>
      <c r="D19" s="69"/>
    </row>
    <row collapsed="false" customFormat="false" customHeight="true" hidden="false" ht="15.75" outlineLevel="0" r="20">
      <c r="A20" s="73" t="n">
        <f aca="false">A19+1</f>
        <v>7</v>
      </c>
      <c r="B20" s="40" t="s">
        <v>106</v>
      </c>
      <c r="C20" s="41" t="n">
        <v>835.5</v>
      </c>
      <c r="D20" s="69"/>
    </row>
    <row collapsed="false" customFormat="false" customHeight="true" hidden="false" ht="15.75" outlineLevel="0" r="21">
      <c r="A21" s="73" t="n">
        <f aca="false">A20+1</f>
        <v>8</v>
      </c>
      <c r="B21" s="40" t="s">
        <v>104</v>
      </c>
      <c r="C21" s="41" t="n">
        <v>1250</v>
      </c>
      <c r="D21" s="69"/>
    </row>
    <row collapsed="false" customFormat="false" customHeight="true" hidden="false" ht="15.75" outlineLevel="0" r="22">
      <c r="A22" s="73" t="n">
        <f aca="false">A21+1</f>
        <v>9</v>
      </c>
      <c r="B22" s="40" t="s">
        <v>105</v>
      </c>
      <c r="C22" s="41" t="n">
        <v>154.8</v>
      </c>
      <c r="D22" s="69"/>
    </row>
    <row collapsed="false" customFormat="false" customHeight="true" hidden="false" ht="15.75" outlineLevel="0" r="23">
      <c r="A23" s="73" t="n">
        <f aca="false">A22+1</f>
        <v>10</v>
      </c>
      <c r="B23" s="40" t="s">
        <v>107</v>
      </c>
      <c r="C23" s="41" t="n">
        <v>78</v>
      </c>
      <c r="D23" s="69"/>
    </row>
    <row collapsed="false" customFormat="false" customHeight="true" hidden="false" ht="15.75" outlineLevel="0" r="24">
      <c r="A24" s="73" t="n">
        <f aca="false">A23+1</f>
        <v>11</v>
      </c>
      <c r="B24" s="40" t="s">
        <v>106</v>
      </c>
      <c r="C24" s="41" t="n">
        <v>713</v>
      </c>
      <c r="D24" s="69"/>
    </row>
    <row collapsed="false" customFormat="false" customHeight="true" hidden="false" ht="15.75" outlineLevel="0" r="25">
      <c r="A25" s="73" t="n">
        <f aca="false">A24+1</f>
        <v>12</v>
      </c>
      <c r="B25" s="40" t="s">
        <v>105</v>
      </c>
      <c r="C25" s="41" t="n">
        <v>154.8</v>
      </c>
      <c r="D25" s="69"/>
    </row>
    <row collapsed="false" customFormat="false" customHeight="true" hidden="false" ht="15.75" outlineLevel="0" r="26">
      <c r="A26" s="73" t="n">
        <f aca="false">A25+1</f>
        <v>13</v>
      </c>
      <c r="B26" s="40" t="s">
        <v>107</v>
      </c>
      <c r="C26" s="41" t="n">
        <v>65</v>
      </c>
      <c r="D26" s="69"/>
    </row>
    <row collapsed="false" customFormat="false" customHeight="true" hidden="false" ht="15.75" outlineLevel="0" r="27">
      <c r="A27" s="73" t="n">
        <f aca="false">A26+1</f>
        <v>14</v>
      </c>
      <c r="B27" s="40" t="s">
        <v>106</v>
      </c>
      <c r="C27" s="41" t="n">
        <v>740</v>
      </c>
      <c r="D27" s="69"/>
    </row>
    <row collapsed="false" customFormat="false" customHeight="true" hidden="false" ht="15.75" outlineLevel="0" r="28">
      <c r="A28" s="73" t="n">
        <f aca="false">A27+1</f>
        <v>15</v>
      </c>
      <c r="B28" s="40" t="s">
        <v>107</v>
      </c>
      <c r="C28" s="41" t="n">
        <v>97.5</v>
      </c>
      <c r="D28" s="69"/>
    </row>
    <row collapsed="false" customFormat="false" customHeight="true" hidden="false" ht="15.75" outlineLevel="0" r="29">
      <c r="A29" s="73" t="n">
        <f aca="false">A28+1</f>
        <v>16</v>
      </c>
      <c r="B29" s="40" t="s">
        <v>105</v>
      </c>
      <c r="C29" s="41" t="n">
        <v>154.8</v>
      </c>
      <c r="D29" s="69"/>
    </row>
    <row collapsed="false" customFormat="false" customHeight="true" hidden="false" ht="15.75" outlineLevel="0" r="30">
      <c r="A30" s="73" t="n">
        <f aca="false">A29+1</f>
        <v>17</v>
      </c>
      <c r="B30" s="40" t="s">
        <v>105</v>
      </c>
      <c r="C30" s="41" t="n">
        <v>154.8</v>
      </c>
      <c r="D30" s="69"/>
    </row>
    <row collapsed="false" customFormat="false" customHeight="true" hidden="false" ht="15.75" outlineLevel="0" r="31">
      <c r="A31" s="73" t="n">
        <f aca="false">A30+1</f>
        <v>18</v>
      </c>
      <c r="B31" s="40" t="s">
        <v>104</v>
      </c>
      <c r="C31" s="41" t="n">
        <v>2947.8</v>
      </c>
      <c r="D31" s="69"/>
    </row>
    <row collapsed="false" customFormat="false" customHeight="true" hidden="false" ht="15.75" outlineLevel="0" r="32">
      <c r="A32" s="73" t="n">
        <f aca="false">A31+1</f>
        <v>19</v>
      </c>
      <c r="B32" s="75" t="s">
        <v>107</v>
      </c>
      <c r="C32" s="76" t="n">
        <v>97.5</v>
      </c>
      <c r="D32" s="69"/>
    </row>
    <row collapsed="false" customFormat="false" customHeight="true" hidden="false" ht="15.75" outlineLevel="0" r="33">
      <c r="A33" s="73" t="n">
        <f aca="false">A32+1</f>
        <v>20</v>
      </c>
      <c r="B33" s="77" t="s">
        <v>105</v>
      </c>
      <c r="C33" s="77" t="n">
        <v>154.8</v>
      </c>
      <c r="D33" s="69"/>
    </row>
    <row collapsed="false" customFormat="false" customHeight="true" hidden="false" ht="15.75" outlineLevel="0" r="34">
      <c r="A34" s="73" t="n">
        <f aca="false">A33+1</f>
        <v>21</v>
      </c>
      <c r="B34" s="75" t="s">
        <v>105</v>
      </c>
      <c r="C34" s="76" t="n">
        <v>154.8</v>
      </c>
      <c r="D34" s="69"/>
    </row>
    <row collapsed="false" customFormat="false" customHeight="true" hidden="false" ht="15.75" outlineLevel="0" r="35">
      <c r="A35" s="73" t="n">
        <f aca="false">A34+1</f>
        <v>22</v>
      </c>
      <c r="B35" s="75" t="s">
        <v>107</v>
      </c>
      <c r="C35" s="76" t="n">
        <v>78</v>
      </c>
      <c r="D35" s="69"/>
    </row>
    <row collapsed="false" customFormat="false" customHeight="true" hidden="false" ht="15.75" outlineLevel="0" r="36">
      <c r="A36" s="73" t="n">
        <f aca="false">A35+1</f>
        <v>23</v>
      </c>
      <c r="B36" s="75" t="s">
        <v>108</v>
      </c>
      <c r="C36" s="76" t="n">
        <v>90</v>
      </c>
      <c r="D36" s="69"/>
    </row>
    <row collapsed="false" customFormat="false" customHeight="true" hidden="false" ht="15.75" outlineLevel="0" r="37">
      <c r="A37" s="73" t="n">
        <f aca="false">A36+1</f>
        <v>24</v>
      </c>
      <c r="B37" s="40" t="s">
        <v>105</v>
      </c>
      <c r="C37" s="41" t="n">
        <v>154.8</v>
      </c>
      <c r="D37" s="69"/>
    </row>
    <row collapsed="false" customFormat="false" customHeight="false" hidden="false" ht="14.9" outlineLevel="0" r="38">
      <c r="A38" s="44"/>
      <c r="B38" s="45" t="s">
        <v>109</v>
      </c>
      <c r="C38" s="47" t="n">
        <f aca="false">SUM(C14:C37)</f>
        <v>11891.81</v>
      </c>
      <c r="D38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4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100" zoomScaleNormal="100" zoomScalePageLayoutView="100">
      <selection activeCell="B82" activeCellId="0" pane="topLeft" sqref="B82"/>
    </sheetView>
  </sheetViews>
  <cols>
    <col collapsed="false" hidden="false" max="1" min="1" style="1" width="13.5294117647059"/>
    <col collapsed="false" hidden="false" max="2" min="2" style="1" width="113.850980392157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3" min="9" style="1" width="30.1882352941176"/>
    <col collapsed="false" hidden="false" max="34" min="34" style="1" width="33.5019607843137"/>
    <col collapsed="false" hidden="false" max="257" min="35" style="1" width="24.1490196078431"/>
  </cols>
  <sheetData>
    <row collapsed="false" customFormat="false" customHeight="false" hidden="false" ht="17.6" outlineLevel="0" r="1">
      <c r="A1" s="31" t="s">
        <v>110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collapsed="false" customFormat="false" customHeight="true" hidden="false" ht="15.75" outlineLevel="0" r="3">
      <c r="A3" s="4"/>
      <c r="B3" s="34"/>
      <c r="C3" s="35"/>
      <c r="D3" s="35"/>
      <c r="E3" s="35"/>
      <c r="F3" s="35"/>
      <c r="G3" s="35"/>
      <c r="H3" s="78" t="s">
        <v>111</v>
      </c>
      <c r="I3" s="78" t="s">
        <v>112</v>
      </c>
      <c r="J3" s="78" t="s">
        <v>113</v>
      </c>
      <c r="K3" s="35"/>
      <c r="L3" s="35"/>
      <c r="M3" s="35"/>
      <c r="N3" s="78" t="s">
        <v>114</v>
      </c>
      <c r="O3" s="78" t="s">
        <v>111</v>
      </c>
      <c r="P3" s="78" t="s">
        <v>112</v>
      </c>
      <c r="Q3" s="35"/>
      <c r="R3" s="35"/>
      <c r="S3" s="35"/>
      <c r="T3" s="35"/>
      <c r="U3" s="35"/>
      <c r="V3" s="78" t="s">
        <v>111</v>
      </c>
      <c r="W3" s="78" t="s">
        <v>112</v>
      </c>
      <c r="X3" s="35"/>
      <c r="Y3" s="35"/>
      <c r="Z3" s="35"/>
      <c r="AA3" s="35"/>
      <c r="AB3" s="35"/>
      <c r="AC3" s="35" t="s">
        <v>111</v>
      </c>
      <c r="AD3" s="35" t="s">
        <v>112</v>
      </c>
      <c r="AE3" s="35"/>
      <c r="AF3" s="35"/>
      <c r="AG3" s="35"/>
      <c r="AH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65" t="s">
        <v>115</v>
      </c>
      <c r="AH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 t="n">
        <v>2445.1</v>
      </c>
      <c r="D5" s="41" t="n">
        <v>1370.13</v>
      </c>
      <c r="E5" s="41" t="n">
        <v>2552.13</v>
      </c>
      <c r="F5" s="41" t="n">
        <v>3293.6</v>
      </c>
      <c r="G5" s="41" t="n">
        <v>4023.5</v>
      </c>
      <c r="H5" s="41"/>
      <c r="I5" s="41"/>
      <c r="J5" s="41"/>
      <c r="K5" s="41" t="n">
        <v>2465.28</v>
      </c>
      <c r="L5" s="41" t="n">
        <v>1004.68</v>
      </c>
      <c r="M5" s="41" t="n">
        <v>2621.48</v>
      </c>
      <c r="N5" s="41" t="n">
        <v>996.23</v>
      </c>
      <c r="O5" s="41" t="n">
        <v>1098.73</v>
      </c>
      <c r="P5" s="41"/>
      <c r="Q5" s="41" t="n">
        <v>1043.53</v>
      </c>
      <c r="R5" s="41" t="n">
        <v>869.78</v>
      </c>
      <c r="S5" s="41" t="n">
        <v>779.73</v>
      </c>
      <c r="T5" s="41" t="n">
        <v>2314.86</v>
      </c>
      <c r="U5" s="41" t="n">
        <v>529.98</v>
      </c>
      <c r="V5" s="41"/>
      <c r="W5" s="41"/>
      <c r="X5" s="41" t="n">
        <v>1961.86</v>
      </c>
      <c r="Y5" s="41" t="n">
        <v>758.36</v>
      </c>
      <c r="Z5" s="41" t="n">
        <v>999.46</v>
      </c>
      <c r="AA5" s="41" t="n">
        <v>3385.96</v>
      </c>
      <c r="AB5" s="41" t="n">
        <v>1673.46</v>
      </c>
      <c r="AC5" s="41"/>
      <c r="AD5" s="41"/>
      <c r="AE5" s="41" t="n">
        <v>1775.76</v>
      </c>
      <c r="AF5" s="41" t="n">
        <v>2344.66</v>
      </c>
      <c r="AG5" s="41" t="n">
        <v>3819.56</v>
      </c>
      <c r="AH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 t="n">
        <f aca="false">D5+2340+130</f>
        <v>3840.13</v>
      </c>
      <c r="D6" s="41" t="n">
        <f aca="false">2552.13+130</f>
        <v>2682.13</v>
      </c>
      <c r="E6" s="41" t="n">
        <f aca="false">3493.6+24+130</f>
        <v>3647.6</v>
      </c>
      <c r="F6" s="41" t="n">
        <f aca="false">4323.5+130</f>
        <v>4453.5</v>
      </c>
      <c r="G6" s="41" t="n">
        <f aca="false">5000.218+173+130</f>
        <v>5303.218</v>
      </c>
      <c r="H6" s="41"/>
      <c r="I6" s="41"/>
      <c r="J6" s="41"/>
      <c r="K6" s="41" t="n">
        <v>3594.93</v>
      </c>
      <c r="L6" s="41" t="n">
        <v>2621.48</v>
      </c>
      <c r="M6" s="41" t="n">
        <v>3912.97</v>
      </c>
      <c r="N6" s="41" t="n">
        <v>3098.73</v>
      </c>
      <c r="O6" s="41" t="n">
        <f aca="false">1443.53+22</f>
        <v>1465.53</v>
      </c>
      <c r="P6" s="41"/>
      <c r="Q6" s="41" t="n">
        <f aca="false">869.78+620+1000</f>
        <v>2489.78</v>
      </c>
      <c r="R6" s="41" t="n">
        <f aca="false">1974.78+525</f>
        <v>2499.78</v>
      </c>
      <c r="S6" s="41" t="n">
        <v>2314.86</v>
      </c>
      <c r="T6" s="41" t="n">
        <f aca="false">1885.36+2000</f>
        <v>3885.36</v>
      </c>
      <c r="U6" s="41" t="n">
        <f aca="false">1961.86+374</f>
        <v>2335.86</v>
      </c>
      <c r="V6" s="41"/>
      <c r="W6" s="41"/>
      <c r="X6" s="41" t="n">
        <v>3768.36</v>
      </c>
      <c r="Y6" s="41" t="n">
        <f aca="false">999.46+2000</f>
        <v>2999.46</v>
      </c>
      <c r="Z6" s="41" t="n">
        <v>3303.03</v>
      </c>
      <c r="AA6" s="41" t="n">
        <f aca="false">1626.31+3500</f>
        <v>5126.31</v>
      </c>
      <c r="AB6" s="41" t="n">
        <f aca="false">1800+1455.6</f>
        <v>3255.6</v>
      </c>
      <c r="AC6" s="41"/>
      <c r="AD6" s="41"/>
      <c r="AE6" s="41" t="n">
        <f aca="false">2000-250+2344.66-300</f>
        <v>3794.66</v>
      </c>
      <c r="AF6" s="41" t="n">
        <v>3692.06</v>
      </c>
      <c r="AG6" s="41" t="n">
        <f aca="false">+4700+558.56</f>
        <v>5258.56</v>
      </c>
      <c r="AH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1395.03</v>
      </c>
      <c r="D7" s="46" t="n">
        <f aca="false">D6-D5</f>
        <v>1312</v>
      </c>
      <c r="E7" s="46" t="n">
        <f aca="false">E6-E5</f>
        <v>1095.47</v>
      </c>
      <c r="F7" s="46" t="n">
        <f aca="false">F6-F5</f>
        <v>1159.9</v>
      </c>
      <c r="G7" s="46" t="n">
        <f aca="false">G6-G5</f>
        <v>1279.718</v>
      </c>
      <c r="H7" s="46" t="n">
        <f aca="false">H6-H5</f>
        <v>0</v>
      </c>
      <c r="I7" s="46" t="n">
        <f aca="false">I6-I5</f>
        <v>0</v>
      </c>
      <c r="J7" s="46" t="n">
        <f aca="false">J6-J5</f>
        <v>0</v>
      </c>
      <c r="K7" s="46" t="n">
        <f aca="false">K6-K5</f>
        <v>1129.65</v>
      </c>
      <c r="L7" s="46" t="n">
        <f aca="false">L6-L5</f>
        <v>1616.8</v>
      </c>
      <c r="M7" s="46" t="n">
        <f aca="false">M6-M5</f>
        <v>1291.49</v>
      </c>
      <c r="N7" s="46" t="n">
        <f aca="false">N6-N5</f>
        <v>2102.5</v>
      </c>
      <c r="O7" s="46" t="n">
        <f aca="false">O6-O5</f>
        <v>366.8</v>
      </c>
      <c r="P7" s="46" t="n">
        <f aca="false">P6-P5</f>
        <v>0</v>
      </c>
      <c r="Q7" s="46" t="n">
        <f aca="false">Q6-Q5</f>
        <v>1446.25</v>
      </c>
      <c r="R7" s="46" t="n">
        <f aca="false">R6-R5</f>
        <v>1630</v>
      </c>
      <c r="S7" s="46" t="n">
        <f aca="false">S6-S5</f>
        <v>1535.13</v>
      </c>
      <c r="T7" s="46" t="n">
        <f aca="false">T6-T5</f>
        <v>1570.5</v>
      </c>
      <c r="U7" s="46" t="n">
        <f aca="false">U6-U5</f>
        <v>1805.88</v>
      </c>
      <c r="V7" s="46" t="n">
        <f aca="false">V6-V5</f>
        <v>0</v>
      </c>
      <c r="W7" s="46" t="n">
        <f aca="false">W6-W5</f>
        <v>0</v>
      </c>
      <c r="X7" s="46" t="n">
        <f aca="false">X6-X5</f>
        <v>1806.5</v>
      </c>
      <c r="Y7" s="46" t="n">
        <f aca="false">Y6-Y5</f>
        <v>2241.1</v>
      </c>
      <c r="Z7" s="46" t="n">
        <f aca="false">Z6-Z5</f>
        <v>2303.57</v>
      </c>
      <c r="AA7" s="46" t="n">
        <f aca="false">AA6-AA5</f>
        <v>1740.35</v>
      </c>
      <c r="AB7" s="46" t="n">
        <f aca="false">AB6-AB5</f>
        <v>1582.14</v>
      </c>
      <c r="AC7" s="46" t="n">
        <f aca="false">AC6-AC5</f>
        <v>0</v>
      </c>
      <c r="AD7" s="46" t="n">
        <f aca="false">AD6-AD5</f>
        <v>0</v>
      </c>
      <c r="AE7" s="46" t="n">
        <f aca="false">AE6-AE5</f>
        <v>2018.9</v>
      </c>
      <c r="AF7" s="46" t="n">
        <f aca="false">AF6-AF5</f>
        <v>1347.4</v>
      </c>
      <c r="AG7" s="46" t="n">
        <f aca="false">AG6-AG5</f>
        <v>1439</v>
      </c>
      <c r="AH7" s="46" t="n">
        <f aca="false">SUM(C7:AG7)</f>
        <v>35216.078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AH7-C74</f>
        <v>5698.04799999998</v>
      </c>
    </row>
    <row collapsed="false" customFormat="false" customHeight="true" hidden="false" ht="15.75" outlineLevel="0" r="14">
      <c r="A14" s="39" t="n">
        <v>1</v>
      </c>
      <c r="B14" s="40" t="s">
        <v>105</v>
      </c>
      <c r="C14" s="41" t="n">
        <v>154.8</v>
      </c>
      <c r="D14" s="69"/>
    </row>
    <row collapsed="false" customFormat="false" customHeight="true" hidden="false" ht="15.75" outlineLevel="0" r="15">
      <c r="A15" s="39" t="n">
        <v>2</v>
      </c>
      <c r="B15" s="40" t="s">
        <v>116</v>
      </c>
      <c r="C15" s="41" t="n">
        <v>132</v>
      </c>
      <c r="D15" s="69"/>
    </row>
    <row collapsed="false" customFormat="false" customHeight="true" hidden="false" ht="15.75" outlineLevel="0" r="16">
      <c r="A16" s="39" t="n">
        <v>3</v>
      </c>
      <c r="B16" s="40" t="s">
        <v>107</v>
      </c>
      <c r="C16" s="41" t="n">
        <v>78</v>
      </c>
      <c r="D16" s="69"/>
    </row>
    <row collapsed="false" customFormat="false" customHeight="true" hidden="false" ht="15.75" outlineLevel="0" r="17">
      <c r="A17" s="39" t="n">
        <v>4</v>
      </c>
      <c r="B17" s="40" t="s">
        <v>105</v>
      </c>
      <c r="C17" s="41" t="n">
        <v>154.8</v>
      </c>
      <c r="D17" s="69"/>
    </row>
    <row collapsed="false" customFormat="false" customHeight="true" hidden="false" ht="15.75" outlineLevel="0" r="18">
      <c r="A18" s="39" t="n">
        <v>5</v>
      </c>
      <c r="B18" s="40" t="s">
        <v>117</v>
      </c>
      <c r="C18" s="41" t="n">
        <v>723</v>
      </c>
      <c r="D18" s="69"/>
    </row>
    <row collapsed="false" customFormat="false" customHeight="true" hidden="false" ht="15.75" outlineLevel="0" r="19">
      <c r="A19" s="39" t="n">
        <v>6</v>
      </c>
      <c r="B19" s="40" t="s">
        <v>107</v>
      </c>
      <c r="C19" s="41" t="n">
        <v>97.5</v>
      </c>
      <c r="D19" s="69"/>
    </row>
    <row collapsed="false" customFormat="false" customHeight="true" hidden="false" ht="15.75" outlineLevel="0" r="20">
      <c r="A20" s="39" t="n">
        <v>7</v>
      </c>
      <c r="B20" s="40" t="s">
        <v>106</v>
      </c>
      <c r="C20" s="41" t="n">
        <v>1003</v>
      </c>
      <c r="D20" s="69"/>
    </row>
    <row collapsed="false" customFormat="false" customHeight="true" hidden="false" ht="15.75" outlineLevel="0" r="21">
      <c r="A21" s="39" t="n">
        <v>8</v>
      </c>
      <c r="B21" s="40" t="s">
        <v>107</v>
      </c>
      <c r="C21" s="41" t="n">
        <v>97.5</v>
      </c>
      <c r="D21" s="69"/>
    </row>
    <row collapsed="false" customFormat="false" customHeight="true" hidden="false" ht="15.75" outlineLevel="0" r="22">
      <c r="A22" s="39" t="n">
        <v>9</v>
      </c>
      <c r="B22" s="40" t="s">
        <v>118</v>
      </c>
      <c r="C22" s="41" t="n">
        <v>171.5</v>
      </c>
      <c r="D22" s="69"/>
    </row>
    <row collapsed="false" customFormat="false" customHeight="true" hidden="false" ht="15.75" outlineLevel="0" r="23">
      <c r="A23" s="39" t="n">
        <v>10</v>
      </c>
      <c r="B23" s="40" t="s">
        <v>118</v>
      </c>
      <c r="C23" s="41" t="n">
        <v>2763.48</v>
      </c>
      <c r="D23" s="69"/>
    </row>
    <row collapsed="false" customFormat="false" customHeight="true" hidden="false" ht="15.75" outlineLevel="0" r="24">
      <c r="A24" s="39" t="n">
        <v>11</v>
      </c>
      <c r="B24" s="40" t="s">
        <v>118</v>
      </c>
      <c r="C24" s="41" t="n">
        <v>1544.96</v>
      </c>
      <c r="D24" s="69"/>
    </row>
    <row collapsed="false" customFormat="false" customHeight="true" hidden="false" ht="15.75" outlineLevel="0" r="25">
      <c r="A25" s="39" t="n">
        <v>12</v>
      </c>
      <c r="B25" s="40" t="s">
        <v>105</v>
      </c>
      <c r="C25" s="41" t="n">
        <v>160</v>
      </c>
      <c r="D25" s="69"/>
    </row>
    <row collapsed="false" customFormat="false" customHeight="true" hidden="false" ht="15.75" outlineLevel="0" r="26">
      <c r="A26" s="39" t="n">
        <v>13</v>
      </c>
      <c r="B26" s="40" t="s">
        <v>105</v>
      </c>
      <c r="C26" s="41" t="n">
        <v>154.8</v>
      </c>
      <c r="D26" s="69"/>
    </row>
    <row collapsed="false" customFormat="false" customHeight="true" hidden="false" ht="15.75" outlineLevel="0" r="27">
      <c r="A27" s="39" t="n">
        <v>14</v>
      </c>
      <c r="B27" s="40" t="s">
        <v>105</v>
      </c>
      <c r="C27" s="41" t="n">
        <v>154.8</v>
      </c>
      <c r="D27" s="69"/>
    </row>
    <row collapsed="false" customFormat="false" customHeight="true" hidden="false" ht="15.75" outlineLevel="0" r="28">
      <c r="A28" s="39" t="n">
        <v>15</v>
      </c>
      <c r="B28" s="40" t="s">
        <v>107</v>
      </c>
      <c r="C28" s="41" t="n">
        <v>97.5</v>
      </c>
      <c r="D28" s="69"/>
    </row>
    <row collapsed="false" customFormat="false" customHeight="true" hidden="false" ht="15.75" outlineLevel="0" r="29">
      <c r="A29" s="39" t="n">
        <v>16</v>
      </c>
      <c r="B29" s="40" t="s">
        <v>107</v>
      </c>
      <c r="C29" s="41" t="n">
        <v>97.5</v>
      </c>
      <c r="D29" s="69"/>
    </row>
    <row collapsed="false" customFormat="false" customHeight="true" hidden="false" ht="15.75" outlineLevel="0" r="30">
      <c r="A30" s="39" t="n">
        <v>17</v>
      </c>
      <c r="B30" s="40" t="s">
        <v>107</v>
      </c>
      <c r="C30" s="41" t="n">
        <v>65</v>
      </c>
      <c r="D30" s="69"/>
    </row>
    <row collapsed="false" customFormat="false" customHeight="true" hidden="false" ht="15.75" outlineLevel="0" r="31">
      <c r="A31" s="39" t="n">
        <v>18</v>
      </c>
      <c r="B31" s="40" t="s">
        <v>107</v>
      </c>
      <c r="C31" s="41" t="n">
        <v>97.5</v>
      </c>
      <c r="D31" s="69"/>
    </row>
    <row collapsed="false" customFormat="false" customHeight="true" hidden="false" ht="15.75" outlineLevel="0" r="32">
      <c r="A32" s="39" t="n">
        <v>19</v>
      </c>
      <c r="B32" s="40" t="s">
        <v>105</v>
      </c>
      <c r="C32" s="41" t="n">
        <v>154.8</v>
      </c>
      <c r="D32" s="69"/>
    </row>
    <row collapsed="false" customFormat="false" customHeight="true" hidden="false" ht="15.75" outlineLevel="0" r="33">
      <c r="A33" s="39" t="n">
        <v>20</v>
      </c>
      <c r="B33" s="40" t="s">
        <v>118</v>
      </c>
      <c r="C33" s="41" t="n">
        <v>708</v>
      </c>
      <c r="D33" s="69"/>
    </row>
    <row collapsed="false" customFormat="false" customHeight="true" hidden="false" ht="15.75" outlineLevel="0" r="34">
      <c r="A34" s="39" t="n">
        <f aca="false">A33+1</f>
        <v>21</v>
      </c>
      <c r="B34" s="40" t="s">
        <v>116</v>
      </c>
      <c r="C34" s="41" t="n">
        <v>66</v>
      </c>
      <c r="D34" s="69"/>
    </row>
    <row collapsed="false" customFormat="false" customHeight="true" hidden="false" ht="15.75" outlineLevel="0" r="35">
      <c r="A35" s="39" t="n">
        <f aca="false">A34+1</f>
        <v>22</v>
      </c>
      <c r="B35" s="40" t="s">
        <v>119</v>
      </c>
      <c r="C35" s="41" t="n">
        <v>1604.4</v>
      </c>
      <c r="D35" s="69"/>
    </row>
    <row collapsed="false" customFormat="false" customHeight="true" hidden="false" ht="15.75" outlineLevel="0" r="36">
      <c r="A36" s="39" t="n">
        <f aca="false">A35+1</f>
        <v>23</v>
      </c>
      <c r="B36" s="40" t="s">
        <v>107</v>
      </c>
      <c r="C36" s="41" t="n">
        <v>97.5</v>
      </c>
      <c r="D36" s="69"/>
    </row>
    <row collapsed="false" customFormat="false" customHeight="true" hidden="false" ht="15.75" outlineLevel="0" r="37">
      <c r="A37" s="39" t="n">
        <f aca="false">A36+1</f>
        <v>24</v>
      </c>
      <c r="B37" s="40" t="s">
        <v>120</v>
      </c>
      <c r="C37" s="41" t="n">
        <v>3336.44</v>
      </c>
      <c r="D37" s="69"/>
    </row>
    <row collapsed="false" customFormat="false" customHeight="true" hidden="false" ht="15.75" outlineLevel="0" r="38">
      <c r="A38" s="39" t="n">
        <f aca="false">A37+1</f>
        <v>25</v>
      </c>
      <c r="B38" s="40" t="s">
        <v>105</v>
      </c>
      <c r="C38" s="41" t="n">
        <v>154.8</v>
      </c>
      <c r="D38" s="69"/>
    </row>
    <row collapsed="false" customFormat="false" customHeight="true" hidden="false" ht="15.75" outlineLevel="0" r="39">
      <c r="A39" s="39" t="n">
        <f aca="false">A38+1</f>
        <v>26</v>
      </c>
      <c r="B39" s="40" t="s">
        <v>105</v>
      </c>
      <c r="C39" s="41" t="n">
        <v>154.8</v>
      </c>
      <c r="D39" s="69"/>
    </row>
    <row collapsed="false" customFormat="false" customHeight="true" hidden="false" ht="15.75" outlineLevel="0" r="40">
      <c r="A40" s="39" t="n">
        <f aca="false">A39+1</f>
        <v>27</v>
      </c>
      <c r="B40" s="40" t="s">
        <v>105</v>
      </c>
      <c r="C40" s="41" t="n">
        <v>154.8</v>
      </c>
      <c r="D40" s="69"/>
    </row>
    <row collapsed="false" customFormat="false" customHeight="true" hidden="false" ht="15.75" outlineLevel="0" r="41">
      <c r="A41" s="39" t="n">
        <f aca="false">A40+1</f>
        <v>28</v>
      </c>
      <c r="B41" s="40" t="s">
        <v>107</v>
      </c>
      <c r="C41" s="41" t="n">
        <v>97.5</v>
      </c>
      <c r="D41" s="69"/>
    </row>
    <row collapsed="false" customFormat="false" customHeight="true" hidden="false" ht="15.75" outlineLevel="0" r="42">
      <c r="A42" s="39" t="n">
        <f aca="false">A41+1</f>
        <v>29</v>
      </c>
      <c r="B42" s="40" t="s">
        <v>104</v>
      </c>
      <c r="C42" s="41" t="n">
        <v>2695.07</v>
      </c>
      <c r="D42" s="69"/>
    </row>
    <row collapsed="false" customFormat="false" customHeight="true" hidden="false" ht="15.75" outlineLevel="0" r="43">
      <c r="A43" s="39" t="n">
        <f aca="false">A42+1</f>
        <v>30</v>
      </c>
      <c r="B43" s="40" t="s">
        <v>107</v>
      </c>
      <c r="C43" s="41" t="n">
        <v>130</v>
      </c>
      <c r="D43" s="69"/>
    </row>
    <row collapsed="false" customFormat="false" customHeight="true" hidden="false" ht="15.75" outlineLevel="0" r="44">
      <c r="A44" s="39" t="n">
        <f aca="false">A43+1</f>
        <v>31</v>
      </c>
      <c r="B44" s="40" t="s">
        <v>108</v>
      </c>
      <c r="C44" s="41" t="n">
        <v>135</v>
      </c>
      <c r="D44" s="69"/>
    </row>
    <row collapsed="false" customFormat="false" customHeight="true" hidden="false" ht="15.75" outlineLevel="0" r="45">
      <c r="A45" s="39" t="n">
        <f aca="false">A44+1</f>
        <v>32</v>
      </c>
      <c r="B45" s="40" t="s">
        <v>121</v>
      </c>
      <c r="C45" s="41" t="n">
        <v>220</v>
      </c>
      <c r="D45" s="69"/>
    </row>
    <row collapsed="false" customFormat="false" customHeight="true" hidden="false" ht="15.75" outlineLevel="0" r="46">
      <c r="A46" s="39" t="n">
        <f aca="false">A45+1</f>
        <v>33</v>
      </c>
      <c r="B46" s="40" t="s">
        <v>107</v>
      </c>
      <c r="C46" s="41" t="n">
        <v>130</v>
      </c>
      <c r="D46" s="69"/>
    </row>
    <row collapsed="false" customFormat="false" customHeight="true" hidden="false" ht="15.75" outlineLevel="0" r="47">
      <c r="A47" s="39" t="n">
        <f aca="false">A46+1</f>
        <v>34</v>
      </c>
      <c r="B47" s="40" t="s">
        <v>107</v>
      </c>
      <c r="C47" s="41" t="n">
        <v>97.5</v>
      </c>
      <c r="D47" s="69"/>
    </row>
    <row collapsed="false" customFormat="false" customHeight="true" hidden="false" ht="15.75" outlineLevel="0" r="48">
      <c r="A48" s="39" t="n">
        <f aca="false">A47+1</f>
        <v>35</v>
      </c>
      <c r="B48" s="40" t="s">
        <v>117</v>
      </c>
      <c r="C48" s="41" t="n">
        <v>937.5</v>
      </c>
      <c r="D48" s="69"/>
    </row>
    <row collapsed="false" customFormat="false" customHeight="true" hidden="false" ht="15.75" outlineLevel="0" r="49">
      <c r="A49" s="39" t="n">
        <f aca="false">A48+1</f>
        <v>36</v>
      </c>
      <c r="B49" s="40" t="s">
        <v>105</v>
      </c>
      <c r="C49" s="41" t="n">
        <v>154.8</v>
      </c>
      <c r="D49" s="69"/>
    </row>
    <row collapsed="false" customFormat="false" customHeight="true" hidden="false" ht="15.75" outlineLevel="0" r="50">
      <c r="A50" s="39" t="n">
        <f aca="false">A49+1</f>
        <v>37</v>
      </c>
      <c r="B50" s="40" t="s">
        <v>105</v>
      </c>
      <c r="C50" s="41" t="n">
        <v>154.8</v>
      </c>
      <c r="D50" s="69"/>
    </row>
    <row collapsed="false" customFormat="false" customHeight="true" hidden="false" ht="15.75" outlineLevel="0" r="51">
      <c r="A51" s="39" t="n">
        <f aca="false">A50+1</f>
        <v>38</v>
      </c>
      <c r="B51" s="40" t="s">
        <v>105</v>
      </c>
      <c r="C51" s="41" t="n">
        <v>154.8</v>
      </c>
      <c r="D51" s="69"/>
    </row>
    <row collapsed="false" customFormat="false" customHeight="true" hidden="false" ht="15.75" outlineLevel="0" r="52">
      <c r="A52" s="39" t="n">
        <f aca="false">A51+1</f>
        <v>39</v>
      </c>
      <c r="B52" s="40" t="s">
        <v>105</v>
      </c>
      <c r="C52" s="41" t="n">
        <v>157.4</v>
      </c>
      <c r="D52" s="69"/>
    </row>
    <row collapsed="false" customFormat="false" customHeight="true" hidden="false" ht="15.75" outlineLevel="0" r="53">
      <c r="A53" s="39" t="n">
        <f aca="false">A52+1</f>
        <v>40</v>
      </c>
      <c r="B53" s="40" t="s">
        <v>119</v>
      </c>
      <c r="C53" s="41" t="n">
        <v>970.36</v>
      </c>
      <c r="D53" s="69"/>
    </row>
    <row collapsed="false" customFormat="false" customHeight="true" hidden="false" ht="15.75" outlineLevel="0" r="54">
      <c r="A54" s="39" t="n">
        <f aca="false">A53+1</f>
        <v>41</v>
      </c>
      <c r="B54" s="40" t="s">
        <v>105</v>
      </c>
      <c r="C54" s="41" t="n">
        <v>157.4</v>
      </c>
      <c r="D54" s="69"/>
    </row>
    <row collapsed="false" customFormat="false" customHeight="true" hidden="false" ht="15.75" outlineLevel="0" r="55">
      <c r="A55" s="39" t="n">
        <f aca="false">A54+1</f>
        <v>42</v>
      </c>
      <c r="B55" s="40" t="s">
        <v>105</v>
      </c>
      <c r="C55" s="41" t="n">
        <v>157.4</v>
      </c>
      <c r="D55" s="69"/>
    </row>
    <row collapsed="false" customFormat="false" customHeight="true" hidden="false" ht="15.75" outlineLevel="0" r="56">
      <c r="A56" s="39" t="n">
        <f aca="false">A55+1</f>
        <v>43</v>
      </c>
      <c r="B56" s="40" t="s">
        <v>107</v>
      </c>
      <c r="C56" s="41" t="n">
        <v>130</v>
      </c>
      <c r="D56" s="69"/>
    </row>
    <row collapsed="false" customFormat="false" customHeight="true" hidden="false" ht="15.75" outlineLevel="0" r="57">
      <c r="A57" s="39" t="n">
        <f aca="false">A56+1</f>
        <v>44</v>
      </c>
      <c r="B57" s="40" t="s">
        <v>121</v>
      </c>
      <c r="C57" s="41" t="n">
        <v>275</v>
      </c>
      <c r="D57" s="69"/>
    </row>
    <row collapsed="false" customFormat="false" customHeight="true" hidden="false" ht="15.75" outlineLevel="0" r="58">
      <c r="A58" s="39" t="n">
        <f aca="false">A57+1</f>
        <v>45</v>
      </c>
      <c r="B58" s="40" t="s">
        <v>105</v>
      </c>
      <c r="C58" s="41" t="n">
        <v>157.4</v>
      </c>
      <c r="D58" s="69"/>
    </row>
    <row collapsed="false" customFormat="false" customHeight="true" hidden="false" ht="15.75" outlineLevel="0" r="59">
      <c r="A59" s="39" t="n">
        <f aca="false">A58+1</f>
        <v>46</v>
      </c>
      <c r="B59" s="40" t="s">
        <v>105</v>
      </c>
      <c r="C59" s="41" t="n">
        <v>157.4</v>
      </c>
      <c r="D59" s="69"/>
    </row>
    <row collapsed="false" customFormat="false" customHeight="true" hidden="false" ht="15.75" outlineLevel="0" r="60">
      <c r="A60" s="39" t="n">
        <f aca="false">A59+1</f>
        <v>47</v>
      </c>
      <c r="B60" s="40" t="s">
        <v>116</v>
      </c>
      <c r="C60" s="41" t="n">
        <v>66</v>
      </c>
      <c r="D60" s="69"/>
    </row>
    <row collapsed="false" customFormat="false" customHeight="true" hidden="false" ht="15.75" outlineLevel="0" r="61">
      <c r="A61" s="39" t="n">
        <f aca="false">A60+1</f>
        <v>48</v>
      </c>
      <c r="B61" s="40" t="s">
        <v>107</v>
      </c>
      <c r="C61" s="41" t="n">
        <v>130</v>
      </c>
      <c r="D61" s="69"/>
    </row>
    <row collapsed="false" customFormat="false" customHeight="true" hidden="false" ht="15.75" outlineLevel="0" r="62">
      <c r="A62" s="39" t="n">
        <f aca="false">A61+1</f>
        <v>49</v>
      </c>
      <c r="B62" s="40" t="s">
        <v>122</v>
      </c>
      <c r="C62" s="41" t="n">
        <v>85</v>
      </c>
      <c r="D62" s="69"/>
    </row>
    <row collapsed="false" customFormat="false" customHeight="true" hidden="false" ht="15.75" outlineLevel="0" r="63">
      <c r="A63" s="39" t="n">
        <f aca="false">A62+1</f>
        <v>50</v>
      </c>
      <c r="B63" s="40" t="s">
        <v>107</v>
      </c>
      <c r="C63" s="41" t="n">
        <v>130</v>
      </c>
      <c r="D63" s="69"/>
    </row>
    <row collapsed="false" customFormat="false" customHeight="true" hidden="false" ht="15.75" outlineLevel="0" r="64">
      <c r="A64" s="39" t="n">
        <f aca="false">A63+1</f>
        <v>51</v>
      </c>
      <c r="B64" s="40" t="s">
        <v>107</v>
      </c>
      <c r="C64" s="41" t="n">
        <v>130</v>
      </c>
      <c r="D64" s="69"/>
    </row>
    <row collapsed="false" customFormat="false" customHeight="true" hidden="false" ht="15.75" outlineLevel="0" r="65">
      <c r="A65" s="39" t="n">
        <f aca="false">A64+1</f>
        <v>52</v>
      </c>
      <c r="B65" s="40" t="s">
        <v>117</v>
      </c>
      <c r="C65" s="41" t="n">
        <v>412.5</v>
      </c>
      <c r="D65" s="69"/>
    </row>
    <row collapsed="false" customFormat="false" customHeight="true" hidden="false" ht="15.75" outlineLevel="0" r="66">
      <c r="A66" s="39" t="n">
        <f aca="false">A65+1</f>
        <v>53</v>
      </c>
      <c r="B66" s="40" t="s">
        <v>107</v>
      </c>
      <c r="C66" s="41" t="n">
        <v>130</v>
      </c>
      <c r="D66" s="69"/>
    </row>
    <row collapsed="false" customFormat="false" customHeight="true" hidden="false" ht="15.75" outlineLevel="0" r="67">
      <c r="A67" s="39" t="n">
        <f aca="false">A66+1</f>
        <v>54</v>
      </c>
      <c r="B67" s="40" t="s">
        <v>105</v>
      </c>
      <c r="C67" s="41" t="n">
        <v>157.4</v>
      </c>
      <c r="D67" s="69"/>
    </row>
    <row collapsed="false" customFormat="false" customHeight="true" hidden="false" ht="15.75" outlineLevel="0" r="68">
      <c r="A68" s="39" t="n">
        <f aca="false">A67+1</f>
        <v>55</v>
      </c>
      <c r="B68" s="40" t="s">
        <v>105</v>
      </c>
      <c r="C68" s="41" t="n">
        <v>157.4</v>
      </c>
      <c r="D68" s="69"/>
    </row>
    <row collapsed="false" customFormat="false" customHeight="true" hidden="false" ht="15.75" outlineLevel="0" r="69">
      <c r="A69" s="39" t="n">
        <f aca="false">A68+1</f>
        <v>56</v>
      </c>
      <c r="B69" s="40" t="s">
        <v>107</v>
      </c>
      <c r="C69" s="41" t="n">
        <v>130</v>
      </c>
      <c r="D69" s="69"/>
    </row>
    <row collapsed="false" customFormat="false" customHeight="true" hidden="false" ht="15.75" outlineLevel="0" r="70">
      <c r="A70" s="39" t="n">
        <f aca="false">A69+1</f>
        <v>57</v>
      </c>
      <c r="B70" s="40" t="s">
        <v>107</v>
      </c>
      <c r="C70" s="41" t="n">
        <v>130</v>
      </c>
      <c r="D70" s="69"/>
    </row>
    <row collapsed="false" customFormat="false" customHeight="true" hidden="false" ht="15.75" outlineLevel="0" r="71">
      <c r="A71" s="39" t="n">
        <f aca="false">A70+1</f>
        <v>58</v>
      </c>
      <c r="B71" s="40" t="s">
        <v>107</v>
      </c>
      <c r="C71" s="41" t="n">
        <v>130</v>
      </c>
      <c r="D71" s="69"/>
    </row>
    <row collapsed="false" customFormat="false" customHeight="true" hidden="false" ht="15.75" outlineLevel="0" r="72">
      <c r="A72" s="39" t="n">
        <f aca="false">A71+1</f>
        <v>59</v>
      </c>
      <c r="B72" s="40" t="s">
        <v>107</v>
      </c>
      <c r="C72" s="41" t="n">
        <v>130</v>
      </c>
      <c r="D72" s="69"/>
    </row>
    <row collapsed="false" customFormat="false" customHeight="true" hidden="false" ht="15.75" outlineLevel="0" r="73">
      <c r="A73" s="39" t="n">
        <f aca="false">A72+1</f>
        <v>60</v>
      </c>
      <c r="B73" s="40" t="s">
        <v>104</v>
      </c>
      <c r="C73" s="41" t="n">
        <v>6351.22</v>
      </c>
      <c r="D73" s="69"/>
    </row>
    <row collapsed="false" customFormat="false" customHeight="false" hidden="false" ht="14.9" outlineLevel="0" r="74">
      <c r="A74" s="44"/>
      <c r="B74" s="45" t="s">
        <v>109</v>
      </c>
      <c r="C74" s="47" t="n">
        <f aca="false">SUM(C14:C73)</f>
        <v>29518.03</v>
      </c>
      <c r="D74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6"/>
  <sheetViews>
    <sheetView colorId="64" defaultGridColor="true" rightToLeft="false" showFormulas="false" showGridLines="true" showOutlineSymbols="true" showRowColHeaders="true" showZeros="true" tabSelected="false" topLeftCell="A38" view="normal" windowProtection="false" workbookViewId="0" zoomScale="100" zoomScaleNormal="100" zoomScalePageLayoutView="100">
      <selection activeCell="B65" activeCellId="0" pane="topLeft" sqref="B65"/>
    </sheetView>
  </sheetViews>
  <cols>
    <col collapsed="false" hidden="false" max="1" min="1" style="1" width="13.5294117647059"/>
    <col collapsed="false" hidden="false" max="2" min="2" style="1" width="113.850980392157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2" min="9" style="1" width="30.1882352941176"/>
    <col collapsed="false" hidden="false" max="33" min="33" style="1" width="33.5019607843137"/>
    <col collapsed="false" hidden="false" max="257" min="34" style="1" width="24.1490196078431"/>
  </cols>
  <sheetData>
    <row collapsed="false" customFormat="false" customHeight="false" hidden="false" ht="17.6" outlineLevel="0" r="1">
      <c r="A1" s="31" t="s">
        <v>123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collapsed="false" customFormat="true" customHeight="true" hidden="false" ht="15.75" outlineLevel="0" r="3" s="83">
      <c r="A3" s="79"/>
      <c r="B3" s="80"/>
      <c r="C3" s="81"/>
      <c r="D3" s="81"/>
      <c r="E3" s="82" t="s">
        <v>111</v>
      </c>
      <c r="F3" s="82" t="s">
        <v>112</v>
      </c>
      <c r="G3" s="81"/>
      <c r="H3" s="81"/>
      <c r="I3" s="81"/>
      <c r="J3" s="81"/>
      <c r="K3" s="81"/>
      <c r="L3" s="82" t="s">
        <v>111</v>
      </c>
      <c r="M3" s="82" t="s">
        <v>112</v>
      </c>
      <c r="N3" s="81"/>
      <c r="O3" s="81"/>
      <c r="P3" s="81"/>
      <c r="Q3" s="81"/>
      <c r="R3" s="81"/>
      <c r="S3" s="82" t="s">
        <v>111</v>
      </c>
      <c r="T3" s="82" t="s">
        <v>112</v>
      </c>
      <c r="U3" s="81"/>
      <c r="V3" s="81"/>
      <c r="W3" s="81"/>
      <c r="X3" s="81"/>
      <c r="Y3" s="81"/>
      <c r="Z3" s="81" t="s">
        <v>111</v>
      </c>
      <c r="AA3" s="81" t="s">
        <v>112</v>
      </c>
      <c r="AB3" s="81"/>
      <c r="AC3" s="81"/>
      <c r="AD3" s="81"/>
      <c r="AE3" s="81"/>
      <c r="AF3" s="81"/>
      <c r="AG3" s="81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 t="n">
        <v>711.01</v>
      </c>
      <c r="D5" s="41" t="n">
        <v>2445.17</v>
      </c>
      <c r="E5" s="41" t="n">
        <v>932.48</v>
      </c>
      <c r="F5" s="41"/>
      <c r="G5" s="41" t="n">
        <f aca="false">2937.31+130</f>
        <v>3067.31</v>
      </c>
      <c r="H5" s="41" t="n">
        <v>1904.3</v>
      </c>
      <c r="I5" s="41" t="n">
        <v>3694.91</v>
      </c>
      <c r="J5" s="41" t="n">
        <v>1201.41</v>
      </c>
      <c r="K5" s="41" t="n">
        <v>2769.28</v>
      </c>
      <c r="L5" s="41"/>
      <c r="M5" s="41"/>
      <c r="N5" s="41" t="n">
        <v>785.56</v>
      </c>
      <c r="O5" s="41" t="n">
        <f aca="false">4481.94-2400-2000</f>
        <v>81.9399999999996</v>
      </c>
      <c r="P5" s="41" t="n">
        <v>1098.38</v>
      </c>
      <c r="Q5" s="41" t="n">
        <v>2500.83</v>
      </c>
      <c r="R5" s="41" t="n">
        <v>728.43</v>
      </c>
      <c r="S5" s="41"/>
      <c r="T5" s="41"/>
      <c r="U5" s="41" t="n">
        <f aca="false">+757+130</f>
        <v>887</v>
      </c>
      <c r="V5" s="41" t="n">
        <v>2801.93</v>
      </c>
      <c r="W5" s="41" t="n">
        <f aca="false">4122.75-2800</f>
        <v>1322.75</v>
      </c>
      <c r="X5" s="41" t="n">
        <v>2211.91</v>
      </c>
      <c r="Y5" s="41" t="n">
        <v>3086.2</v>
      </c>
      <c r="Z5" s="41"/>
      <c r="AA5" s="41"/>
      <c r="AB5" s="41" t="n">
        <v>800.51</v>
      </c>
      <c r="AC5" s="41" t="n">
        <v>1611.51</v>
      </c>
      <c r="AD5" s="41" t="n">
        <v>298.7</v>
      </c>
      <c r="AE5" s="41" t="n">
        <v>2732.36</v>
      </c>
      <c r="AF5" s="41" t="n">
        <v>4331.15</v>
      </c>
      <c r="AG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 t="n">
        <f aca="false">2445.17+130</f>
        <v>2575.17</v>
      </c>
      <c r="D6" s="41" t="n">
        <f aca="false">+2800+936.47+130+190</f>
        <v>4056.47</v>
      </c>
      <c r="E6" s="41" t="n">
        <f aca="false">+2850.69+130</f>
        <v>2980.69</v>
      </c>
      <c r="F6" s="41"/>
      <c r="G6" s="41" t="n">
        <f aca="false">+3000+1904.16+130</f>
        <v>5034.16</v>
      </c>
      <c r="H6" s="41" t="n">
        <f aca="false">3658.03+130</f>
        <v>3788.03</v>
      </c>
      <c r="I6" s="41" t="n">
        <f aca="false">3800+1466.56+130</f>
        <v>5396.56</v>
      </c>
      <c r="J6" s="41" t="n">
        <f aca="false">2769.28+130</f>
        <v>2899.28</v>
      </c>
      <c r="K6" s="41" t="n">
        <f aca="false">+1328+2720.28+130+260</f>
        <v>4438.28</v>
      </c>
      <c r="L6" s="43"/>
      <c r="M6" s="41"/>
      <c r="N6" s="41" t="n">
        <f aca="false">2081.94+130</f>
        <v>2211.94</v>
      </c>
      <c r="O6" s="41" t="n">
        <f aca="false">1225.96+130+132+66</f>
        <v>1553.96</v>
      </c>
      <c r="P6" s="41" t="n">
        <f aca="false">2500.83+130</f>
        <v>2630.83</v>
      </c>
      <c r="Q6" s="41" t="n">
        <f aca="false">4060.18+130</f>
        <v>4190.18</v>
      </c>
      <c r="R6" s="41" t="n">
        <f aca="false">1829.36+130+832</f>
        <v>2791.36</v>
      </c>
      <c r="S6" s="41"/>
      <c r="T6" s="41"/>
      <c r="U6" s="41" t="n">
        <f aca="false">2794.63+130</f>
        <v>2924.63</v>
      </c>
      <c r="V6" s="41" t="n">
        <f aca="false">+2800+500+692.75+130</f>
        <v>4122.75</v>
      </c>
      <c r="W6" s="41" t="n">
        <f aca="false">2211.91+130</f>
        <v>2341.91</v>
      </c>
      <c r="X6" s="41" t="n">
        <f aca="false">2816.2+120+150+130</f>
        <v>3216.2</v>
      </c>
      <c r="Y6" s="41" t="n">
        <f aca="false">+2900+986.51+130</f>
        <v>4016.51</v>
      </c>
      <c r="Z6" s="41"/>
      <c r="AA6" s="41"/>
      <c r="AB6" s="41" t="n">
        <f aca="false">1611.51+130</f>
        <v>1741.51</v>
      </c>
      <c r="AC6" s="41" t="n">
        <f aca="false">298.71+2500+130</f>
        <v>2928.71</v>
      </c>
      <c r="AD6" s="41" t="n">
        <f aca="false">-350+130+2427.01</f>
        <v>2207.01</v>
      </c>
      <c r="AE6" s="41" t="n">
        <f aca="false">-2977+2600+130+4260.63</f>
        <v>4013.63</v>
      </c>
      <c r="AF6" s="41" t="n">
        <f aca="false">+3500+3744.51+130</f>
        <v>7374.51</v>
      </c>
      <c r="AG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C6-C5+130</f>
        <v>1994.16</v>
      </c>
      <c r="D7" s="46" t="n">
        <f aca="false">D6-D5</f>
        <v>1611.3</v>
      </c>
      <c r="E7" s="46" t="n">
        <f aca="false">E6-E5</f>
        <v>2048.21</v>
      </c>
      <c r="F7" s="46" t="n">
        <f aca="false">F6-F5</f>
        <v>0</v>
      </c>
      <c r="G7" s="46" t="n">
        <f aca="false">G6-G5</f>
        <v>1966.85</v>
      </c>
      <c r="H7" s="46" t="n">
        <f aca="false">H6-H5</f>
        <v>1883.73</v>
      </c>
      <c r="I7" s="46" t="n">
        <f aca="false">I6-I5</f>
        <v>1701.65</v>
      </c>
      <c r="J7" s="46" t="n">
        <f aca="false">J6-J5</f>
        <v>1697.87</v>
      </c>
      <c r="K7" s="46" t="n">
        <f aca="false">K6-K5</f>
        <v>1669</v>
      </c>
      <c r="L7" s="46" t="n">
        <f aca="false">L6-L5</f>
        <v>0</v>
      </c>
      <c r="M7" s="46" t="n">
        <f aca="false">M6-M5</f>
        <v>0</v>
      </c>
      <c r="N7" s="46" t="n">
        <f aca="false">N6-N5</f>
        <v>1426.38</v>
      </c>
      <c r="O7" s="46" t="n">
        <f aca="false">O6-O5</f>
        <v>1472.02</v>
      </c>
      <c r="P7" s="46" t="n">
        <f aca="false">P6-P5</f>
        <v>1532.45</v>
      </c>
      <c r="Q7" s="46" t="n">
        <f aca="false">Q6-Q5</f>
        <v>1689.35</v>
      </c>
      <c r="R7" s="46" t="n">
        <f aca="false">R6-R5+130</f>
        <v>2192.93</v>
      </c>
      <c r="S7" s="46" t="n">
        <f aca="false">S6-S5</f>
        <v>0</v>
      </c>
      <c r="T7" s="46" t="n">
        <f aca="false">T6-T5</f>
        <v>0</v>
      </c>
      <c r="U7" s="46" t="n">
        <f aca="false">U6-U5</f>
        <v>2037.63</v>
      </c>
      <c r="V7" s="46" t="n">
        <f aca="false">V6-V5</f>
        <v>1320.82</v>
      </c>
      <c r="W7" s="46" t="n">
        <f aca="false">W6-W5</f>
        <v>1019.16</v>
      </c>
      <c r="X7" s="46" t="n">
        <f aca="false">X6-X5</f>
        <v>1004.29</v>
      </c>
      <c r="Y7" s="46" t="n">
        <f aca="false">Y6-Y5</f>
        <v>930.31</v>
      </c>
      <c r="Z7" s="46" t="n">
        <f aca="false">Z6-Z5</f>
        <v>0</v>
      </c>
      <c r="AA7" s="46" t="n">
        <f aca="false">AA6-AA5</f>
        <v>0</v>
      </c>
      <c r="AB7" s="46" t="n">
        <f aca="false">AB6-AB5</f>
        <v>941</v>
      </c>
      <c r="AC7" s="46" t="n">
        <f aca="false">AC6-AC5</f>
        <v>1317.2</v>
      </c>
      <c r="AD7" s="46" t="n">
        <f aca="false">AD6-AD5</f>
        <v>1908.31</v>
      </c>
      <c r="AE7" s="46" t="n">
        <f aca="false">AE6-AE5</f>
        <v>1281.27</v>
      </c>
      <c r="AF7" s="46" t="n">
        <f aca="false">AF6-AF5</f>
        <v>3043.36</v>
      </c>
      <c r="AG7" s="46" t="n">
        <f aca="false">SUM(C7:AF7)</f>
        <v>37689.25</v>
      </c>
    </row>
    <row collapsed="false" customFormat="false" customHeight="true" hidden="false" ht="15.75" outlineLevel="0" r="8">
      <c r="A8" s="16"/>
      <c r="B8" s="16"/>
      <c r="C8" s="16"/>
      <c r="D8" s="84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AG7-C56</f>
        <v>8501.75000000001</v>
      </c>
    </row>
    <row collapsed="false" customFormat="false" customHeight="true" hidden="false" ht="15.75" outlineLevel="0" r="14">
      <c r="A14" s="39" t="n">
        <v>1</v>
      </c>
      <c r="B14" s="40" t="s">
        <v>104</v>
      </c>
      <c r="C14" s="41" t="n">
        <v>7204.77</v>
      </c>
      <c r="D14" s="69"/>
    </row>
    <row collapsed="false" customFormat="false" customHeight="true" hidden="false" ht="15.75" outlineLevel="0" r="15">
      <c r="A15" s="39" t="n">
        <v>2</v>
      </c>
      <c r="B15" s="40" t="s">
        <v>107</v>
      </c>
      <c r="C15" s="41" t="n">
        <v>260</v>
      </c>
      <c r="D15" s="69"/>
    </row>
    <row collapsed="false" customFormat="false" customHeight="true" hidden="false" ht="15.75" outlineLevel="0" r="16">
      <c r="A16" s="39" t="n">
        <v>3</v>
      </c>
      <c r="B16" s="40" t="s">
        <v>116</v>
      </c>
      <c r="C16" s="41" t="n">
        <v>132</v>
      </c>
      <c r="D16" s="69"/>
    </row>
    <row collapsed="false" customFormat="false" customHeight="true" hidden="false" ht="15.75" outlineLevel="0" r="17">
      <c r="A17" s="39" t="n">
        <v>4</v>
      </c>
      <c r="B17" s="40" t="s">
        <v>117</v>
      </c>
      <c r="C17" s="41" t="n">
        <v>969</v>
      </c>
      <c r="D17" s="69"/>
    </row>
    <row collapsed="false" customFormat="false" customHeight="true" hidden="false" ht="15.75" outlineLevel="0" r="18">
      <c r="A18" s="39" t="n">
        <v>5</v>
      </c>
      <c r="B18" s="40" t="s">
        <v>107</v>
      </c>
      <c r="C18" s="41" t="n">
        <v>130</v>
      </c>
      <c r="D18" s="69"/>
    </row>
    <row collapsed="false" customFormat="false" customHeight="true" hidden="false" ht="15.75" outlineLevel="0" r="19">
      <c r="A19" s="39" t="n">
        <v>6</v>
      </c>
      <c r="B19" s="40" t="s">
        <v>105</v>
      </c>
      <c r="C19" s="41" t="n">
        <f aca="false">157.4*5</f>
        <v>787</v>
      </c>
      <c r="D19" s="69"/>
    </row>
    <row collapsed="false" customFormat="false" customHeight="true" hidden="false" ht="15.75" outlineLevel="0" r="20">
      <c r="A20" s="39" t="n">
        <v>7</v>
      </c>
      <c r="B20" s="40" t="s">
        <v>107</v>
      </c>
      <c r="C20" s="41" t="n">
        <v>130</v>
      </c>
      <c r="D20" s="69"/>
    </row>
    <row collapsed="false" customFormat="false" customHeight="true" hidden="false" ht="15.75" outlineLevel="0" r="21">
      <c r="A21" s="39" t="n">
        <v>8</v>
      </c>
      <c r="B21" s="40" t="s">
        <v>107</v>
      </c>
      <c r="C21" s="41" t="n">
        <v>130</v>
      </c>
      <c r="D21" s="69"/>
    </row>
    <row collapsed="false" customFormat="false" customHeight="true" hidden="false" ht="15.75" outlineLevel="0" r="22">
      <c r="A22" s="39" t="n">
        <v>9</v>
      </c>
      <c r="B22" s="40" t="s">
        <v>107</v>
      </c>
      <c r="C22" s="41" t="n">
        <v>130</v>
      </c>
      <c r="D22" s="69"/>
    </row>
    <row collapsed="false" customFormat="false" customHeight="true" hidden="false" ht="15.75" outlineLevel="0" r="23">
      <c r="A23" s="39" t="n">
        <v>10</v>
      </c>
      <c r="B23" s="40" t="s">
        <v>107</v>
      </c>
      <c r="C23" s="41" t="n">
        <v>130</v>
      </c>
      <c r="D23" s="69"/>
    </row>
    <row collapsed="false" customFormat="false" customHeight="true" hidden="false" ht="15.75" outlineLevel="0" r="24">
      <c r="A24" s="39" t="n">
        <v>11</v>
      </c>
      <c r="B24" s="40" t="s">
        <v>124</v>
      </c>
      <c r="C24" s="41" t="n">
        <v>190</v>
      </c>
      <c r="D24" s="69"/>
    </row>
    <row collapsed="false" customFormat="false" customHeight="true" hidden="false" ht="15.75" outlineLevel="0" r="25">
      <c r="A25" s="39" t="n">
        <v>12</v>
      </c>
      <c r="B25" s="40" t="s">
        <v>125</v>
      </c>
      <c r="C25" s="41" t="n">
        <v>60</v>
      </c>
      <c r="D25" s="69"/>
    </row>
    <row collapsed="false" customFormat="false" customHeight="true" hidden="false" ht="15.75" outlineLevel="0" r="26">
      <c r="A26" s="39" t="n">
        <v>13</v>
      </c>
      <c r="B26" s="40" t="s">
        <v>107</v>
      </c>
      <c r="C26" s="41" t="n">
        <v>130</v>
      </c>
      <c r="D26" s="69"/>
    </row>
    <row collapsed="false" customFormat="false" customHeight="true" hidden="false" ht="15.75" outlineLevel="0" r="27">
      <c r="A27" s="39" t="n">
        <v>14</v>
      </c>
      <c r="B27" s="40" t="s">
        <v>105</v>
      </c>
      <c r="C27" s="41" t="n">
        <v>787</v>
      </c>
      <c r="D27" s="69"/>
    </row>
    <row collapsed="false" customFormat="false" customHeight="true" hidden="false" ht="15.75" outlineLevel="0" r="28">
      <c r="A28" s="39" t="n">
        <v>15</v>
      </c>
      <c r="B28" s="40" t="s">
        <v>104</v>
      </c>
      <c r="C28" s="41" t="n">
        <v>7327.23</v>
      </c>
      <c r="D28" s="69"/>
    </row>
    <row collapsed="false" customFormat="false" customHeight="true" hidden="false" ht="15.75" outlineLevel="0" r="29">
      <c r="A29" s="39" t="n">
        <v>16</v>
      </c>
      <c r="B29" s="40" t="s">
        <v>107</v>
      </c>
      <c r="C29" s="41" t="n">
        <v>130</v>
      </c>
      <c r="D29" s="69"/>
    </row>
    <row collapsed="false" customFormat="false" customHeight="true" hidden="false" ht="15.75" outlineLevel="0" r="30">
      <c r="A30" s="39" t="n">
        <f aca="false">A29+1</f>
        <v>17</v>
      </c>
      <c r="B30" s="40" t="s">
        <v>107</v>
      </c>
      <c r="C30" s="41" t="n">
        <v>130</v>
      </c>
      <c r="D30" s="69"/>
    </row>
    <row collapsed="false" customFormat="false" customHeight="true" hidden="false" ht="15.75" outlineLevel="0" r="31">
      <c r="A31" s="39" t="n">
        <f aca="false">A30+1</f>
        <v>18</v>
      </c>
      <c r="B31" s="40" t="s">
        <v>116</v>
      </c>
      <c r="C31" s="41" t="n">
        <v>66</v>
      </c>
      <c r="D31" s="69"/>
    </row>
    <row collapsed="false" customFormat="false" customHeight="true" hidden="false" ht="15.75" outlineLevel="0" r="32">
      <c r="A32" s="39" t="n">
        <f aca="false">A31+1</f>
        <v>19</v>
      </c>
      <c r="B32" s="40" t="s">
        <v>107</v>
      </c>
      <c r="C32" s="41" t="n">
        <v>130</v>
      </c>
      <c r="D32" s="69"/>
    </row>
    <row collapsed="false" customFormat="false" customHeight="true" hidden="false" ht="15.75" outlineLevel="0" r="33">
      <c r="A33" s="39" t="n">
        <f aca="false">A32+1</f>
        <v>20</v>
      </c>
      <c r="B33" s="40" t="s">
        <v>107</v>
      </c>
      <c r="C33" s="41" t="n">
        <v>130</v>
      </c>
      <c r="D33" s="69"/>
    </row>
    <row collapsed="false" customFormat="false" customHeight="true" hidden="false" ht="15.75" outlineLevel="0" r="34">
      <c r="A34" s="39" t="n">
        <f aca="false">A33+1</f>
        <v>21</v>
      </c>
      <c r="B34" s="40" t="s">
        <v>117</v>
      </c>
      <c r="C34" s="41" t="n">
        <v>832.5</v>
      </c>
      <c r="D34" s="69"/>
    </row>
    <row collapsed="false" customFormat="false" customHeight="true" hidden="false" ht="15.75" outlineLevel="0" r="35">
      <c r="A35" s="39" t="n">
        <f aca="false">A34+1</f>
        <v>22</v>
      </c>
      <c r="B35" s="40" t="s">
        <v>107</v>
      </c>
      <c r="C35" s="41" t="n">
        <v>130</v>
      </c>
      <c r="D35" s="69"/>
    </row>
    <row collapsed="false" customFormat="false" customHeight="true" hidden="false" ht="15.75" outlineLevel="0" r="36">
      <c r="A36" s="39" t="n">
        <f aca="false">A35+1</f>
        <v>23</v>
      </c>
      <c r="B36" s="40" t="s">
        <v>105</v>
      </c>
      <c r="C36" s="41" t="n">
        <f aca="false">157.4+157.4+157.4+189.5+189.5</f>
        <v>851.2</v>
      </c>
      <c r="D36" s="69"/>
    </row>
    <row collapsed="false" customFormat="false" customHeight="true" hidden="false" ht="15.75" outlineLevel="0" r="37">
      <c r="A37" s="39" t="n">
        <f aca="false">A36+1</f>
        <v>24</v>
      </c>
      <c r="B37" s="40" t="s">
        <v>107</v>
      </c>
      <c r="C37" s="41" t="n">
        <v>130</v>
      </c>
      <c r="D37" s="69"/>
    </row>
    <row collapsed="false" customFormat="false" customHeight="true" hidden="false" ht="15.75" outlineLevel="0" r="38">
      <c r="A38" s="39" t="n">
        <f aca="false">A37+1</f>
        <v>25</v>
      </c>
      <c r="B38" s="40" t="s">
        <v>107</v>
      </c>
      <c r="C38" s="41" t="n">
        <v>130</v>
      </c>
      <c r="D38" s="69"/>
    </row>
    <row collapsed="false" customFormat="false" customHeight="true" hidden="false" ht="15.75" outlineLevel="0" r="39">
      <c r="A39" s="39" t="n">
        <f aca="false">A38+1</f>
        <v>26</v>
      </c>
      <c r="B39" s="40" t="s">
        <v>116</v>
      </c>
      <c r="C39" s="41" t="n">
        <v>132</v>
      </c>
      <c r="D39" s="69"/>
    </row>
    <row collapsed="false" customFormat="false" customHeight="true" hidden="false" ht="15.75" outlineLevel="0" r="40">
      <c r="A40" s="39" t="n">
        <f aca="false">A39+1</f>
        <v>27</v>
      </c>
      <c r="B40" s="40" t="s">
        <v>105</v>
      </c>
      <c r="C40" s="41" t="n">
        <v>928</v>
      </c>
      <c r="D40" s="69"/>
    </row>
    <row collapsed="false" customFormat="false" customHeight="true" hidden="false" ht="15.75" outlineLevel="0" r="41">
      <c r="A41" s="39" t="n">
        <f aca="false">A40+1</f>
        <v>28</v>
      </c>
      <c r="B41" s="40" t="s">
        <v>117</v>
      </c>
      <c r="C41" s="41" t="n">
        <v>1290</v>
      </c>
      <c r="D41" s="69"/>
    </row>
    <row collapsed="false" customFormat="false" customHeight="true" hidden="false" ht="15.75" outlineLevel="0" r="42">
      <c r="A42" s="39" t="n">
        <f aca="false">A41+1</f>
        <v>29</v>
      </c>
      <c r="B42" s="40" t="s">
        <v>107</v>
      </c>
      <c r="C42" s="41" t="n">
        <v>130</v>
      </c>
      <c r="D42" s="69"/>
    </row>
    <row collapsed="false" customFormat="false" customHeight="true" hidden="false" ht="15.75" outlineLevel="0" r="43">
      <c r="A43" s="39" t="n">
        <f aca="false">A42+1</f>
        <v>30</v>
      </c>
      <c r="B43" s="40" t="s">
        <v>107</v>
      </c>
      <c r="C43" s="41" t="n">
        <v>130</v>
      </c>
      <c r="D43" s="69"/>
    </row>
    <row collapsed="false" customFormat="false" customHeight="true" hidden="false" ht="15.75" outlineLevel="0" r="44">
      <c r="A44" s="39" t="n">
        <f aca="false">A43+1</f>
        <v>31</v>
      </c>
      <c r="B44" s="40" t="s">
        <v>107</v>
      </c>
      <c r="C44" s="41" t="n">
        <v>130</v>
      </c>
      <c r="D44" s="69"/>
    </row>
    <row collapsed="false" customFormat="false" customHeight="true" hidden="false" ht="15.75" outlineLevel="0" r="45">
      <c r="A45" s="39" t="n">
        <f aca="false">A44+1</f>
        <v>32</v>
      </c>
      <c r="B45" s="40" t="s">
        <v>104</v>
      </c>
      <c r="C45" s="41" t="n">
        <v>3662.8</v>
      </c>
      <c r="D45" s="69"/>
    </row>
    <row collapsed="false" customFormat="false" customHeight="true" hidden="false" ht="15.75" outlineLevel="0" r="46">
      <c r="A46" s="39" t="n">
        <f aca="false">A45+1</f>
        <v>33</v>
      </c>
      <c r="B46" s="40" t="s">
        <v>116</v>
      </c>
      <c r="C46" s="41" t="n">
        <v>66</v>
      </c>
      <c r="D46" s="69"/>
    </row>
    <row collapsed="false" customFormat="false" customHeight="true" hidden="false" ht="15.75" outlineLevel="0" r="47">
      <c r="A47" s="39" t="n">
        <f aca="false">A46+1</f>
        <v>34</v>
      </c>
      <c r="B47" s="40" t="s">
        <v>107</v>
      </c>
      <c r="C47" s="41" t="n">
        <v>130</v>
      </c>
      <c r="D47" s="69"/>
    </row>
    <row collapsed="false" customFormat="false" customHeight="true" hidden="false" ht="15.75" outlineLevel="0" r="48">
      <c r="A48" s="39" t="n">
        <f aca="false">A47+1</f>
        <v>35</v>
      </c>
      <c r="B48" s="40" t="s">
        <v>126</v>
      </c>
      <c r="C48" s="41" t="n">
        <v>330</v>
      </c>
      <c r="D48" s="69"/>
    </row>
    <row collapsed="false" customFormat="false" customHeight="true" hidden="false" ht="15.75" outlineLevel="0" r="49">
      <c r="A49" s="39" t="n">
        <f aca="false">A48+1</f>
        <v>36</v>
      </c>
      <c r="B49" s="40" t="s">
        <v>107</v>
      </c>
      <c r="C49" s="41" t="n">
        <v>130</v>
      </c>
      <c r="D49" s="69"/>
    </row>
    <row collapsed="false" customFormat="false" customHeight="true" hidden="false" ht="15.75" outlineLevel="0" r="50">
      <c r="A50" s="39" t="n">
        <f aca="false">A49+1</f>
        <v>37</v>
      </c>
      <c r="B50" s="40" t="s">
        <v>107</v>
      </c>
      <c r="C50" s="41" t="n">
        <v>130</v>
      </c>
      <c r="D50" s="69"/>
    </row>
    <row collapsed="false" customFormat="false" customHeight="true" hidden="false" ht="15.75" outlineLevel="0" r="51">
      <c r="A51" s="39" t="n">
        <f aca="false">A50+1</f>
        <v>38</v>
      </c>
      <c r="B51" s="40" t="s">
        <v>105</v>
      </c>
      <c r="C51" s="41" t="n">
        <v>168.4</v>
      </c>
      <c r="D51" s="69"/>
    </row>
    <row collapsed="false" customFormat="false" customHeight="true" hidden="false" ht="15.75" outlineLevel="0" r="52">
      <c r="A52" s="39" t="n">
        <f aca="false">A51+1</f>
        <v>39</v>
      </c>
      <c r="B52" s="40" t="s">
        <v>105</v>
      </c>
      <c r="C52" s="41" t="n">
        <v>168.4</v>
      </c>
      <c r="D52" s="69"/>
    </row>
    <row collapsed="false" customFormat="false" customHeight="true" hidden="false" ht="15.75" outlineLevel="0" r="53">
      <c r="A53" s="39" t="n">
        <f aca="false">A52+1</f>
        <v>40</v>
      </c>
      <c r="B53" s="40" t="s">
        <v>105</v>
      </c>
      <c r="C53" s="41" t="n">
        <v>168.4</v>
      </c>
      <c r="D53" s="69"/>
    </row>
    <row collapsed="false" customFormat="false" customHeight="true" hidden="false" ht="15.75" outlineLevel="0" r="54">
      <c r="A54" s="39" t="n">
        <f aca="false">A53+1</f>
        <v>41</v>
      </c>
      <c r="B54" s="40" t="s">
        <v>105</v>
      </c>
      <c r="C54" s="41" t="n">
        <v>168.4</v>
      </c>
      <c r="D54" s="69"/>
    </row>
    <row collapsed="false" customFormat="false" customHeight="true" hidden="false" ht="15.75" outlineLevel="0" r="55">
      <c r="A55" s="39" t="n">
        <f aca="false">A54+1</f>
        <v>42</v>
      </c>
      <c r="B55" s="40" t="s">
        <v>105</v>
      </c>
      <c r="C55" s="41" t="n">
        <v>168.4</v>
      </c>
      <c r="D55" s="69"/>
    </row>
    <row collapsed="false" customFormat="false" customHeight="false" hidden="false" ht="14.9" outlineLevel="0" r="56">
      <c r="A56" s="44"/>
      <c r="B56" s="45" t="s">
        <v>109</v>
      </c>
      <c r="C56" s="47" t="n">
        <f aca="false">SUM(C14:C55)</f>
        <v>29187.5</v>
      </c>
      <c r="D56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"/>
  <sheetViews>
    <sheetView colorId="64" defaultGridColor="true" rightToLeft="false" showFormulas="false" showGridLines="true" showOutlineSymbols="true" showRowColHeaders="true" showZeros="true" tabSelected="false" topLeftCell="A14" view="normal" windowProtection="false" workbookViewId="0" zoomScale="100" zoomScaleNormal="100" zoomScalePageLayoutView="100">
      <selection activeCell="B26" activeCellId="0" pane="topLeft" sqref="B26"/>
    </sheetView>
  </sheetViews>
  <cols>
    <col collapsed="false" hidden="false" max="1" min="1" style="1" width="13.5294117647059"/>
    <col collapsed="false" hidden="false" max="2" min="2" style="1" width="113.850980392157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3" min="9" style="1" width="30.1882352941176"/>
    <col collapsed="false" hidden="false" max="34" min="34" style="1" width="33.5019607843137"/>
    <col collapsed="false" hidden="false" max="257" min="35" style="1" width="24.1490196078431"/>
  </cols>
  <sheetData>
    <row collapsed="false" customFormat="false" customHeight="false" hidden="false" ht="17.6" outlineLevel="0" r="1">
      <c r="A1" s="31" t="s">
        <v>127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collapsed="false" customFormat="false" customHeight="true" hidden="false" ht="15.75" outlineLevel="0" r="3">
      <c r="A3" s="4"/>
      <c r="B3" s="34"/>
      <c r="C3" s="81" t="s">
        <v>111</v>
      </c>
      <c r="D3" s="81" t="s">
        <v>112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65" t="s">
        <v>115</v>
      </c>
      <c r="AH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/>
      <c r="D5" s="41"/>
      <c r="E5" s="41" t="n">
        <v>3744.58</v>
      </c>
      <c r="F5" s="41" t="n">
        <v>3016.53</v>
      </c>
      <c r="G5" s="41" t="n">
        <v>1610.01</v>
      </c>
      <c r="H5" s="41" t="n">
        <v>2518.01</v>
      </c>
      <c r="I5" s="41" t="n">
        <v>3418.51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/>
      <c r="D6" s="41"/>
      <c r="E6" s="41" t="n">
        <f aca="false">+130+3500+1247.58</f>
        <v>4877.58</v>
      </c>
      <c r="F6" s="41" t="n">
        <f aca="false">+130+2800+330+200+300</f>
        <v>3760</v>
      </c>
      <c r="G6" s="41" t="n">
        <f aca="false">130+2518.01+300</f>
        <v>2948.01</v>
      </c>
      <c r="H6" s="41" t="n">
        <f aca="false">130+3398.51+300</f>
        <v>3828.51</v>
      </c>
      <c r="I6" s="41" t="n">
        <f aca="false">+2500+130+300+720.51+300+200</f>
        <v>4150.51</v>
      </c>
      <c r="J6" s="41"/>
      <c r="K6" s="41"/>
      <c r="L6" s="43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0</v>
      </c>
      <c r="D7" s="46" t="n">
        <f aca="false">D6-D5</f>
        <v>0</v>
      </c>
      <c r="E7" s="46" t="n">
        <f aca="false">E6-E5</f>
        <v>1133</v>
      </c>
      <c r="F7" s="46" t="n">
        <f aca="false">F6-F5</f>
        <v>743.47</v>
      </c>
      <c r="G7" s="46" t="n">
        <f aca="false">G6-G5</f>
        <v>1338</v>
      </c>
      <c r="H7" s="46" t="n">
        <f aca="false">H6-H5</f>
        <v>1310.5</v>
      </c>
      <c r="I7" s="46" t="n">
        <f aca="false">I6-I5</f>
        <v>732</v>
      </c>
      <c r="J7" s="46" t="n">
        <f aca="false">J6-J5</f>
        <v>0</v>
      </c>
      <c r="K7" s="46" t="n">
        <f aca="false">K6-K5</f>
        <v>0</v>
      </c>
      <c r="L7" s="46" t="n">
        <f aca="false">L6-L5</f>
        <v>0</v>
      </c>
      <c r="M7" s="46" t="n">
        <f aca="false">M6-M5</f>
        <v>0</v>
      </c>
      <c r="N7" s="46" t="n">
        <f aca="false">N6-N5</f>
        <v>0</v>
      </c>
      <c r="O7" s="46" t="n">
        <f aca="false">O6-O5</f>
        <v>0</v>
      </c>
      <c r="P7" s="46" t="n">
        <f aca="false">P6-P5</f>
        <v>0</v>
      </c>
      <c r="Q7" s="46" t="n">
        <f aca="false">Q6-Q5</f>
        <v>0</v>
      </c>
      <c r="R7" s="46" t="n">
        <f aca="false">R6-R5</f>
        <v>0</v>
      </c>
      <c r="S7" s="46" t="n">
        <f aca="false">S6-S5</f>
        <v>0</v>
      </c>
      <c r="T7" s="46" t="n">
        <f aca="false">T6-T5</f>
        <v>0</v>
      </c>
      <c r="U7" s="46" t="n">
        <f aca="false">U6-U5</f>
        <v>0</v>
      </c>
      <c r="V7" s="46" t="n">
        <f aca="false">V6-V5</f>
        <v>0</v>
      </c>
      <c r="W7" s="46" t="n">
        <f aca="false">W6-W5</f>
        <v>0</v>
      </c>
      <c r="X7" s="46" t="n">
        <f aca="false">X6-X5</f>
        <v>0</v>
      </c>
      <c r="Y7" s="46" t="n">
        <f aca="false">Y6-Y5</f>
        <v>0</v>
      </c>
      <c r="Z7" s="46" t="n">
        <f aca="false">Z6-Z5</f>
        <v>0</v>
      </c>
      <c r="AA7" s="46" t="n">
        <f aca="false">AA6-AA5</f>
        <v>0</v>
      </c>
      <c r="AB7" s="46" t="n">
        <f aca="false">AB6-AB5</f>
        <v>0</v>
      </c>
      <c r="AC7" s="46" t="n">
        <f aca="false">AC6-AC5</f>
        <v>0</v>
      </c>
      <c r="AD7" s="46" t="n">
        <f aca="false">AD6-AD5</f>
        <v>0</v>
      </c>
      <c r="AE7" s="46" t="n">
        <f aca="false">AE6-AE5</f>
        <v>0</v>
      </c>
      <c r="AF7" s="46" t="n">
        <f aca="false">AF6-AF5</f>
        <v>0</v>
      </c>
      <c r="AG7" s="46" t="n">
        <f aca="false">AG6-AG5</f>
        <v>0</v>
      </c>
      <c r="AH7" s="46" t="n">
        <f aca="false">SUM(C7:AG7)</f>
        <v>5256.97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AH7-C20</f>
        <v>3434.97</v>
      </c>
    </row>
    <row collapsed="false" customFormat="false" customHeight="true" hidden="false" ht="15.75" outlineLevel="0" r="14">
      <c r="A14" s="39" t="n">
        <v>1</v>
      </c>
      <c r="B14" s="40" t="s">
        <v>107</v>
      </c>
      <c r="C14" s="41" t="n">
        <v>130</v>
      </c>
      <c r="D14" s="69"/>
    </row>
    <row collapsed="false" customFormat="false" customHeight="true" hidden="false" ht="15.75" outlineLevel="0" r="15">
      <c r="A15" s="39" t="n">
        <v>2</v>
      </c>
      <c r="B15" s="40" t="s">
        <v>107</v>
      </c>
      <c r="C15" s="41" t="n">
        <v>130</v>
      </c>
      <c r="D15" s="69"/>
    </row>
    <row collapsed="false" customFormat="false" customHeight="true" hidden="false" ht="15.75" outlineLevel="0" r="16">
      <c r="A16" s="39" t="n">
        <v>3</v>
      </c>
      <c r="B16" s="40" t="s">
        <v>128</v>
      </c>
      <c r="C16" s="41" t="n">
        <v>330</v>
      </c>
      <c r="D16" s="69"/>
    </row>
    <row collapsed="false" customFormat="false" customHeight="true" hidden="false" ht="15.75" outlineLevel="0" r="17">
      <c r="A17" s="39" t="n">
        <v>4</v>
      </c>
      <c r="B17" s="40" t="s">
        <v>107</v>
      </c>
      <c r="C17" s="41" t="n">
        <v>260</v>
      </c>
      <c r="D17" s="69"/>
    </row>
    <row collapsed="false" customFormat="false" customHeight="true" hidden="false" ht="15.75" outlineLevel="0" r="18">
      <c r="A18" s="39" t="n">
        <v>5</v>
      </c>
      <c r="B18" s="40" t="s">
        <v>107</v>
      </c>
      <c r="C18" s="41" t="n">
        <v>130</v>
      </c>
      <c r="D18" s="69"/>
    </row>
    <row collapsed="false" customFormat="false" customHeight="true" hidden="false" ht="15.75" outlineLevel="0" r="19">
      <c r="A19" s="39" t="n">
        <v>6</v>
      </c>
      <c r="B19" s="40" t="s">
        <v>105</v>
      </c>
      <c r="C19" s="41" t="n">
        <v>842</v>
      </c>
      <c r="D19" s="69"/>
    </row>
    <row collapsed="false" customFormat="false" customHeight="false" hidden="false" ht="14.9" outlineLevel="0" r="20">
      <c r="A20" s="44"/>
      <c r="B20" s="45" t="s">
        <v>109</v>
      </c>
      <c r="C20" s="47" t="n">
        <f aca="false">SUM(C14:C19)</f>
        <v>1822</v>
      </c>
      <c r="D20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6"/>
  <sheetViews>
    <sheetView colorId="64" defaultGridColor="true" rightToLeft="false" showFormulas="false" showGridLines="true" showOutlineSymbols="true" showRowColHeaders="true" showZeros="true" tabSelected="false" topLeftCell="A38" view="normal" windowProtection="false" workbookViewId="0" zoomScale="100" zoomScaleNormal="100" zoomScalePageLayoutView="100">
      <selection activeCell="B66" activeCellId="0" pane="topLeft" sqref="B66"/>
    </sheetView>
  </sheetViews>
  <cols>
    <col collapsed="false" hidden="false" max="1" min="1" style="1" width="13.5294117647059"/>
    <col collapsed="false" hidden="false" max="2" min="2" style="1" width="113.850980392157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3" min="9" style="1" width="30.1882352941176"/>
    <col collapsed="false" hidden="false" max="34" min="34" style="1" width="33.5019607843137"/>
    <col collapsed="false" hidden="false" max="257" min="35" style="1" width="24.1490196078431"/>
  </cols>
  <sheetData>
    <row collapsed="false" customFormat="false" customHeight="false" hidden="false" ht="17.6" outlineLevel="0" r="1">
      <c r="A1" s="31" t="s">
        <v>129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collapsed="false" customFormat="false" customHeight="true" hidden="false" ht="15.75" outlineLevel="0" r="3">
      <c r="A3" s="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 t="s">
        <v>130</v>
      </c>
      <c r="O3" s="35" t="s">
        <v>131</v>
      </c>
      <c r="P3" s="35"/>
      <c r="Q3" s="35"/>
      <c r="R3" s="35"/>
      <c r="S3" s="35"/>
      <c r="T3" s="35"/>
      <c r="U3" s="35" t="s">
        <v>130</v>
      </c>
      <c r="V3" s="35" t="s">
        <v>131</v>
      </c>
      <c r="W3" s="35"/>
      <c r="X3" s="35"/>
      <c r="Y3" s="35"/>
      <c r="Z3" s="35"/>
      <c r="AA3" s="35"/>
      <c r="AB3" s="35" t="s">
        <v>132</v>
      </c>
      <c r="AC3" s="35" t="s">
        <v>112</v>
      </c>
      <c r="AD3" s="35"/>
      <c r="AE3" s="35"/>
      <c r="AF3" s="35"/>
      <c r="AG3" s="35"/>
      <c r="AH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65" t="s">
        <v>115</v>
      </c>
      <c r="AH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/>
      <c r="D5" s="41"/>
      <c r="E5" s="41"/>
      <c r="F5" s="41"/>
      <c r="G5" s="41"/>
      <c r="H5" s="41"/>
      <c r="I5" s="41" t="n">
        <v>21.01</v>
      </c>
      <c r="J5" s="41" t="n">
        <v>1252.01</v>
      </c>
      <c r="K5" s="41" t="n">
        <v>1879.01</v>
      </c>
      <c r="L5" s="41" t="n">
        <v>1277.01</v>
      </c>
      <c r="M5" s="41" t="n">
        <v>1260.69</v>
      </c>
      <c r="N5" s="41"/>
      <c r="O5" s="41"/>
      <c r="P5" s="41" t="n">
        <v>2156.01</v>
      </c>
      <c r="Q5" s="41" t="n">
        <v>776.36</v>
      </c>
      <c r="R5" s="41" t="n">
        <v>687.2</v>
      </c>
      <c r="S5" s="41" t="n">
        <v>1963</v>
      </c>
      <c r="T5" s="41" t="n">
        <f aca="false">1670</f>
        <v>1670</v>
      </c>
      <c r="U5" s="41"/>
      <c r="V5" s="41"/>
      <c r="W5" s="41" t="n">
        <v>572.5</v>
      </c>
      <c r="X5" s="41" t="n">
        <f aca="false">604.38+140</f>
        <v>744.38</v>
      </c>
      <c r="Y5" s="41" t="n">
        <f aca="false">349.75</f>
        <v>349.75</v>
      </c>
      <c r="Z5" s="41" t="n">
        <v>444.5</v>
      </c>
      <c r="AA5" s="41" t="n">
        <f aca="false">+1556.89</f>
        <v>1556.89</v>
      </c>
      <c r="AB5" s="41"/>
      <c r="AC5" s="41"/>
      <c r="AD5" s="41" t="n">
        <v>1839.1</v>
      </c>
      <c r="AE5" s="41" t="n">
        <v>1294.15</v>
      </c>
      <c r="AF5" s="41" t="n">
        <v>469.25</v>
      </c>
      <c r="AG5" s="41" t="n">
        <v>2142.22</v>
      </c>
      <c r="AH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/>
      <c r="D6" s="41"/>
      <c r="E6" s="41"/>
      <c r="F6" s="41"/>
      <c r="G6" s="41"/>
      <c r="H6" s="41"/>
      <c r="I6" s="41" t="n">
        <v>1252.01</v>
      </c>
      <c r="J6" s="41" t="n">
        <f aca="false">1876.01+110+140+160</f>
        <v>2286.01</v>
      </c>
      <c r="K6" s="41" t="n">
        <f aca="false">340+2577.01</f>
        <v>2917.01</v>
      </c>
      <c r="L6" s="41" t="n">
        <f aca="false">140+1985.51+300</f>
        <v>2425.51</v>
      </c>
      <c r="M6" s="41" t="n">
        <f aca="false">150+2156.01+110</f>
        <v>2416.01</v>
      </c>
      <c r="N6" s="41"/>
      <c r="O6" s="41"/>
      <c r="P6" s="41" t="n">
        <f aca="false">2300+776.36+140</f>
        <v>3216.36</v>
      </c>
      <c r="Q6" s="41" t="n">
        <f aca="false">787.26+781+140</f>
        <v>1708.26</v>
      </c>
      <c r="R6" s="41" t="n">
        <f aca="false">1963+140</f>
        <v>2103</v>
      </c>
      <c r="S6" s="41" t="n">
        <f aca="false">+1000+800+1670</f>
        <v>3470</v>
      </c>
      <c r="T6" s="41" t="n">
        <f aca="false">W5+150+260+600+800+800</f>
        <v>3182.5</v>
      </c>
      <c r="U6" s="41"/>
      <c r="V6" s="41"/>
      <c r="W6" s="41" t="n">
        <f aca="false">1600+604.38</f>
        <v>2204.38</v>
      </c>
      <c r="X6" s="41" t="n">
        <f aca="false">140+2235.25</f>
        <v>2375.25</v>
      </c>
      <c r="Y6" s="41" t="n">
        <f aca="false">+900+1404.5+140</f>
        <v>2444.5</v>
      </c>
      <c r="Z6" s="41" t="n">
        <v>1856.89</v>
      </c>
      <c r="AA6" s="41" t="n">
        <f aca="false">+1500+1839.1</f>
        <v>3339.1</v>
      </c>
      <c r="AB6" s="41"/>
      <c r="AC6" s="41"/>
      <c r="AD6" s="41" t="n">
        <f aca="false">1700+1294.5+140</f>
        <v>3134.5</v>
      </c>
      <c r="AE6" s="41" t="n">
        <f aca="false">712.5+350+1668.62</f>
        <v>2731.12</v>
      </c>
      <c r="AF6" s="41" t="n">
        <f aca="false">+140+2142.22</f>
        <v>2282.22</v>
      </c>
      <c r="AG6" s="41" t="n">
        <v>2987.12</v>
      </c>
      <c r="AH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0</v>
      </c>
      <c r="D7" s="46" t="n">
        <f aca="false">D6-D5</f>
        <v>0</v>
      </c>
      <c r="E7" s="46" t="n">
        <f aca="false">E6-E5</f>
        <v>0</v>
      </c>
      <c r="F7" s="46" t="n">
        <f aca="false">F6-F5</f>
        <v>0</v>
      </c>
      <c r="G7" s="46" t="n">
        <f aca="false">G6-G5</f>
        <v>0</v>
      </c>
      <c r="H7" s="46" t="n">
        <f aca="false">H6-H5</f>
        <v>0</v>
      </c>
      <c r="I7" s="46" t="n">
        <f aca="false">I6-I5</f>
        <v>1231</v>
      </c>
      <c r="J7" s="46" t="n">
        <f aca="false">J6-J5</f>
        <v>1034</v>
      </c>
      <c r="K7" s="46" t="n">
        <f aca="false">K6-K5</f>
        <v>1038</v>
      </c>
      <c r="L7" s="46" t="n">
        <f aca="false">L6-L5</f>
        <v>1148.5</v>
      </c>
      <c r="M7" s="46" t="n">
        <f aca="false">M6-M5</f>
        <v>1155.32</v>
      </c>
      <c r="N7" s="46" t="n">
        <f aca="false">N6-N5</f>
        <v>0</v>
      </c>
      <c r="O7" s="46" t="n">
        <f aca="false">O6-O5</f>
        <v>0</v>
      </c>
      <c r="P7" s="46" t="n">
        <f aca="false">P6-P5</f>
        <v>1060.35</v>
      </c>
      <c r="Q7" s="46" t="n">
        <f aca="false">Q6-Q5</f>
        <v>931.9</v>
      </c>
      <c r="R7" s="46" t="n">
        <f aca="false">R6-R5</f>
        <v>1415.8</v>
      </c>
      <c r="S7" s="46" t="n">
        <f aca="false">S6-S5</f>
        <v>1507</v>
      </c>
      <c r="T7" s="46" t="n">
        <f aca="false">T6-T5</f>
        <v>1512.5</v>
      </c>
      <c r="U7" s="46" t="n">
        <f aca="false">U6-U5</f>
        <v>0</v>
      </c>
      <c r="V7" s="46" t="n">
        <f aca="false">V6-V5</f>
        <v>0</v>
      </c>
      <c r="W7" s="46" t="n">
        <f aca="false">W6-W5</f>
        <v>1631.88</v>
      </c>
      <c r="X7" s="46" t="n">
        <f aca="false">X6-X5</f>
        <v>1630.87</v>
      </c>
      <c r="Y7" s="46" t="n">
        <f aca="false">Y6-Y5</f>
        <v>2094.75</v>
      </c>
      <c r="Z7" s="46" t="n">
        <f aca="false">Z6-Z5</f>
        <v>1412.39</v>
      </c>
      <c r="AA7" s="46" t="n">
        <f aca="false">AA6-AA5</f>
        <v>1782.21</v>
      </c>
      <c r="AB7" s="46" t="n">
        <f aca="false">AB6-AB5</f>
        <v>0</v>
      </c>
      <c r="AC7" s="46" t="n">
        <f aca="false">AC6-AC5</f>
        <v>0</v>
      </c>
      <c r="AD7" s="46" t="n">
        <f aca="false">AD6-AD5</f>
        <v>1295.4</v>
      </c>
      <c r="AE7" s="46" t="n">
        <f aca="false">AE6-AE5</f>
        <v>1436.97</v>
      </c>
      <c r="AF7" s="46" t="n">
        <f aca="false">AF6-AF5</f>
        <v>1812.97</v>
      </c>
      <c r="AG7" s="46" t="n">
        <f aca="false">AG6-AG5+1000</f>
        <v>1844.9</v>
      </c>
      <c r="AH7" s="46" t="n">
        <f aca="false">SUM(C7:AG7)</f>
        <v>26976.71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AH7-C56</f>
        <v>1087.93000000001</v>
      </c>
    </row>
    <row collapsed="false" customFormat="false" customHeight="true" hidden="false" ht="15.75" outlineLevel="0" r="14">
      <c r="A14" s="39" t="n">
        <v>1</v>
      </c>
      <c r="B14" s="40" t="s">
        <v>133</v>
      </c>
      <c r="C14" s="41" t="n">
        <v>3319.32</v>
      </c>
      <c r="D14" s="69"/>
    </row>
    <row collapsed="false" customFormat="false" customHeight="true" hidden="false" ht="15.75" outlineLevel="0" r="15">
      <c r="A15" s="39" t="n">
        <v>2</v>
      </c>
      <c r="B15" s="40" t="s">
        <v>107</v>
      </c>
      <c r="C15" s="41" t="n">
        <v>105</v>
      </c>
      <c r="D15" s="69"/>
    </row>
    <row collapsed="false" customFormat="false" customHeight="true" hidden="false" ht="15.75" outlineLevel="0" r="16">
      <c r="A16" s="39" t="n">
        <v>3</v>
      </c>
      <c r="B16" s="40" t="s">
        <v>107</v>
      </c>
      <c r="C16" s="41" t="n">
        <v>105</v>
      </c>
      <c r="D16" s="69"/>
    </row>
    <row collapsed="false" customFormat="false" customHeight="true" hidden="false" ht="15.75" outlineLevel="0" r="17">
      <c r="A17" s="39" t="n">
        <v>4</v>
      </c>
      <c r="B17" s="40" t="s">
        <v>134</v>
      </c>
      <c r="C17" s="41" t="n">
        <v>156</v>
      </c>
      <c r="D17" s="69"/>
    </row>
    <row collapsed="false" customFormat="false" customHeight="true" hidden="false" ht="15.75" outlineLevel="0" r="18">
      <c r="A18" s="39" t="n">
        <v>5</v>
      </c>
      <c r="B18" s="40" t="s">
        <v>106</v>
      </c>
      <c r="C18" s="41" t="n">
        <v>681</v>
      </c>
      <c r="D18" s="69"/>
    </row>
    <row collapsed="false" customFormat="false" customHeight="true" hidden="false" ht="15.75" outlineLevel="0" r="19">
      <c r="A19" s="39" t="n">
        <v>6</v>
      </c>
      <c r="B19" s="40" t="s">
        <v>107</v>
      </c>
      <c r="C19" s="41" t="n">
        <v>105</v>
      </c>
      <c r="D19" s="69"/>
    </row>
    <row collapsed="false" customFormat="false" customHeight="true" hidden="false" ht="15.75" outlineLevel="0" r="20">
      <c r="A20" s="39" t="n">
        <v>7</v>
      </c>
      <c r="B20" s="40" t="s">
        <v>107</v>
      </c>
      <c r="C20" s="41" t="n">
        <v>105</v>
      </c>
      <c r="D20" s="69"/>
    </row>
    <row collapsed="false" customFormat="false" customHeight="true" hidden="false" ht="15.75" outlineLevel="0" r="21">
      <c r="A21" s="39" t="n">
        <v>8</v>
      </c>
      <c r="B21" s="40" t="s">
        <v>105</v>
      </c>
      <c r="C21" s="41" t="n">
        <v>841.5</v>
      </c>
      <c r="D21" s="69"/>
    </row>
    <row collapsed="false" customFormat="false" customHeight="true" hidden="false" ht="15.75" outlineLevel="0" r="22">
      <c r="A22" s="39" t="n">
        <v>9</v>
      </c>
      <c r="B22" s="40" t="s">
        <v>135</v>
      </c>
      <c r="C22" s="41" t="n">
        <v>402.12</v>
      </c>
      <c r="D22" s="69"/>
    </row>
    <row collapsed="false" customFormat="false" customHeight="true" hidden="false" ht="15.75" outlineLevel="0" r="23">
      <c r="A23" s="39" t="n">
        <v>10</v>
      </c>
      <c r="B23" s="40" t="s">
        <v>136</v>
      </c>
      <c r="C23" s="41" t="n">
        <v>100</v>
      </c>
      <c r="D23" s="69"/>
    </row>
    <row collapsed="false" customFormat="false" customHeight="true" hidden="false" ht="15.75" outlineLevel="0" r="24">
      <c r="A24" s="39" t="n">
        <v>11</v>
      </c>
      <c r="B24" s="40" t="s">
        <v>136</v>
      </c>
      <c r="C24" s="41" t="n">
        <v>100</v>
      </c>
      <c r="D24" s="69"/>
    </row>
    <row collapsed="false" customFormat="false" customHeight="true" hidden="false" ht="15.75" outlineLevel="0" r="25">
      <c r="A25" s="39" t="n">
        <v>12</v>
      </c>
      <c r="B25" s="40" t="s">
        <v>116</v>
      </c>
      <c r="C25" s="41" t="n">
        <v>66</v>
      </c>
      <c r="D25" s="69"/>
    </row>
    <row collapsed="false" customFormat="false" customHeight="true" hidden="false" ht="15.75" outlineLevel="0" r="26">
      <c r="A26" s="39" t="n">
        <v>13</v>
      </c>
      <c r="B26" s="40" t="s">
        <v>107</v>
      </c>
      <c r="C26" s="41" t="n">
        <v>105</v>
      </c>
      <c r="D26" s="69"/>
    </row>
    <row collapsed="false" customFormat="false" customHeight="true" hidden="false" ht="15.75" outlineLevel="0" r="27">
      <c r="A27" s="39" t="n">
        <v>14</v>
      </c>
      <c r="B27" s="40" t="s">
        <v>107</v>
      </c>
      <c r="C27" s="41" t="n">
        <v>105</v>
      </c>
      <c r="D27" s="69"/>
    </row>
    <row collapsed="false" customFormat="false" customHeight="true" hidden="false" ht="15.75" outlineLevel="0" r="28">
      <c r="A28" s="39" t="n">
        <v>15</v>
      </c>
      <c r="B28" s="40" t="s">
        <v>106</v>
      </c>
      <c r="C28" s="41" t="n">
        <v>800</v>
      </c>
      <c r="D28" s="69"/>
    </row>
    <row collapsed="false" customFormat="false" customHeight="true" hidden="false" ht="15.75" outlineLevel="0" r="29">
      <c r="A29" s="39" t="n">
        <v>16</v>
      </c>
      <c r="B29" s="40" t="s">
        <v>135</v>
      </c>
      <c r="C29" s="41" t="n">
        <v>1820</v>
      </c>
      <c r="D29" s="69"/>
    </row>
    <row collapsed="false" customFormat="false" customHeight="true" hidden="false" ht="15.75" outlineLevel="0" r="30">
      <c r="A30" s="39" t="n">
        <v>17</v>
      </c>
      <c r="B30" s="40" t="s">
        <v>107</v>
      </c>
      <c r="C30" s="41" t="n">
        <v>105</v>
      </c>
      <c r="D30" s="69"/>
    </row>
    <row collapsed="false" customFormat="false" customHeight="true" hidden="false" ht="15.75" outlineLevel="0" r="31">
      <c r="A31" s="39" t="n">
        <v>18</v>
      </c>
      <c r="B31" s="40" t="s">
        <v>104</v>
      </c>
      <c r="C31" s="41" t="n">
        <v>3653.51</v>
      </c>
      <c r="D31" s="69"/>
    </row>
    <row collapsed="false" customFormat="false" customHeight="true" hidden="false" ht="15.75" outlineLevel="0" r="32">
      <c r="A32" s="39" t="n">
        <v>19</v>
      </c>
      <c r="B32" s="40" t="s">
        <v>107</v>
      </c>
      <c r="C32" s="41" t="n">
        <v>140</v>
      </c>
      <c r="D32" s="69"/>
    </row>
    <row collapsed="false" customFormat="false" customHeight="true" hidden="false" ht="15.75" outlineLevel="0" r="33">
      <c r="A33" s="39" t="n">
        <v>20</v>
      </c>
      <c r="B33" s="40" t="s">
        <v>136</v>
      </c>
      <c r="C33" s="41" t="n">
        <v>110</v>
      </c>
      <c r="D33" s="69"/>
    </row>
    <row collapsed="false" customFormat="false" customHeight="true" hidden="false" ht="15.75" outlineLevel="0" r="34">
      <c r="A34" s="39" t="n">
        <v>21</v>
      </c>
      <c r="B34" s="40" t="s">
        <v>107</v>
      </c>
      <c r="C34" s="41" t="n">
        <v>105</v>
      </c>
      <c r="D34" s="69"/>
    </row>
    <row collapsed="false" customFormat="false" customHeight="true" hidden="false" ht="15.75" outlineLevel="0" r="35">
      <c r="A35" s="39" t="n">
        <v>22</v>
      </c>
      <c r="B35" s="40" t="s">
        <v>136</v>
      </c>
      <c r="C35" s="41" t="n">
        <v>100</v>
      </c>
      <c r="D35" s="69"/>
    </row>
    <row collapsed="false" customFormat="false" customHeight="true" hidden="false" ht="15.75" outlineLevel="0" r="36">
      <c r="A36" s="39" t="n">
        <v>23</v>
      </c>
      <c r="B36" s="40" t="s">
        <v>137</v>
      </c>
      <c r="C36" s="41" t="n">
        <f aca="false">350+360</f>
        <v>710</v>
      </c>
      <c r="D36" s="69"/>
    </row>
    <row collapsed="false" customFormat="false" customHeight="true" hidden="false" ht="15.75" outlineLevel="0" r="37">
      <c r="A37" s="39" t="n">
        <v>24</v>
      </c>
      <c r="B37" s="40" t="s">
        <v>105</v>
      </c>
      <c r="C37" s="41" t="n">
        <f aca="false">147.1*5</f>
        <v>735.5</v>
      </c>
      <c r="D37" s="69"/>
    </row>
    <row collapsed="false" customFormat="false" customHeight="true" hidden="false" ht="15.75" outlineLevel="0" r="38">
      <c r="A38" s="39" t="n">
        <f aca="false">A37+1</f>
        <v>25</v>
      </c>
      <c r="B38" s="40" t="s">
        <v>107</v>
      </c>
      <c r="C38" s="41" t="n">
        <v>140</v>
      </c>
      <c r="D38" s="69"/>
    </row>
    <row collapsed="false" customFormat="false" customHeight="true" hidden="false" ht="15.75" outlineLevel="0" r="39">
      <c r="A39" s="39" t="n">
        <f aca="false">A38+1</f>
        <v>26</v>
      </c>
      <c r="B39" s="40" t="s">
        <v>116</v>
      </c>
      <c r="C39" s="41" t="n">
        <v>75</v>
      </c>
      <c r="D39" s="69"/>
    </row>
    <row collapsed="false" customFormat="false" customHeight="true" hidden="false" ht="15.75" outlineLevel="0" r="40">
      <c r="A40" s="39" t="n">
        <f aca="false">A39+1</f>
        <v>27</v>
      </c>
      <c r="B40" s="40" t="s">
        <v>107</v>
      </c>
      <c r="C40" s="41" t="n">
        <v>140</v>
      </c>
      <c r="D40" s="69"/>
    </row>
    <row collapsed="false" customFormat="false" customHeight="true" hidden="false" ht="15.75" outlineLevel="0" r="41">
      <c r="A41" s="39" t="n">
        <f aca="false">A40+1</f>
        <v>28</v>
      </c>
      <c r="B41" s="40" t="s">
        <v>135</v>
      </c>
      <c r="C41" s="41" t="n">
        <v>1820</v>
      </c>
      <c r="D41" s="69"/>
    </row>
    <row collapsed="false" customFormat="false" customHeight="true" hidden="false" ht="15.75" outlineLevel="0" r="42">
      <c r="A42" s="39" t="n">
        <f aca="false">A41+1</f>
        <v>29</v>
      </c>
      <c r="B42" s="40" t="s">
        <v>105</v>
      </c>
      <c r="C42" s="41" t="n">
        <v>736.5</v>
      </c>
      <c r="D42" s="69"/>
    </row>
    <row collapsed="false" customFormat="false" customHeight="true" hidden="false" ht="15.75" outlineLevel="0" r="43">
      <c r="A43" s="39" t="n">
        <f aca="false">A42+1</f>
        <v>30</v>
      </c>
      <c r="B43" s="40" t="s">
        <v>107</v>
      </c>
      <c r="C43" s="41" t="n">
        <v>140</v>
      </c>
      <c r="D43" s="69"/>
    </row>
    <row collapsed="false" customFormat="false" customHeight="true" hidden="false" ht="15.75" outlineLevel="0" r="44">
      <c r="A44" s="39" t="n">
        <f aca="false">A43+1</f>
        <v>31</v>
      </c>
      <c r="B44" s="40" t="s">
        <v>116</v>
      </c>
      <c r="C44" s="41" t="n">
        <v>75</v>
      </c>
      <c r="D44" s="69"/>
    </row>
    <row collapsed="false" customFormat="false" customHeight="true" hidden="false" ht="15.75" outlineLevel="0" r="45">
      <c r="A45" s="39" t="n">
        <f aca="false">A44+1</f>
        <v>32</v>
      </c>
      <c r="B45" s="40" t="s">
        <v>128</v>
      </c>
      <c r="C45" s="41" t="n">
        <v>360</v>
      </c>
      <c r="D45" s="69"/>
    </row>
    <row collapsed="false" customFormat="false" customHeight="true" hidden="false" ht="15.75" outlineLevel="0" r="46">
      <c r="A46" s="39" t="n">
        <f aca="false">A45+1</f>
        <v>33</v>
      </c>
      <c r="B46" s="40" t="s">
        <v>136</v>
      </c>
      <c r="C46" s="41" t="n">
        <v>110</v>
      </c>
      <c r="D46" s="69"/>
    </row>
    <row collapsed="false" customFormat="false" customHeight="true" hidden="false" ht="15.75" outlineLevel="0" r="47">
      <c r="A47" s="39" t="n">
        <f aca="false">A46+1</f>
        <v>34</v>
      </c>
      <c r="B47" s="40" t="s">
        <v>107</v>
      </c>
      <c r="C47" s="41" t="n">
        <v>140</v>
      </c>
      <c r="D47" s="69"/>
    </row>
    <row collapsed="false" customFormat="false" customHeight="true" hidden="false" ht="15.75" outlineLevel="0" r="48">
      <c r="A48" s="39" t="n">
        <f aca="false">A47+1</f>
        <v>35</v>
      </c>
      <c r="B48" s="40" t="s">
        <v>107</v>
      </c>
      <c r="C48" s="41" t="n">
        <v>140</v>
      </c>
      <c r="D48" s="69"/>
    </row>
    <row collapsed="false" customFormat="false" customHeight="true" hidden="false" ht="15.75" outlineLevel="0" r="49">
      <c r="A49" s="39" t="n">
        <f aca="false">A48+1</f>
        <v>36</v>
      </c>
      <c r="B49" s="40" t="s">
        <v>138</v>
      </c>
      <c r="C49" s="41" t="n">
        <v>110</v>
      </c>
      <c r="D49" s="69"/>
    </row>
    <row collapsed="false" customFormat="false" customHeight="true" hidden="false" ht="15.75" outlineLevel="0" r="50">
      <c r="A50" s="39" t="n">
        <f aca="false">A49+1</f>
        <v>37</v>
      </c>
      <c r="B50" s="40" t="s">
        <v>104</v>
      </c>
      <c r="C50" s="41" t="n">
        <v>4874.83</v>
      </c>
      <c r="D50" s="69"/>
    </row>
    <row collapsed="false" customFormat="false" customHeight="true" hidden="false" ht="15.75" outlineLevel="0" r="51">
      <c r="A51" s="39" t="n">
        <f aca="false">A50+1</f>
        <v>38</v>
      </c>
      <c r="B51" s="40" t="s">
        <v>139</v>
      </c>
      <c r="C51" s="41" t="n">
        <v>712.5</v>
      </c>
      <c r="D51" s="69"/>
    </row>
    <row collapsed="false" customFormat="false" customHeight="true" hidden="false" ht="15.75" outlineLevel="0" r="52">
      <c r="A52" s="39" t="n">
        <f aca="false">A51+1</f>
        <v>39</v>
      </c>
      <c r="B52" s="40" t="s">
        <v>107</v>
      </c>
      <c r="C52" s="41" t="n">
        <v>140</v>
      </c>
      <c r="D52" s="69"/>
    </row>
    <row collapsed="false" customFormat="false" customHeight="true" hidden="false" ht="15.75" outlineLevel="0" r="53">
      <c r="A53" s="39" t="n">
        <f aca="false">A52+1</f>
        <v>40</v>
      </c>
      <c r="B53" s="40" t="s">
        <v>107</v>
      </c>
      <c r="C53" s="41" t="n">
        <v>140</v>
      </c>
      <c r="D53" s="69"/>
    </row>
    <row collapsed="false" customFormat="false" customHeight="true" hidden="false" ht="15.75" outlineLevel="0" r="54">
      <c r="A54" s="39" t="n">
        <f aca="false">A53+1</f>
        <v>41</v>
      </c>
      <c r="B54" s="40" t="s">
        <v>136</v>
      </c>
      <c r="C54" s="41" t="n">
        <v>110</v>
      </c>
      <c r="D54" s="69"/>
    </row>
    <row collapsed="false" customFormat="false" customHeight="true" hidden="false" ht="15.75" outlineLevel="0" r="55">
      <c r="A55" s="39" t="n">
        <f aca="false">A54+1</f>
        <v>42</v>
      </c>
      <c r="B55" s="40" t="s">
        <v>135</v>
      </c>
      <c r="C55" s="41" t="n">
        <v>1350</v>
      </c>
      <c r="D55" s="69"/>
    </row>
    <row collapsed="false" customFormat="false" customHeight="false" hidden="false" ht="14.9" outlineLevel="0" r="56">
      <c r="A56" s="44"/>
      <c r="B56" s="45" t="s">
        <v>109</v>
      </c>
      <c r="C56" s="47" t="n">
        <f aca="false">SUM(C14:C55)</f>
        <v>25888.78</v>
      </c>
      <c r="D56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B74" activeCellId="0" pane="topLeft" sqref="B74"/>
    </sheetView>
  </sheetViews>
  <cols>
    <col collapsed="false" hidden="false" max="1" min="1" style="1" width="13.5294117647059"/>
    <col collapsed="false" hidden="false" max="2" min="2" style="1" width="113.850980392157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1" min="9" style="1" width="30.1882352941176"/>
    <col collapsed="false" hidden="false" max="32" min="32" style="1" width="33.5019607843137"/>
    <col collapsed="false" hidden="false" max="257" min="33" style="1" width="24.1490196078431"/>
  </cols>
  <sheetData>
    <row collapsed="false" customFormat="false" customHeight="false" hidden="false" ht="17.6" outlineLevel="0" r="1">
      <c r="A1" s="31" t="s">
        <v>140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collapsed="false" customFormat="false" customHeight="true" hidden="false" ht="15.75" outlineLevel="0" r="3">
      <c r="A3" s="4"/>
      <c r="B3" s="34"/>
      <c r="C3" s="35"/>
      <c r="D3" s="35" t="s">
        <v>130</v>
      </c>
      <c r="E3" s="35" t="s">
        <v>131</v>
      </c>
      <c r="F3" s="35"/>
      <c r="G3" s="35"/>
      <c r="H3" s="35"/>
      <c r="I3" s="35"/>
      <c r="J3" s="35"/>
      <c r="K3" s="35" t="s">
        <v>130</v>
      </c>
      <c r="L3" s="35" t="s">
        <v>131</v>
      </c>
      <c r="M3" s="35" t="s">
        <v>141</v>
      </c>
      <c r="N3" s="35" t="s">
        <v>141</v>
      </c>
      <c r="O3" s="35"/>
      <c r="P3" s="35"/>
      <c r="Q3" s="35"/>
      <c r="R3" s="35" t="s">
        <v>111</v>
      </c>
      <c r="S3" s="35" t="s">
        <v>112</v>
      </c>
      <c r="T3" s="35"/>
      <c r="U3" s="35"/>
      <c r="V3" s="35"/>
      <c r="W3" s="35"/>
      <c r="X3" s="35"/>
      <c r="Y3" s="35" t="s">
        <v>111</v>
      </c>
      <c r="Z3" s="35" t="s">
        <v>112</v>
      </c>
      <c r="AA3" s="35"/>
      <c r="AB3" s="35"/>
      <c r="AC3" s="35"/>
      <c r="AD3" s="35"/>
      <c r="AE3" s="35"/>
      <c r="AF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 t="n">
        <v>1103.52</v>
      </c>
      <c r="D5" s="41"/>
      <c r="E5" s="41"/>
      <c r="F5" s="41" t="n">
        <v>267</v>
      </c>
      <c r="G5" s="41" t="n">
        <v>1379.75</v>
      </c>
      <c r="H5" s="41" t="n">
        <v>591.74</v>
      </c>
      <c r="I5" s="41" t="n">
        <f aca="false">1719.75</f>
        <v>1719.75</v>
      </c>
      <c r="J5" s="41" t="n">
        <v>2351.75</v>
      </c>
      <c r="K5" s="41"/>
      <c r="L5" s="41"/>
      <c r="M5" s="41"/>
      <c r="N5" s="41"/>
      <c r="O5" s="41" t="n">
        <v>339.95</v>
      </c>
      <c r="P5" s="41" t="n">
        <v>2364.45</v>
      </c>
      <c r="Q5" s="41" t="n">
        <v>871.4</v>
      </c>
      <c r="R5" s="41" t="n">
        <v>301.35</v>
      </c>
      <c r="S5" s="41" t="n">
        <v>753.95</v>
      </c>
      <c r="T5" s="41" t="n">
        <v>955.2</v>
      </c>
      <c r="U5" s="41" t="n">
        <v>2154.2</v>
      </c>
      <c r="V5" s="41" t="n">
        <v>1254.86</v>
      </c>
      <c r="W5" s="41" t="n">
        <v>2039.95</v>
      </c>
      <c r="X5" s="41" t="n">
        <f aca="false">1334.45</f>
        <v>1334.45</v>
      </c>
      <c r="Y5" s="41"/>
      <c r="Z5" s="41"/>
      <c r="AA5" s="41" t="n">
        <v>78.4</v>
      </c>
      <c r="AB5" s="41" t="n">
        <v>1273.95</v>
      </c>
      <c r="AC5" s="41" t="n">
        <v>269.83</v>
      </c>
      <c r="AD5" s="41" t="n">
        <v>1269</v>
      </c>
      <c r="AE5" s="41"/>
      <c r="AF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 t="n">
        <f aca="false">-1500+3668.5+140</f>
        <v>2308.5</v>
      </c>
      <c r="D6" s="41"/>
      <c r="E6" s="41"/>
      <c r="F6" s="41" t="n">
        <f aca="false">+140+1379.75</f>
        <v>1519.75</v>
      </c>
      <c r="G6" s="41" t="n">
        <f aca="false">140+2651.88</f>
        <v>2791.88</v>
      </c>
      <c r="H6" s="41" t="n">
        <f aca="false">+500+1719.75+200</f>
        <v>2419.75</v>
      </c>
      <c r="I6" s="41" t="n">
        <f aca="false">950+2361.75+140+360</f>
        <v>3811.75</v>
      </c>
      <c r="J6" s="41" t="n">
        <f aca="false">140+3889.56</f>
        <v>4029.56</v>
      </c>
      <c r="K6" s="41"/>
      <c r="L6" s="43"/>
      <c r="M6" s="41"/>
      <c r="N6" s="41"/>
      <c r="O6" s="41" t="n">
        <v>2164.45</v>
      </c>
      <c r="P6" s="41" t="n">
        <f aca="false">140+3947.65</f>
        <v>4087.65</v>
      </c>
      <c r="Q6" s="41" t="n">
        <v>2083.65</v>
      </c>
      <c r="R6" s="41" t="n">
        <f aca="false">+140+753.95</f>
        <v>893.95</v>
      </c>
      <c r="S6" s="41" t="n">
        <v>955.2</v>
      </c>
      <c r="T6" s="41" t="n">
        <f aca="false">+150+110+2154.2</f>
        <v>2414.2</v>
      </c>
      <c r="U6" s="41" t="n">
        <f aca="false">+1500+600+500+854.86</f>
        <v>3454.86</v>
      </c>
      <c r="V6" s="41" t="n">
        <f aca="false">500+2039.95</f>
        <v>2539.95</v>
      </c>
      <c r="W6" s="41" t="n">
        <f aca="false">+1762+700+1334.45</f>
        <v>3796.45</v>
      </c>
      <c r="X6" s="41" t="n">
        <f aca="false">+140+1689.56+78.4+300+189.46+140</f>
        <v>2537.42</v>
      </c>
      <c r="Y6" s="41"/>
      <c r="Z6" s="41"/>
      <c r="AA6" s="41" t="n">
        <f aca="false">+140+1273.95</f>
        <v>1413.95</v>
      </c>
      <c r="AB6" s="41" t="n">
        <f aca="false">+165+1500+1363.23</f>
        <v>3028.23</v>
      </c>
      <c r="AC6" s="41" t="n">
        <f aca="false">560.23+1269</f>
        <v>1829.23</v>
      </c>
      <c r="AD6" s="41" t="n">
        <f aca="false">+800+160+1477.47+140</f>
        <v>2577.47</v>
      </c>
      <c r="AE6" s="41"/>
      <c r="AF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1204.98</v>
      </c>
      <c r="D7" s="46" t="n">
        <f aca="false">D6-D5</f>
        <v>0</v>
      </c>
      <c r="E7" s="46" t="n">
        <f aca="false">E6-E5</f>
        <v>0</v>
      </c>
      <c r="F7" s="46" t="n">
        <f aca="false">F6-F5</f>
        <v>1252.75</v>
      </c>
      <c r="G7" s="46" t="n">
        <f aca="false">G6-G5</f>
        <v>1412.13</v>
      </c>
      <c r="H7" s="46" t="n">
        <f aca="false">H6-H5</f>
        <v>1828.01</v>
      </c>
      <c r="I7" s="46" t="n">
        <f aca="false">I6-I5</f>
        <v>2092</v>
      </c>
      <c r="J7" s="46" t="n">
        <f aca="false">J6-J5</f>
        <v>1677.81</v>
      </c>
      <c r="K7" s="46" t="n">
        <f aca="false">K6-K5</f>
        <v>0</v>
      </c>
      <c r="L7" s="46" t="n">
        <f aca="false">L6-L5</f>
        <v>0</v>
      </c>
      <c r="M7" s="46" t="n">
        <f aca="false">M6-M5</f>
        <v>0</v>
      </c>
      <c r="N7" s="46" t="n">
        <f aca="false">N6-N5</f>
        <v>0</v>
      </c>
      <c r="O7" s="46" t="n">
        <f aca="false">O6-O5</f>
        <v>1824.5</v>
      </c>
      <c r="P7" s="46" t="n">
        <f aca="false">P6-P5</f>
        <v>1723.2</v>
      </c>
      <c r="Q7" s="46" t="n">
        <f aca="false">Q6-Q5</f>
        <v>1212.25</v>
      </c>
      <c r="R7" s="46" t="n">
        <f aca="false">R6-R5</f>
        <v>592.6</v>
      </c>
      <c r="S7" s="46" t="n">
        <f aca="false">S6-S5</f>
        <v>201.25</v>
      </c>
      <c r="T7" s="46" t="n">
        <f aca="false">T6-T5</f>
        <v>1459</v>
      </c>
      <c r="U7" s="46" t="n">
        <f aca="false">U6-U5</f>
        <v>1300.66</v>
      </c>
      <c r="V7" s="46" t="n">
        <f aca="false">V6-V5</f>
        <v>1285.09</v>
      </c>
      <c r="W7" s="46" t="n">
        <f aca="false">W6-W5</f>
        <v>1756.5</v>
      </c>
      <c r="X7" s="46" t="n">
        <f aca="false">X6-X5</f>
        <v>1202.97</v>
      </c>
      <c r="Y7" s="46" t="n">
        <f aca="false">Y6-Y5</f>
        <v>0</v>
      </c>
      <c r="Z7" s="46" t="n">
        <f aca="false">Z6-Z5</f>
        <v>0</v>
      </c>
      <c r="AA7" s="46" t="n">
        <f aca="false">AA6-AA5</f>
        <v>1335.55</v>
      </c>
      <c r="AB7" s="46" t="n">
        <f aca="false">AB6-AB5</f>
        <v>1754.28</v>
      </c>
      <c r="AC7" s="46" t="n">
        <f aca="false">AC6-AC5</f>
        <v>1559.4</v>
      </c>
      <c r="AD7" s="46" t="n">
        <f aca="false">AD6-AD5</f>
        <v>1308.47</v>
      </c>
      <c r="AE7" s="46" t="n">
        <f aca="false">AE6-AE5</f>
        <v>0</v>
      </c>
      <c r="AF7" s="46" t="n">
        <f aca="false">SUM(C7:AE7)</f>
        <v>27983.4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AF7-C62</f>
        <v>1636.17000000001</v>
      </c>
    </row>
    <row collapsed="false" customFormat="false" customHeight="true" hidden="false" ht="15.75" outlineLevel="0" r="14">
      <c r="A14" s="39" t="n">
        <v>1</v>
      </c>
      <c r="B14" s="40" t="s">
        <v>107</v>
      </c>
      <c r="C14" s="41" t="n">
        <v>140</v>
      </c>
      <c r="D14" s="69"/>
    </row>
    <row collapsed="false" customFormat="false" customHeight="true" hidden="false" ht="15.75" outlineLevel="0" r="15">
      <c r="A15" s="39" t="n">
        <v>2</v>
      </c>
      <c r="B15" s="40" t="s">
        <v>105</v>
      </c>
      <c r="C15" s="41" t="n">
        <f aca="false">147.3*5</f>
        <v>736.5</v>
      </c>
      <c r="D15" s="69"/>
    </row>
    <row collapsed="false" customFormat="false" customHeight="true" hidden="false" ht="15.75" outlineLevel="0" r="16">
      <c r="A16" s="39" t="n">
        <v>3</v>
      </c>
      <c r="B16" s="40" t="s">
        <v>136</v>
      </c>
      <c r="C16" s="41" t="n">
        <v>140</v>
      </c>
      <c r="D16" s="69"/>
    </row>
    <row collapsed="false" customFormat="false" customHeight="true" hidden="false" ht="15.75" outlineLevel="0" r="17">
      <c r="A17" s="39" t="n">
        <v>4</v>
      </c>
      <c r="B17" s="40" t="s">
        <v>107</v>
      </c>
      <c r="C17" s="41" t="n">
        <v>140</v>
      </c>
      <c r="D17" s="69"/>
    </row>
    <row collapsed="false" customFormat="false" customHeight="true" hidden="false" ht="15.75" outlineLevel="0" r="18">
      <c r="A18" s="39" t="n">
        <v>5</v>
      </c>
      <c r="B18" s="40" t="s">
        <v>108</v>
      </c>
      <c r="C18" s="41" t="n">
        <v>180</v>
      </c>
      <c r="D18" s="69"/>
    </row>
    <row collapsed="false" customFormat="false" customHeight="true" hidden="false" ht="15.75" outlineLevel="0" r="19">
      <c r="A19" s="39" t="n">
        <v>6</v>
      </c>
      <c r="B19" s="40" t="s">
        <v>107</v>
      </c>
      <c r="C19" s="41" t="n">
        <v>140</v>
      </c>
      <c r="D19" s="69"/>
    </row>
    <row collapsed="false" customFormat="false" customHeight="true" hidden="false" ht="15.75" outlineLevel="0" r="20">
      <c r="A20" s="39" t="n">
        <v>7</v>
      </c>
      <c r="B20" s="40" t="s">
        <v>107</v>
      </c>
      <c r="C20" s="41" t="n">
        <v>140</v>
      </c>
      <c r="D20" s="69"/>
    </row>
    <row collapsed="false" customFormat="false" customHeight="true" hidden="false" ht="15.75" outlineLevel="0" r="21">
      <c r="A21" s="39" t="n">
        <v>8</v>
      </c>
      <c r="B21" s="40" t="s">
        <v>107</v>
      </c>
      <c r="C21" s="41" t="n">
        <v>140</v>
      </c>
      <c r="D21" s="69"/>
    </row>
    <row collapsed="false" customFormat="false" customHeight="true" hidden="false" ht="15.75" outlineLevel="0" r="22">
      <c r="A22" s="39" t="n">
        <v>9</v>
      </c>
      <c r="B22" s="40" t="s">
        <v>135</v>
      </c>
      <c r="C22" s="41" t="n">
        <v>950</v>
      </c>
      <c r="D22" s="69"/>
    </row>
    <row collapsed="false" customFormat="false" customHeight="true" hidden="false" ht="15.75" outlineLevel="0" r="23">
      <c r="A23" s="39" t="n">
        <v>10</v>
      </c>
      <c r="B23" s="40" t="s">
        <v>128</v>
      </c>
      <c r="C23" s="41" t="n">
        <v>360</v>
      </c>
      <c r="D23" s="69"/>
    </row>
    <row collapsed="false" customFormat="false" customHeight="true" hidden="false" ht="15.75" outlineLevel="0" r="24">
      <c r="A24" s="39" t="n">
        <v>11</v>
      </c>
      <c r="B24" s="40" t="s">
        <v>104</v>
      </c>
      <c r="C24" s="41" t="n">
        <v>5817.43</v>
      </c>
      <c r="D24" s="69"/>
    </row>
    <row collapsed="false" customFormat="false" customHeight="true" hidden="false" ht="15.75" outlineLevel="0" r="25">
      <c r="A25" s="39" t="n">
        <v>12</v>
      </c>
      <c r="B25" s="40" t="s">
        <v>107</v>
      </c>
      <c r="C25" s="41" t="n">
        <v>140</v>
      </c>
      <c r="D25" s="69"/>
    </row>
    <row collapsed="false" customFormat="false" customHeight="true" hidden="false" ht="15.75" outlineLevel="0" r="26">
      <c r="A26" s="39" t="n">
        <v>13</v>
      </c>
      <c r="B26" s="40" t="s">
        <v>108</v>
      </c>
      <c r="C26" s="42" t="n">
        <v>247</v>
      </c>
      <c r="D26" s="69"/>
    </row>
    <row collapsed="false" customFormat="false" customHeight="true" hidden="false" ht="15.75" outlineLevel="0" r="27">
      <c r="A27" s="39" t="n">
        <v>14</v>
      </c>
      <c r="B27" s="40" t="s">
        <v>107</v>
      </c>
      <c r="C27" s="41" t="n">
        <v>140</v>
      </c>
      <c r="D27" s="69"/>
    </row>
    <row collapsed="false" customFormat="false" customHeight="true" hidden="false" ht="15.75" outlineLevel="0" r="28">
      <c r="A28" s="39" t="n">
        <v>15</v>
      </c>
      <c r="B28" s="40" t="s">
        <v>116</v>
      </c>
      <c r="C28" s="41" t="n">
        <v>150</v>
      </c>
      <c r="D28" s="69"/>
    </row>
    <row collapsed="false" customFormat="false" customHeight="true" hidden="false" ht="15.75" outlineLevel="0" r="29">
      <c r="A29" s="39" t="n">
        <v>16</v>
      </c>
      <c r="B29" s="40" t="s">
        <v>105</v>
      </c>
      <c r="C29" s="41" t="n">
        <f aca="false">147.3*5</f>
        <v>736.5</v>
      </c>
      <c r="D29" s="69"/>
    </row>
    <row collapsed="false" customFormat="false" customHeight="true" hidden="false" ht="15.75" outlineLevel="0" r="30">
      <c r="A30" s="39" t="n">
        <v>17</v>
      </c>
      <c r="B30" s="40" t="s">
        <v>117</v>
      </c>
      <c r="C30" s="41" t="n">
        <v>1975.5</v>
      </c>
      <c r="D30" s="69"/>
    </row>
    <row collapsed="false" customFormat="false" customHeight="true" hidden="false" ht="15.75" outlineLevel="0" r="31">
      <c r="A31" s="39" t="n">
        <v>18</v>
      </c>
      <c r="B31" s="40" t="s">
        <v>117</v>
      </c>
      <c r="C31" s="41" t="n">
        <v>570.5</v>
      </c>
      <c r="D31" s="69"/>
    </row>
    <row collapsed="false" customFormat="false" customHeight="true" hidden="false" ht="15.75" outlineLevel="0" r="32">
      <c r="A32" s="39" t="n">
        <v>19</v>
      </c>
      <c r="B32" s="40" t="s">
        <v>107</v>
      </c>
      <c r="C32" s="41" t="n">
        <v>140</v>
      </c>
      <c r="D32" s="69"/>
    </row>
    <row collapsed="false" customFormat="false" customHeight="true" hidden="false" ht="15.75" outlineLevel="0" r="33">
      <c r="A33" s="39" t="n">
        <v>20</v>
      </c>
      <c r="B33" s="40" t="s">
        <v>107</v>
      </c>
      <c r="C33" s="41" t="n">
        <v>140</v>
      </c>
      <c r="D33" s="69"/>
    </row>
    <row collapsed="false" customFormat="false" customHeight="true" hidden="false" ht="15.75" outlineLevel="0" r="34">
      <c r="A34" s="39" t="n">
        <v>21</v>
      </c>
      <c r="B34" s="40" t="s">
        <v>105</v>
      </c>
      <c r="C34" s="41" t="n">
        <f aca="false">147.3*3</f>
        <v>441.9</v>
      </c>
      <c r="D34" s="69"/>
    </row>
    <row collapsed="false" customFormat="false" customHeight="true" hidden="false" ht="15.75" outlineLevel="0" r="35">
      <c r="A35" s="39" t="n">
        <f aca="false">A34+1</f>
        <v>22</v>
      </c>
      <c r="B35" s="40" t="s">
        <v>136</v>
      </c>
      <c r="C35" s="41" t="n">
        <v>110</v>
      </c>
      <c r="D35" s="69"/>
    </row>
    <row collapsed="false" customFormat="false" customHeight="true" hidden="false" ht="15.75" outlineLevel="0" r="36">
      <c r="A36" s="39" t="n">
        <f aca="false">A35+1</f>
        <v>23</v>
      </c>
      <c r="B36" s="40" t="s">
        <v>116</v>
      </c>
      <c r="C36" s="41" t="n">
        <v>150</v>
      </c>
      <c r="D36" s="69"/>
    </row>
    <row collapsed="false" customFormat="false" customHeight="true" hidden="false" ht="15.75" outlineLevel="0" r="37">
      <c r="A37" s="39" t="n">
        <f aca="false">A36+1</f>
        <v>24</v>
      </c>
      <c r="B37" s="40" t="s">
        <v>128</v>
      </c>
      <c r="C37" s="41" t="n">
        <v>360</v>
      </c>
      <c r="D37" s="69"/>
    </row>
    <row collapsed="false" customFormat="false" customHeight="true" hidden="false" ht="15.75" outlineLevel="0" r="38">
      <c r="A38" s="39" t="n">
        <f aca="false">A37+1</f>
        <v>25</v>
      </c>
      <c r="B38" s="40" t="s">
        <v>142</v>
      </c>
      <c r="C38" s="41" t="n">
        <v>350</v>
      </c>
      <c r="D38" s="69"/>
    </row>
    <row collapsed="false" customFormat="false" customHeight="true" hidden="false" ht="15.75" outlineLevel="0" r="39">
      <c r="A39" s="39" t="n">
        <f aca="false">A38+1</f>
        <v>26</v>
      </c>
      <c r="B39" s="40" t="s">
        <v>143</v>
      </c>
      <c r="C39" s="41" t="n">
        <v>156</v>
      </c>
      <c r="D39" s="69"/>
    </row>
    <row collapsed="false" customFormat="false" customHeight="true" hidden="false" ht="15.75" outlineLevel="0" r="40">
      <c r="A40" s="39" t="n">
        <f aca="false">A39+1</f>
        <v>27</v>
      </c>
      <c r="B40" s="40" t="s">
        <v>107</v>
      </c>
      <c r="C40" s="41" t="n">
        <v>140</v>
      </c>
      <c r="D40" s="69"/>
    </row>
    <row collapsed="false" customFormat="false" customHeight="true" hidden="false" ht="15.75" outlineLevel="0" r="41">
      <c r="A41" s="39" t="n">
        <f aca="false">A40+1</f>
        <v>28</v>
      </c>
      <c r="B41" s="40" t="s">
        <v>144</v>
      </c>
      <c r="C41" s="41" t="n">
        <v>35</v>
      </c>
      <c r="D41" s="69"/>
    </row>
    <row collapsed="false" customFormat="false" customHeight="true" hidden="false" ht="15.75" outlineLevel="0" r="42">
      <c r="A42" s="39" t="n">
        <f aca="false">A41+1</f>
        <v>29</v>
      </c>
      <c r="B42" s="40" t="s">
        <v>107</v>
      </c>
      <c r="C42" s="41" t="n">
        <v>140</v>
      </c>
      <c r="D42" s="69"/>
    </row>
    <row collapsed="false" customFormat="false" customHeight="true" hidden="false" ht="15.75" outlineLevel="0" r="43">
      <c r="A43" s="39" t="n">
        <f aca="false">A42+1</f>
        <v>30</v>
      </c>
      <c r="B43" s="40" t="s">
        <v>136</v>
      </c>
      <c r="C43" s="41" t="n">
        <v>110</v>
      </c>
      <c r="D43" s="69"/>
    </row>
    <row collapsed="false" customFormat="false" customHeight="true" hidden="false" ht="15.75" outlineLevel="0" r="44">
      <c r="A44" s="39" t="n">
        <f aca="false">A43+1</f>
        <v>31</v>
      </c>
      <c r="B44" s="40" t="s">
        <v>107</v>
      </c>
      <c r="C44" s="41" t="n">
        <v>140</v>
      </c>
      <c r="D44" s="69"/>
    </row>
    <row collapsed="false" customFormat="false" customHeight="true" hidden="false" ht="15.75" outlineLevel="0" r="45">
      <c r="A45" s="39" t="n">
        <f aca="false">A44+1</f>
        <v>32</v>
      </c>
      <c r="B45" s="40" t="s">
        <v>136</v>
      </c>
      <c r="C45" s="41" t="n">
        <v>110</v>
      </c>
      <c r="D45" s="69"/>
    </row>
    <row collapsed="false" customFormat="false" customHeight="true" hidden="false" ht="15.75" outlineLevel="0" r="46">
      <c r="A46" s="39" t="n">
        <f aca="false">A45+1</f>
        <v>33</v>
      </c>
      <c r="B46" s="40" t="s">
        <v>135</v>
      </c>
      <c r="C46" s="41" t="n">
        <v>1762</v>
      </c>
      <c r="D46" s="69"/>
    </row>
    <row collapsed="false" customFormat="false" customHeight="true" hidden="false" ht="15.75" outlineLevel="0" r="47">
      <c r="A47" s="39" t="n">
        <f aca="false">A46+1</f>
        <v>34</v>
      </c>
      <c r="B47" s="40" t="s">
        <v>104</v>
      </c>
      <c r="C47" s="41" t="n">
        <v>5090.89</v>
      </c>
      <c r="D47" s="69"/>
    </row>
    <row collapsed="false" customFormat="false" customHeight="true" hidden="false" ht="15.75" outlineLevel="0" r="48">
      <c r="A48" s="39" t="n">
        <f aca="false">A47+1</f>
        <v>35</v>
      </c>
      <c r="B48" s="40" t="s">
        <v>144</v>
      </c>
      <c r="C48" s="41" t="n">
        <f aca="false">12*7</f>
        <v>84</v>
      </c>
      <c r="D48" s="69"/>
    </row>
    <row collapsed="false" customFormat="false" customHeight="true" hidden="false" ht="15.75" outlineLevel="0" r="49">
      <c r="A49" s="39" t="n">
        <f aca="false">A48+1</f>
        <v>36</v>
      </c>
      <c r="B49" s="40" t="s">
        <v>142</v>
      </c>
      <c r="C49" s="41" t="n">
        <v>400</v>
      </c>
      <c r="D49" s="69"/>
    </row>
    <row collapsed="false" customFormat="false" customHeight="true" hidden="false" ht="15.75" outlineLevel="0" r="50">
      <c r="A50" s="39" t="n">
        <f aca="false">A49+1</f>
        <v>37</v>
      </c>
      <c r="B50" s="40" t="s">
        <v>107</v>
      </c>
      <c r="C50" s="41" t="n">
        <v>140</v>
      </c>
      <c r="D50" s="69"/>
    </row>
    <row collapsed="false" customFormat="false" customHeight="true" hidden="false" ht="15.75" outlineLevel="0" r="51">
      <c r="A51" s="39" t="n">
        <f aca="false">A50+1</f>
        <v>38</v>
      </c>
      <c r="B51" s="40" t="s">
        <v>116</v>
      </c>
      <c r="C51" s="41" t="n">
        <v>75</v>
      </c>
      <c r="D51" s="69"/>
    </row>
    <row collapsed="false" customFormat="false" customHeight="true" hidden="false" ht="15.75" outlineLevel="0" r="52">
      <c r="A52" s="39" t="n">
        <f aca="false">A51+1</f>
        <v>39</v>
      </c>
      <c r="B52" s="40" t="s">
        <v>145</v>
      </c>
      <c r="C52" s="41" t="n">
        <v>26.01</v>
      </c>
      <c r="D52" s="69"/>
    </row>
    <row collapsed="false" customFormat="false" customHeight="true" hidden="false" ht="15.75" outlineLevel="0" r="53">
      <c r="A53" s="39" t="n">
        <f aca="false">A52+1</f>
        <v>40</v>
      </c>
      <c r="B53" s="40" t="s">
        <v>105</v>
      </c>
      <c r="C53" s="41" t="n">
        <f aca="false">147.3*5</f>
        <v>736.5</v>
      </c>
      <c r="D53" s="69"/>
    </row>
    <row collapsed="false" customFormat="false" customHeight="true" hidden="false" ht="15.75" outlineLevel="0" r="54">
      <c r="A54" s="39" t="n">
        <f aca="false">A53+1</f>
        <v>41</v>
      </c>
      <c r="B54" s="40" t="s">
        <v>117</v>
      </c>
      <c r="C54" s="41" t="n">
        <v>1166.5</v>
      </c>
      <c r="D54" s="69"/>
    </row>
    <row collapsed="false" customFormat="false" customHeight="true" hidden="false" ht="15.75" outlineLevel="0" r="55">
      <c r="A55" s="39" t="n">
        <f aca="false">A54+1</f>
        <v>42</v>
      </c>
      <c r="B55" s="40" t="s">
        <v>107</v>
      </c>
      <c r="C55" s="41" t="n">
        <v>280</v>
      </c>
      <c r="D55" s="69"/>
    </row>
    <row collapsed="false" customFormat="false" customHeight="true" hidden="false" ht="15.75" outlineLevel="0" r="56">
      <c r="A56" s="39" t="n">
        <f aca="false">A55+1</f>
        <v>43</v>
      </c>
      <c r="B56" s="40" t="s">
        <v>136</v>
      </c>
      <c r="C56" s="41" t="n">
        <v>55</v>
      </c>
      <c r="D56" s="69"/>
    </row>
    <row collapsed="false" customFormat="false" customHeight="true" hidden="false" ht="15.75" outlineLevel="0" r="57">
      <c r="A57" s="39" t="n">
        <f aca="false">A56+1</f>
        <v>44</v>
      </c>
      <c r="B57" s="40" t="s">
        <v>136</v>
      </c>
      <c r="C57" s="41" t="n">
        <v>110</v>
      </c>
      <c r="D57" s="69"/>
    </row>
    <row collapsed="false" customFormat="false" customHeight="true" hidden="false" ht="15.75" outlineLevel="0" r="58">
      <c r="A58" s="39" t="n">
        <f aca="false">A57+1</f>
        <v>45</v>
      </c>
      <c r="B58" s="40" t="s">
        <v>107</v>
      </c>
      <c r="C58" s="41" t="n">
        <v>300</v>
      </c>
      <c r="D58" s="69"/>
    </row>
    <row collapsed="false" customFormat="false" customHeight="true" hidden="false" ht="15.75" outlineLevel="0" r="59">
      <c r="A59" s="39" t="n">
        <f aca="false">A58+1</f>
        <v>46</v>
      </c>
      <c r="B59" s="40" t="s">
        <v>146</v>
      </c>
      <c r="C59" s="41" t="n">
        <v>540</v>
      </c>
      <c r="D59" s="69"/>
    </row>
    <row collapsed="false" customFormat="false" customHeight="true" hidden="false" ht="15.75" outlineLevel="0" r="60">
      <c r="A60" s="39" t="n">
        <f aca="false">A59+1</f>
        <v>47</v>
      </c>
      <c r="B60" s="40" t="s">
        <v>136</v>
      </c>
      <c r="C60" s="41" t="n">
        <v>55</v>
      </c>
      <c r="D60" s="69"/>
    </row>
    <row collapsed="false" customFormat="false" customHeight="true" hidden="false" ht="15.75" outlineLevel="0" r="61">
      <c r="A61" s="39" t="n">
        <f aca="false">A60+1</f>
        <v>48</v>
      </c>
      <c r="B61" s="40" t="s">
        <v>116</v>
      </c>
      <c r="C61" s="41" t="n">
        <v>160</v>
      </c>
      <c r="D61" s="69"/>
    </row>
    <row collapsed="false" customFormat="false" customHeight="false" hidden="false" ht="14.9" outlineLevel="0" r="62">
      <c r="A62" s="44"/>
      <c r="B62" s="45" t="s">
        <v>109</v>
      </c>
      <c r="C62" s="47" t="n">
        <f aca="false">SUM(C14:C61)</f>
        <v>26347.23</v>
      </c>
      <c r="D62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6"/>
  <sheetViews>
    <sheetView colorId="64" defaultGridColor="true" rightToLeft="false" showFormulas="false" showGridLines="true" showOutlineSymbols="true" showRowColHeaders="true" showZeros="true" tabSelected="false" topLeftCell="B18" view="normal" windowProtection="false" workbookViewId="0" zoomScale="100" zoomScaleNormal="100" zoomScalePageLayoutView="100">
      <selection activeCell="E5" activeCellId="0" pane="topLeft" sqref="E5"/>
    </sheetView>
  </sheetViews>
  <cols>
    <col collapsed="false" hidden="false" max="1" min="1" style="1" width="13.5294117647059"/>
    <col collapsed="false" hidden="false" max="2" min="2" style="1" width="113.850980392157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3" min="9" style="1" width="30.1882352941176"/>
    <col collapsed="false" hidden="false" max="34" min="34" style="1" width="33.5019607843137"/>
    <col collapsed="false" hidden="false" max="257" min="35" style="1" width="24.1490196078431"/>
  </cols>
  <sheetData>
    <row collapsed="false" customFormat="false" customHeight="false" hidden="false" ht="17.6" outlineLevel="0" r="1">
      <c r="A1" s="31" t="s">
        <v>147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collapsed="false" customFormat="false" customHeight="true" hidden="false" ht="15.75" outlineLevel="0" r="3">
      <c r="A3" s="4"/>
      <c r="B3" s="34"/>
      <c r="C3" s="35"/>
      <c r="D3" s="35" t="s">
        <v>132</v>
      </c>
      <c r="E3" s="35" t="s">
        <v>112</v>
      </c>
      <c r="F3" s="35"/>
      <c r="G3" s="35"/>
      <c r="H3" s="35" t="s">
        <v>148</v>
      </c>
      <c r="I3" s="35" t="s">
        <v>148</v>
      </c>
      <c r="J3" s="35" t="s">
        <v>148</v>
      </c>
      <c r="K3" s="35" t="s">
        <v>149</v>
      </c>
      <c r="L3" s="35" t="s">
        <v>131</v>
      </c>
      <c r="M3" s="35"/>
      <c r="N3" s="35"/>
      <c r="O3" s="35" t="s">
        <v>150</v>
      </c>
      <c r="P3" s="35"/>
      <c r="Q3" s="35" t="s">
        <v>148</v>
      </c>
      <c r="R3" s="35" t="s">
        <v>149</v>
      </c>
      <c r="S3" s="35" t="s">
        <v>131</v>
      </c>
      <c r="T3" s="35"/>
      <c r="U3" s="35"/>
      <c r="V3" s="35"/>
      <c r="W3" s="35"/>
      <c r="X3" s="35"/>
      <c r="Y3" s="35" t="s">
        <v>111</v>
      </c>
      <c r="Z3" s="35" t="s">
        <v>112</v>
      </c>
      <c r="AA3" s="35" t="s">
        <v>151</v>
      </c>
      <c r="AB3" s="35" t="s">
        <v>151</v>
      </c>
      <c r="AC3" s="35" t="s">
        <v>151</v>
      </c>
      <c r="AD3" s="35" t="s">
        <v>151</v>
      </c>
      <c r="AE3" s="35" t="s">
        <v>151</v>
      </c>
      <c r="AF3" s="35" t="s">
        <v>111</v>
      </c>
      <c r="AG3" s="35" t="s">
        <v>112</v>
      </c>
      <c r="AH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65" t="s">
        <v>115</v>
      </c>
      <c r="AH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 t="n">
        <v>577.47</v>
      </c>
      <c r="D5" s="41"/>
      <c r="E5" s="41"/>
      <c r="F5" s="41" t="n">
        <v>1577.47</v>
      </c>
      <c r="G5" s="41" t="n">
        <v>3056.17</v>
      </c>
      <c r="H5" s="41"/>
      <c r="I5" s="41"/>
      <c r="J5" s="41"/>
      <c r="K5" s="41"/>
      <c r="L5" s="41"/>
      <c r="M5" s="41" t="n">
        <v>364.77</v>
      </c>
      <c r="N5" s="41" t="n">
        <v>547.45</v>
      </c>
      <c r="O5" s="41"/>
      <c r="P5" s="41" t="n">
        <v>764.77</v>
      </c>
      <c r="Q5" s="41"/>
      <c r="R5" s="41"/>
      <c r="S5" s="41"/>
      <c r="T5" s="41" t="n">
        <v>288.79</v>
      </c>
      <c r="U5" s="41" t="n">
        <v>268.98</v>
      </c>
      <c r="V5" s="41" t="n">
        <f aca="false">+100+400+100+50+3+0.5+0.5+0.4+0.125</f>
        <v>654.525</v>
      </c>
      <c r="W5" s="41" t="n">
        <f aca="false">367.89</f>
        <v>367.89</v>
      </c>
      <c r="X5" s="41" t="n">
        <v>467.89</v>
      </c>
      <c r="Y5" s="41"/>
      <c r="Z5" s="41"/>
      <c r="AA5" s="41"/>
      <c r="AB5" s="41"/>
      <c r="AC5" s="41"/>
      <c r="AD5" s="41"/>
      <c r="AE5" s="41"/>
      <c r="AF5" s="41"/>
      <c r="AG5" s="41"/>
      <c r="AH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 t="n">
        <f aca="false">400+1887.47</f>
        <v>2287.47</v>
      </c>
      <c r="D6" s="41"/>
      <c r="E6" s="41"/>
      <c r="F6" s="41" t="n">
        <f aca="false">200+3056.17</f>
        <v>3256.17</v>
      </c>
      <c r="G6" s="41" t="n">
        <f aca="false">+3000+1000+386.78+275.84</f>
        <v>4662.62</v>
      </c>
      <c r="H6" s="41"/>
      <c r="I6" s="41"/>
      <c r="J6" s="41"/>
      <c r="K6" s="41"/>
      <c r="L6" s="43"/>
      <c r="M6" s="41" t="n">
        <f aca="false">100+1747.45</f>
        <v>1847.45</v>
      </c>
      <c r="N6" s="41" t="n">
        <f aca="false">+2364.77</f>
        <v>2364.77</v>
      </c>
      <c r="O6" s="41"/>
      <c r="P6" s="41" t="n">
        <f aca="false">870+1288.79+300</f>
        <v>2458.79</v>
      </c>
      <c r="Q6" s="41"/>
      <c r="R6" s="41"/>
      <c r="S6" s="41"/>
      <c r="T6" s="41" t="n">
        <f aca="false">+1100+768.98</f>
        <v>1868.98</v>
      </c>
      <c r="U6" s="41" t="n">
        <f aca="false">200+1765.48</f>
        <v>1965.48</v>
      </c>
      <c r="V6" s="41" t="n">
        <f aca="false">+160+1772+300</f>
        <v>2232</v>
      </c>
      <c r="W6" s="41" t="n">
        <v>1467.89</v>
      </c>
      <c r="X6" s="41" t="n">
        <v>1678</v>
      </c>
      <c r="Y6" s="41"/>
      <c r="Z6" s="41"/>
      <c r="AA6" s="41"/>
      <c r="AB6" s="41"/>
      <c r="AC6" s="41"/>
      <c r="AD6" s="41"/>
      <c r="AE6" s="41"/>
      <c r="AF6" s="41"/>
      <c r="AG6" s="41"/>
      <c r="AH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1710</v>
      </c>
      <c r="D7" s="46" t="n">
        <f aca="false">D6-D5</f>
        <v>0</v>
      </c>
      <c r="E7" s="46" t="n">
        <f aca="false">E6-E5</f>
        <v>0</v>
      </c>
      <c r="F7" s="46" t="n">
        <f aca="false">F6-F5</f>
        <v>1678.7</v>
      </c>
      <c r="G7" s="46" t="n">
        <f aca="false">G6-G5</f>
        <v>1606.45</v>
      </c>
      <c r="H7" s="46" t="n">
        <f aca="false">H6-H5</f>
        <v>0</v>
      </c>
      <c r="I7" s="46" t="n">
        <f aca="false">I6-I5</f>
        <v>0</v>
      </c>
      <c r="J7" s="46" t="n">
        <f aca="false">J6-J5</f>
        <v>0</v>
      </c>
      <c r="K7" s="46" t="n">
        <f aca="false">K6-K5</f>
        <v>0</v>
      </c>
      <c r="L7" s="46" t="n">
        <f aca="false">L6-L5</f>
        <v>0</v>
      </c>
      <c r="M7" s="46" t="n">
        <f aca="false">M6-M5</f>
        <v>1482.68</v>
      </c>
      <c r="N7" s="46" t="n">
        <f aca="false">N6-N5</f>
        <v>1817.32</v>
      </c>
      <c r="O7" s="46" t="n">
        <f aca="false">O6-O5</f>
        <v>0</v>
      </c>
      <c r="P7" s="46" t="n">
        <f aca="false">P6-P5</f>
        <v>1694.02</v>
      </c>
      <c r="Q7" s="46" t="n">
        <f aca="false">Q6-Q5</f>
        <v>0</v>
      </c>
      <c r="R7" s="46" t="n">
        <f aca="false">R6-R5</f>
        <v>0</v>
      </c>
      <c r="S7" s="46" t="n">
        <f aca="false">S6-S5</f>
        <v>0</v>
      </c>
      <c r="T7" s="46" t="n">
        <f aca="false">T6-T5</f>
        <v>1580.19</v>
      </c>
      <c r="U7" s="46" t="n">
        <f aca="false">U6-U5</f>
        <v>1696.5</v>
      </c>
      <c r="V7" s="46" t="n">
        <f aca="false">V6-V5</f>
        <v>1577.475</v>
      </c>
      <c r="W7" s="46" t="n">
        <f aca="false">W6-W5</f>
        <v>1100</v>
      </c>
      <c r="X7" s="46" t="n">
        <f aca="false">X6-X5</f>
        <v>1210.11</v>
      </c>
      <c r="Y7" s="46" t="n">
        <f aca="false">Y6-Y5</f>
        <v>0</v>
      </c>
      <c r="Z7" s="46" t="n">
        <f aca="false">Z6-Z5</f>
        <v>0</v>
      </c>
      <c r="AA7" s="46" t="n">
        <f aca="false">AA6-AA5</f>
        <v>0</v>
      </c>
      <c r="AB7" s="46" t="n">
        <f aca="false">AB6-AB5</f>
        <v>0</v>
      </c>
      <c r="AC7" s="46" t="n">
        <f aca="false">AC6-AC5</f>
        <v>0</v>
      </c>
      <c r="AD7" s="46" t="n">
        <f aca="false">AD6-AD5</f>
        <v>0</v>
      </c>
      <c r="AE7" s="46" t="n">
        <f aca="false">AE6-AE5</f>
        <v>0</v>
      </c>
      <c r="AF7" s="46" t="n">
        <f aca="false">AF6-AF5</f>
        <v>0</v>
      </c>
      <c r="AG7" s="46" t="n">
        <f aca="false">AG6-AG5</f>
        <v>0</v>
      </c>
      <c r="AH7" s="46" t="n">
        <f aca="false">SUM(C7:AG7)</f>
        <v>17153.445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AH7-C36</f>
        <v>2169.875</v>
      </c>
    </row>
    <row collapsed="false" customFormat="false" customHeight="true" hidden="false" ht="15.75" outlineLevel="0" r="14">
      <c r="A14" s="39" t="n">
        <v>1</v>
      </c>
      <c r="B14" s="40" t="s">
        <v>145</v>
      </c>
      <c r="C14" s="41" t="n">
        <v>65.02</v>
      </c>
      <c r="D14" s="69"/>
    </row>
    <row collapsed="false" customFormat="false" customHeight="true" hidden="false" ht="15.75" outlineLevel="0" r="15">
      <c r="A15" s="39" t="n">
        <v>2</v>
      </c>
      <c r="B15" s="40" t="s">
        <v>152</v>
      </c>
      <c r="C15" s="41" t="n">
        <v>170</v>
      </c>
      <c r="D15" s="69"/>
    </row>
    <row collapsed="false" customFormat="false" customHeight="true" hidden="false" ht="15.75" outlineLevel="0" r="16">
      <c r="A16" s="39" t="n">
        <v>3</v>
      </c>
      <c r="B16" s="40" t="s">
        <v>107</v>
      </c>
      <c r="C16" s="41" t="n">
        <v>160</v>
      </c>
      <c r="D16" s="69"/>
    </row>
    <row collapsed="false" customFormat="false" customHeight="true" hidden="false" ht="15.75" outlineLevel="0" r="17">
      <c r="A17" s="39" t="n">
        <v>4</v>
      </c>
      <c r="B17" s="40" t="s">
        <v>136</v>
      </c>
      <c r="C17" s="41" t="n">
        <v>110</v>
      </c>
      <c r="D17" s="69"/>
    </row>
    <row collapsed="false" customFormat="false" customHeight="true" hidden="false" ht="15.75" outlineLevel="0" r="18">
      <c r="A18" s="39" t="n">
        <v>5</v>
      </c>
      <c r="B18" s="40" t="s">
        <v>107</v>
      </c>
      <c r="C18" s="41" t="n">
        <v>160</v>
      </c>
      <c r="D18" s="69"/>
    </row>
    <row collapsed="false" customFormat="false" customHeight="true" hidden="false" ht="15.75" outlineLevel="0" r="19">
      <c r="A19" s="39" t="n">
        <v>6</v>
      </c>
      <c r="B19" s="40" t="s">
        <v>117</v>
      </c>
      <c r="C19" s="41" t="n">
        <v>595</v>
      </c>
      <c r="D19" s="69"/>
    </row>
    <row collapsed="false" customFormat="false" customHeight="true" hidden="false" ht="15.75" outlineLevel="0" r="20">
      <c r="A20" s="39" t="n">
        <v>7</v>
      </c>
      <c r="B20" s="40" t="s">
        <v>107</v>
      </c>
      <c r="C20" s="41" t="n">
        <v>160</v>
      </c>
      <c r="D20" s="69"/>
    </row>
    <row collapsed="false" customFormat="false" customHeight="true" hidden="false" ht="15.75" outlineLevel="0" r="21">
      <c r="A21" s="39" t="n">
        <v>8</v>
      </c>
      <c r="B21" s="40" t="s">
        <v>105</v>
      </c>
      <c r="C21" s="41" t="n">
        <f aca="false">147.3*5</f>
        <v>736.5</v>
      </c>
      <c r="D21" s="69"/>
    </row>
    <row collapsed="false" customFormat="false" customHeight="true" hidden="false" ht="15.75" outlineLevel="0" r="22">
      <c r="A22" s="39" t="n">
        <v>9</v>
      </c>
      <c r="B22" s="40" t="s">
        <v>107</v>
      </c>
      <c r="C22" s="41" t="n">
        <v>140</v>
      </c>
      <c r="D22" s="69"/>
    </row>
    <row collapsed="false" customFormat="false" customHeight="true" hidden="false" ht="15.75" outlineLevel="0" r="23">
      <c r="A23" s="39" t="n">
        <v>10</v>
      </c>
      <c r="B23" s="40" t="s">
        <v>136</v>
      </c>
      <c r="C23" s="41" t="n">
        <v>110</v>
      </c>
      <c r="D23" s="69"/>
    </row>
    <row collapsed="false" customFormat="false" customHeight="true" hidden="false" ht="15.75" outlineLevel="0" r="24">
      <c r="A24" s="39" t="n">
        <v>11</v>
      </c>
      <c r="B24" s="40" t="s">
        <v>128</v>
      </c>
      <c r="C24" s="41" t="n">
        <v>360</v>
      </c>
      <c r="D24" s="69"/>
    </row>
    <row collapsed="false" customFormat="false" customHeight="true" hidden="false" ht="15.75" outlineLevel="0" r="25">
      <c r="A25" s="39" t="n">
        <v>12</v>
      </c>
      <c r="B25" s="40" t="s">
        <v>105</v>
      </c>
      <c r="C25" s="41" t="n">
        <v>327.3</v>
      </c>
      <c r="D25" s="69"/>
    </row>
    <row collapsed="false" customFormat="false" customHeight="true" hidden="false" ht="15.75" outlineLevel="0" r="26">
      <c r="A26" s="39" t="n">
        <v>13</v>
      </c>
      <c r="B26" s="40" t="s">
        <v>104</v>
      </c>
      <c r="C26" s="41" t="n">
        <v>7610.24</v>
      </c>
      <c r="D26" s="69"/>
    </row>
    <row collapsed="false" customFormat="false" customHeight="true" hidden="false" ht="15.75" outlineLevel="0" r="27">
      <c r="A27" s="39" t="n">
        <v>14</v>
      </c>
      <c r="B27" s="40" t="s">
        <v>143</v>
      </c>
      <c r="C27" s="41" t="n">
        <v>234</v>
      </c>
      <c r="D27" s="69"/>
    </row>
    <row collapsed="false" customFormat="false" customHeight="true" hidden="false" ht="15.75" outlineLevel="0" r="28">
      <c r="A28" s="39" t="n">
        <v>15</v>
      </c>
      <c r="B28" s="40" t="s">
        <v>107</v>
      </c>
      <c r="C28" s="41" t="n">
        <v>160</v>
      </c>
      <c r="D28" s="69"/>
    </row>
    <row collapsed="false" customFormat="false" customHeight="true" hidden="false" ht="15.75" outlineLevel="0" r="29">
      <c r="A29" s="39" t="n">
        <v>16</v>
      </c>
      <c r="B29" s="40" t="s">
        <v>105</v>
      </c>
      <c r="C29" s="41" t="n">
        <f aca="false">180*4</f>
        <v>720</v>
      </c>
      <c r="D29" s="69"/>
    </row>
    <row collapsed="false" customFormat="false" customHeight="true" hidden="false" ht="15.75" outlineLevel="0" r="30">
      <c r="A30" s="39" t="n">
        <v>17</v>
      </c>
      <c r="B30" s="40" t="s">
        <v>107</v>
      </c>
      <c r="C30" s="41" t="n">
        <v>160</v>
      </c>
      <c r="D30" s="69"/>
    </row>
    <row collapsed="false" customFormat="false" customHeight="true" hidden="false" ht="15.75" outlineLevel="0" r="31">
      <c r="A31" s="39" t="n">
        <v>18</v>
      </c>
      <c r="B31" s="40" t="s">
        <v>136</v>
      </c>
      <c r="C31" s="41" t="n">
        <v>130</v>
      </c>
      <c r="D31" s="69"/>
    </row>
    <row collapsed="false" customFormat="false" customHeight="true" hidden="false" ht="15.75" outlineLevel="0" r="32">
      <c r="A32" s="39" t="n">
        <v>19</v>
      </c>
      <c r="B32" s="40" t="s">
        <v>145</v>
      </c>
      <c r="C32" s="41" t="n">
        <v>43.51</v>
      </c>
      <c r="D32" s="69"/>
    </row>
    <row collapsed="false" customFormat="false" customHeight="true" hidden="false" ht="15.75" outlineLevel="0" r="33">
      <c r="A33" s="39" t="n">
        <v>20</v>
      </c>
      <c r="B33" s="40" t="s">
        <v>107</v>
      </c>
      <c r="C33" s="41" t="n">
        <v>160</v>
      </c>
      <c r="D33" s="69"/>
    </row>
    <row collapsed="false" customFormat="false" customHeight="true" hidden="false" ht="15.75" outlineLevel="0" r="34">
      <c r="A34" s="39" t="n">
        <v>21</v>
      </c>
      <c r="B34" s="40" t="s">
        <v>105</v>
      </c>
      <c r="C34" s="41" t="n">
        <v>900</v>
      </c>
      <c r="D34" s="69"/>
    </row>
    <row collapsed="false" customFormat="false" customHeight="true" hidden="false" ht="15.75" outlineLevel="0" r="35">
      <c r="A35" s="39" t="n">
        <v>22</v>
      </c>
      <c r="B35" s="40" t="s">
        <v>135</v>
      </c>
      <c r="C35" s="41" t="n">
        <v>1772</v>
      </c>
      <c r="D35" s="69"/>
    </row>
    <row collapsed="false" customFormat="false" customHeight="false" hidden="false" ht="14.9" outlineLevel="0" r="36">
      <c r="A36" s="44"/>
      <c r="B36" s="45" t="s">
        <v>109</v>
      </c>
      <c r="C36" s="47" t="n">
        <f aca="false">SUM(C14:C35)</f>
        <v>14983.57</v>
      </c>
      <c r="D36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1"/>
  <sheetViews>
    <sheetView colorId="64" defaultGridColor="true" rightToLeft="false" showFormulas="false" showGridLines="true" showOutlineSymbols="true" showRowColHeaders="true" showZeros="true" tabSelected="false" topLeftCell="A17" view="normal" windowProtection="false" workbookViewId="0" zoomScale="100" zoomScaleNormal="100" zoomScalePageLayoutView="100">
      <selection activeCell="B41" activeCellId="0" pane="topLeft" sqref="B41"/>
    </sheetView>
  </sheetViews>
  <cols>
    <col collapsed="false" hidden="false" max="1" min="1" style="1" width="13.5294117647059"/>
    <col collapsed="false" hidden="false" max="2" min="2" style="1" width="113.850980392157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2" min="9" style="1" width="30.1882352941176"/>
    <col collapsed="false" hidden="false" max="33" min="33" style="1" width="33.5019607843137"/>
    <col collapsed="false" hidden="false" max="257" min="34" style="1" width="24.1490196078431"/>
  </cols>
  <sheetData>
    <row collapsed="false" customFormat="false" customHeight="false" hidden="false" ht="17.6" outlineLevel="0" r="1">
      <c r="A1" s="31" t="s">
        <v>153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collapsed="false" customFormat="false" customHeight="true" hidden="false" ht="15.75" outlineLevel="0" r="3">
      <c r="A3" s="4"/>
      <c r="B3" s="34"/>
      <c r="C3" s="35"/>
      <c r="D3" s="35"/>
      <c r="E3" s="35"/>
      <c r="F3" s="35"/>
      <c r="G3" s="35"/>
      <c r="H3" s="35" t="s">
        <v>111</v>
      </c>
      <c r="I3" s="35" t="s">
        <v>112</v>
      </c>
      <c r="J3" s="35" t="s">
        <v>154</v>
      </c>
      <c r="K3" s="35" t="s">
        <v>154</v>
      </c>
      <c r="L3" s="35" t="s">
        <v>154</v>
      </c>
      <c r="M3" s="35" t="s">
        <v>154</v>
      </c>
      <c r="N3" s="35" t="s">
        <v>154</v>
      </c>
      <c r="O3" s="35" t="s">
        <v>154</v>
      </c>
      <c r="P3" s="35" t="s">
        <v>154</v>
      </c>
      <c r="Q3" s="35" t="s">
        <v>154</v>
      </c>
      <c r="R3" s="35" t="s">
        <v>154</v>
      </c>
      <c r="S3" s="35" t="s">
        <v>154</v>
      </c>
      <c r="T3" s="35" t="s">
        <v>154</v>
      </c>
      <c r="U3" s="35" t="s">
        <v>154</v>
      </c>
      <c r="V3" s="35" t="s">
        <v>154</v>
      </c>
      <c r="W3" s="35" t="s">
        <v>154</v>
      </c>
      <c r="X3" s="35"/>
      <c r="Y3" s="35"/>
      <c r="Z3" s="35"/>
      <c r="AA3" s="35"/>
      <c r="AB3" s="35" t="s">
        <v>111</v>
      </c>
      <c r="AC3" s="35" t="s">
        <v>112</v>
      </c>
      <c r="AD3" s="35"/>
      <c r="AE3" s="35"/>
      <c r="AF3" s="35"/>
      <c r="AG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 t="n">
        <v>389.79</v>
      </c>
      <c r="D5" s="41" t="n">
        <v>246.6</v>
      </c>
      <c r="E5" s="41" t="n">
        <v>338.75</v>
      </c>
      <c r="F5" s="41" t="n">
        <v>278.99</v>
      </c>
      <c r="G5" s="41" t="n">
        <v>589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 t="n">
        <v>327.88</v>
      </c>
      <c r="Y5" s="41" t="n">
        <v>145.9</v>
      </c>
      <c r="Z5" s="41" t="n">
        <v>247.89</v>
      </c>
      <c r="AA5" s="41" t="n">
        <v>230.76</v>
      </c>
      <c r="AB5" s="41"/>
      <c r="AC5" s="41"/>
      <c r="AD5" s="41" t="n">
        <v>189.3</v>
      </c>
      <c r="AE5" s="41" t="n">
        <v>345.17</v>
      </c>
      <c r="AF5" s="41" t="n">
        <v>287.69</v>
      </c>
      <c r="AG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 t="n">
        <v>1746.6</v>
      </c>
      <c r="D6" s="41" t="n">
        <v>1338.75</v>
      </c>
      <c r="E6" s="41" t="n">
        <v>1478.99</v>
      </c>
      <c r="F6" s="41" t="n">
        <v>1589</v>
      </c>
      <c r="G6" s="41" t="n">
        <v>1547.89</v>
      </c>
      <c r="H6" s="41"/>
      <c r="I6" s="41"/>
      <c r="J6" s="41"/>
      <c r="K6" s="41"/>
      <c r="L6" s="43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 t="n">
        <v>1445.9</v>
      </c>
      <c r="Y6" s="41" t="n">
        <v>1347.89</v>
      </c>
      <c r="Z6" s="41" t="n">
        <v>1200.76</v>
      </c>
      <c r="AA6" s="41" t="n">
        <v>1434.8</v>
      </c>
      <c r="AB6" s="41"/>
      <c r="AC6" s="41"/>
      <c r="AD6" s="41" t="n">
        <v>845.67</v>
      </c>
      <c r="AE6" s="41" t="n">
        <v>1287.69</v>
      </c>
      <c r="AF6" s="41" t="n">
        <v>1458.19</v>
      </c>
      <c r="AG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1356.81</v>
      </c>
      <c r="D7" s="46" t="n">
        <f aca="false">D6-D5</f>
        <v>1092.15</v>
      </c>
      <c r="E7" s="46" t="n">
        <f aca="false">E6-E5</f>
        <v>1140.24</v>
      </c>
      <c r="F7" s="46" t="n">
        <f aca="false">F6-F5</f>
        <v>1310.01</v>
      </c>
      <c r="G7" s="46" t="n">
        <f aca="false">G6-G5</f>
        <v>958.89</v>
      </c>
      <c r="H7" s="46" t="n">
        <f aca="false">H6-H5</f>
        <v>0</v>
      </c>
      <c r="I7" s="46" t="n">
        <f aca="false">I6-I5</f>
        <v>0</v>
      </c>
      <c r="J7" s="46" t="n">
        <f aca="false">J6-J5</f>
        <v>0</v>
      </c>
      <c r="K7" s="46" t="n">
        <f aca="false">K6-K5</f>
        <v>0</v>
      </c>
      <c r="L7" s="46" t="n">
        <f aca="false">L6-L5</f>
        <v>0</v>
      </c>
      <c r="M7" s="46" t="n">
        <f aca="false">M6-M5</f>
        <v>0</v>
      </c>
      <c r="N7" s="46" t="n">
        <f aca="false">N6-N5</f>
        <v>0</v>
      </c>
      <c r="O7" s="46" t="n">
        <f aca="false">O6-O5</f>
        <v>0</v>
      </c>
      <c r="P7" s="46" t="n">
        <f aca="false">P6-P5</f>
        <v>0</v>
      </c>
      <c r="Q7" s="46" t="n">
        <f aca="false">Q6-Q5</f>
        <v>0</v>
      </c>
      <c r="R7" s="46" t="n">
        <f aca="false">R6-R5</f>
        <v>0</v>
      </c>
      <c r="S7" s="46" t="n">
        <f aca="false">S6-S5</f>
        <v>0</v>
      </c>
      <c r="T7" s="46" t="n">
        <f aca="false">T6-T5</f>
        <v>0</v>
      </c>
      <c r="U7" s="46" t="n">
        <f aca="false">U6-U5</f>
        <v>0</v>
      </c>
      <c r="V7" s="46" t="n">
        <f aca="false">V6-V5</f>
        <v>0</v>
      </c>
      <c r="W7" s="46" t="n">
        <f aca="false">W6-W5</f>
        <v>0</v>
      </c>
      <c r="X7" s="46" t="n">
        <f aca="false">X6-X5</f>
        <v>1118.02</v>
      </c>
      <c r="Y7" s="46" t="n">
        <f aca="false">Y6-Y5</f>
        <v>1201.99</v>
      </c>
      <c r="Z7" s="46" t="n">
        <f aca="false">Z6-Z5</f>
        <v>952.87</v>
      </c>
      <c r="AA7" s="46" t="n">
        <f aca="false">AA6-AA5</f>
        <v>1204.04</v>
      </c>
      <c r="AB7" s="46" t="n">
        <f aca="false">AB6-AB5</f>
        <v>0</v>
      </c>
      <c r="AC7" s="46" t="n">
        <f aca="false">AC6-AC5</f>
        <v>0</v>
      </c>
      <c r="AD7" s="46" t="n">
        <f aca="false">AD6-AD5</f>
        <v>656.37</v>
      </c>
      <c r="AE7" s="46" t="n">
        <f aca="false">AE6-AE5</f>
        <v>942.52</v>
      </c>
      <c r="AF7" s="46" t="n">
        <f aca="false">AF6-AF5</f>
        <v>1170.5</v>
      </c>
      <c r="AG7" s="46" t="n">
        <f aca="false">SUM(C7:AF7)</f>
        <v>13104.41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AG7-C41</f>
        <v>2224.91</v>
      </c>
    </row>
    <row collapsed="false" customFormat="false" customHeight="true" hidden="false" ht="15.75" outlineLevel="0" r="14">
      <c r="A14" s="39" t="n">
        <v>1</v>
      </c>
      <c r="B14" s="40" t="s">
        <v>105</v>
      </c>
      <c r="C14" s="41" t="n">
        <v>900</v>
      </c>
      <c r="D14" s="69"/>
    </row>
    <row collapsed="false" customFormat="false" customHeight="true" hidden="false" ht="15.75" outlineLevel="0" r="15">
      <c r="A15" s="39" t="n">
        <f aca="false">A14+1</f>
        <v>2</v>
      </c>
      <c r="B15" s="40" t="s">
        <v>155</v>
      </c>
      <c r="C15" s="41" t="n">
        <v>221</v>
      </c>
      <c r="D15" s="69"/>
    </row>
    <row collapsed="false" customFormat="false" customHeight="true" hidden="false" ht="15.75" outlineLevel="0" r="16">
      <c r="A16" s="39" t="n">
        <f aca="false">A15+1</f>
        <v>3</v>
      </c>
      <c r="B16" s="40" t="s">
        <v>156</v>
      </c>
      <c r="C16" s="41" t="n">
        <v>100</v>
      </c>
      <c r="D16" s="69"/>
    </row>
    <row collapsed="false" customFormat="false" customHeight="true" hidden="false" ht="15.75" outlineLevel="0" r="17">
      <c r="A17" s="39" t="n">
        <f aca="false">A16+1</f>
        <v>4</v>
      </c>
      <c r="B17" s="40" t="s">
        <v>156</v>
      </c>
      <c r="C17" s="41" t="n">
        <v>180</v>
      </c>
      <c r="D17" s="69"/>
    </row>
    <row collapsed="false" customFormat="false" customHeight="true" hidden="false" ht="15.75" outlineLevel="0" r="18">
      <c r="A18" s="39" t="n">
        <f aca="false">A17+1</f>
        <v>5</v>
      </c>
      <c r="B18" s="40" t="s">
        <v>107</v>
      </c>
      <c r="C18" s="41" t="n">
        <v>160</v>
      </c>
      <c r="D18" s="69"/>
    </row>
    <row collapsed="false" customFormat="false" customHeight="true" hidden="false" ht="15.75" outlineLevel="0" r="19">
      <c r="A19" s="39" t="n">
        <f aca="false">A18+1</f>
        <v>6</v>
      </c>
      <c r="B19" s="40" t="s">
        <v>107</v>
      </c>
      <c r="C19" s="41" t="n">
        <v>160</v>
      </c>
      <c r="D19" s="69"/>
    </row>
    <row collapsed="false" customFormat="false" customHeight="true" hidden="false" ht="15.75" outlineLevel="0" r="20">
      <c r="A20" s="39" t="n">
        <f aca="false">A19+1</f>
        <v>7</v>
      </c>
      <c r="B20" s="40" t="s">
        <v>107</v>
      </c>
      <c r="C20" s="41" t="n">
        <v>160</v>
      </c>
      <c r="D20" s="69"/>
    </row>
    <row collapsed="false" customFormat="false" customHeight="true" hidden="false" ht="15.75" outlineLevel="0" r="21">
      <c r="A21" s="39" t="n">
        <f aca="false">A20+1</f>
        <v>8</v>
      </c>
      <c r="B21" s="40" t="s">
        <v>157</v>
      </c>
      <c r="C21" s="41" t="n">
        <v>26.75</v>
      </c>
      <c r="D21" s="69"/>
    </row>
    <row collapsed="false" customFormat="false" customHeight="true" hidden="false" ht="15.75" outlineLevel="0" r="22">
      <c r="A22" s="39" t="n">
        <f aca="false">A21+1</f>
        <v>9</v>
      </c>
      <c r="B22" s="40" t="s">
        <v>128</v>
      </c>
      <c r="C22" s="41" t="n">
        <v>600</v>
      </c>
      <c r="D22" s="69"/>
    </row>
    <row collapsed="false" customFormat="false" customHeight="true" hidden="false" ht="15.75" outlineLevel="0" r="23">
      <c r="A23" s="39" t="n">
        <f aca="false">A22+1</f>
        <v>10</v>
      </c>
      <c r="B23" s="40" t="s">
        <v>107</v>
      </c>
      <c r="C23" s="41" t="n">
        <v>160</v>
      </c>
      <c r="D23" s="69"/>
    </row>
    <row collapsed="false" customFormat="false" customHeight="true" hidden="false" ht="15.75" outlineLevel="0" r="24">
      <c r="A24" s="39" t="n">
        <f aca="false">A23+1</f>
        <v>11</v>
      </c>
      <c r="B24" s="40" t="s">
        <v>117</v>
      </c>
      <c r="C24" s="41" t="n">
        <v>1642.75</v>
      </c>
      <c r="D24" s="69"/>
    </row>
    <row collapsed="false" customFormat="false" customHeight="true" hidden="false" ht="15.75" outlineLevel="0" r="25">
      <c r="A25" s="39" t="n">
        <f aca="false">A24+1</f>
        <v>12</v>
      </c>
      <c r="B25" s="40" t="s">
        <v>136</v>
      </c>
      <c r="C25" s="41" t="n">
        <v>110</v>
      </c>
      <c r="D25" s="69"/>
    </row>
    <row collapsed="false" customFormat="false" customHeight="true" hidden="false" ht="15.75" outlineLevel="0" r="26">
      <c r="A26" s="39" t="n">
        <f aca="false">A25+1</f>
        <v>13</v>
      </c>
      <c r="B26" s="40" t="s">
        <v>142</v>
      </c>
      <c r="C26" s="41" t="n">
        <v>400</v>
      </c>
      <c r="D26" s="69"/>
    </row>
    <row collapsed="false" customFormat="false" customHeight="true" hidden="false" ht="15.75" outlineLevel="0" r="27">
      <c r="A27" s="39" t="n">
        <f aca="false">A26+1</f>
        <v>14</v>
      </c>
      <c r="B27" s="40" t="s">
        <v>116</v>
      </c>
      <c r="C27" s="41" t="n">
        <v>195</v>
      </c>
      <c r="D27" s="69"/>
    </row>
    <row collapsed="false" customFormat="false" customHeight="true" hidden="false" ht="15.75" outlineLevel="0" r="28">
      <c r="A28" s="39" t="n">
        <f aca="false">A27+1</f>
        <v>15</v>
      </c>
      <c r="B28" s="40" t="s">
        <v>136</v>
      </c>
      <c r="C28" s="41" t="n">
        <v>110</v>
      </c>
      <c r="D28" s="69"/>
    </row>
    <row collapsed="false" customFormat="false" customHeight="true" hidden="false" ht="15.75" outlineLevel="0" r="29">
      <c r="A29" s="39" t="n">
        <f aca="false">A28+1</f>
        <v>16</v>
      </c>
      <c r="B29" s="40" t="s">
        <v>107</v>
      </c>
      <c r="C29" s="41" t="n">
        <v>160</v>
      </c>
      <c r="D29" s="69"/>
    </row>
    <row collapsed="false" customFormat="false" customHeight="true" hidden="false" ht="15.75" outlineLevel="0" r="30">
      <c r="A30" s="39" t="n">
        <f aca="false">A29+1</f>
        <v>17</v>
      </c>
      <c r="B30" s="40" t="s">
        <v>136</v>
      </c>
      <c r="C30" s="41" t="n">
        <v>110</v>
      </c>
      <c r="D30" s="69"/>
    </row>
    <row collapsed="false" customFormat="false" customHeight="true" hidden="false" ht="15.75" outlineLevel="0" r="31">
      <c r="A31" s="39" t="n">
        <f aca="false">A30+1</f>
        <v>18</v>
      </c>
      <c r="B31" s="40" t="s">
        <v>135</v>
      </c>
      <c r="C31" s="41" t="n">
        <v>1329</v>
      </c>
      <c r="D31" s="69"/>
    </row>
    <row collapsed="false" customFormat="false" customHeight="true" hidden="false" ht="15.75" outlineLevel="0" r="32">
      <c r="A32" s="39" t="n">
        <f aca="false">A31+1</f>
        <v>19</v>
      </c>
      <c r="B32" s="40" t="s">
        <v>158</v>
      </c>
      <c r="C32" s="41" t="n">
        <v>285</v>
      </c>
      <c r="D32" s="69"/>
    </row>
    <row collapsed="false" customFormat="false" customHeight="true" hidden="false" ht="15.75" outlineLevel="0" r="33">
      <c r="A33" s="39" t="n">
        <f aca="false">A32+1</f>
        <v>20</v>
      </c>
      <c r="B33" s="40" t="s">
        <v>158</v>
      </c>
      <c r="C33" s="41" t="n">
        <v>285</v>
      </c>
      <c r="D33" s="69"/>
    </row>
    <row collapsed="false" customFormat="false" customHeight="true" hidden="false" ht="15.75" outlineLevel="0" r="34">
      <c r="A34" s="39" t="n">
        <f aca="false">A33+1</f>
        <v>21</v>
      </c>
      <c r="B34" s="40" t="s">
        <v>107</v>
      </c>
      <c r="C34" s="41" t="n">
        <v>120</v>
      </c>
      <c r="D34" s="69"/>
    </row>
    <row collapsed="false" customFormat="false" customHeight="true" hidden="false" ht="15.75" outlineLevel="0" r="35">
      <c r="A35" s="39" t="n">
        <f aca="false">A34+1</f>
        <v>22</v>
      </c>
      <c r="B35" s="40" t="s">
        <v>144</v>
      </c>
      <c r="C35" s="41" t="n">
        <v>400</v>
      </c>
      <c r="D35" s="69"/>
    </row>
    <row collapsed="false" customFormat="false" customHeight="true" hidden="false" ht="15.75" outlineLevel="0" r="36">
      <c r="A36" s="39" t="n">
        <f aca="false">A35+1</f>
        <v>23</v>
      </c>
      <c r="B36" s="40" t="s">
        <v>107</v>
      </c>
      <c r="C36" s="41" t="n">
        <v>120</v>
      </c>
      <c r="D36" s="69"/>
    </row>
    <row collapsed="false" customFormat="false" customHeight="true" hidden="false" ht="15.75" outlineLevel="0" r="37">
      <c r="A37" s="39" t="n">
        <f aca="false">A36+1</f>
        <v>24</v>
      </c>
      <c r="B37" s="40" t="s">
        <v>159</v>
      </c>
      <c r="C37" s="41" t="n">
        <v>350</v>
      </c>
      <c r="D37" s="69"/>
    </row>
    <row collapsed="false" customFormat="false" customHeight="true" hidden="false" ht="15.75" outlineLevel="0" r="38">
      <c r="A38" s="39" t="n">
        <f aca="false">A37+1</f>
        <v>25</v>
      </c>
      <c r="B38" s="40" t="s">
        <v>135</v>
      </c>
      <c r="C38" s="41" t="n">
        <v>1765</v>
      </c>
      <c r="D38" s="69"/>
    </row>
    <row collapsed="false" customFormat="false" customHeight="true" hidden="false" ht="15.75" outlineLevel="0" r="39">
      <c r="A39" s="39" t="n">
        <f aca="false">A38+1</f>
        <v>26</v>
      </c>
      <c r="B39" s="40" t="s">
        <v>128</v>
      </c>
      <c r="C39" s="41" t="n">
        <v>480</v>
      </c>
      <c r="D39" s="69"/>
    </row>
    <row collapsed="false" customFormat="false" customHeight="true" hidden="false" ht="15.75" outlineLevel="0" r="40">
      <c r="A40" s="39" t="n">
        <f aca="false">A39+1</f>
        <v>27</v>
      </c>
      <c r="B40" s="40" t="s">
        <v>159</v>
      </c>
      <c r="C40" s="41" t="n">
        <v>350</v>
      </c>
      <c r="D40" s="69"/>
    </row>
    <row collapsed="false" customFormat="false" customHeight="false" hidden="false" ht="14.9" outlineLevel="0" r="41">
      <c r="A41" s="44"/>
      <c r="B41" s="45" t="s">
        <v>109</v>
      </c>
      <c r="C41" s="47" t="n">
        <f aca="false">SUM(C14:C40)</f>
        <v>10879.5</v>
      </c>
      <c r="D41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2"/>
  <sheetViews>
    <sheetView colorId="64" defaultGridColor="true" rightToLeft="false" showFormulas="false" showGridLines="true" showOutlineSymbols="true" showRowColHeaders="true" showZeros="true" tabSelected="false" topLeftCell="A32" view="normal" windowProtection="false" workbookViewId="0" zoomScale="100" zoomScaleNormal="100" zoomScalePageLayoutView="100">
      <selection activeCell="B39" activeCellId="0" pane="topLeft" sqref="B39"/>
    </sheetView>
  </sheetViews>
  <cols>
    <col collapsed="false" hidden="false" max="1" min="1" style="1" width="11.4862745098039"/>
    <col collapsed="false" hidden="false" max="2" min="2" style="1" width="113.850980392157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3" min="9" style="1" width="30.1882352941176"/>
    <col collapsed="false" hidden="false" max="34" min="34" style="1" width="33.5019607843137"/>
    <col collapsed="false" hidden="false" max="257" min="35" style="1" width="24.1490196078431"/>
  </cols>
  <sheetData>
    <row collapsed="false" customFormat="false" customHeight="false" hidden="false" ht="17.6" outlineLevel="0" r="1">
      <c r="A1" s="31" t="s">
        <v>160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collapsed="false" customFormat="false" customHeight="true" hidden="false" ht="15.75" outlineLevel="0" r="3">
      <c r="A3" s="4"/>
      <c r="B3" s="34"/>
      <c r="C3" s="35"/>
      <c r="D3" s="35"/>
      <c r="E3" s="35"/>
      <c r="F3" s="35" t="s">
        <v>111</v>
      </c>
      <c r="G3" s="35" t="s">
        <v>112</v>
      </c>
      <c r="H3" s="35"/>
      <c r="I3" s="35"/>
      <c r="J3" s="35"/>
      <c r="K3" s="35"/>
      <c r="L3" s="35"/>
      <c r="M3" s="35" t="s">
        <v>111</v>
      </c>
      <c r="N3" s="35" t="s">
        <v>112</v>
      </c>
      <c r="O3" s="35"/>
      <c r="P3" s="35"/>
      <c r="Q3" s="35"/>
      <c r="R3" s="35"/>
      <c r="S3" s="35"/>
      <c r="T3" s="35" t="s">
        <v>111</v>
      </c>
      <c r="U3" s="35" t="s">
        <v>112</v>
      </c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65" t="s">
        <v>115</v>
      </c>
      <c r="AH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 t="n">
        <v>1210.4</v>
      </c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/>
      <c r="D6" s="41"/>
      <c r="E6" s="41"/>
      <c r="F6" s="41"/>
      <c r="G6" s="41"/>
      <c r="H6" s="41"/>
      <c r="I6" s="41"/>
      <c r="J6" s="41"/>
      <c r="K6" s="41"/>
      <c r="L6" s="43"/>
      <c r="M6" s="41"/>
      <c r="N6" s="41"/>
      <c r="O6" s="41"/>
      <c r="P6" s="41"/>
      <c r="Q6" s="41"/>
      <c r="R6" s="41"/>
      <c r="S6" s="41"/>
      <c r="T6" s="41"/>
      <c r="U6" s="41"/>
      <c r="V6" s="41"/>
      <c r="W6" s="41" t="n">
        <f aca="false">1510+570.5</f>
        <v>2080.5</v>
      </c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0</v>
      </c>
      <c r="D7" s="46" t="n">
        <f aca="false">D6-D5</f>
        <v>0</v>
      </c>
      <c r="E7" s="46" t="n">
        <f aca="false">E6-E5</f>
        <v>0</v>
      </c>
      <c r="F7" s="46" t="n">
        <f aca="false">F6-F5</f>
        <v>0</v>
      </c>
      <c r="G7" s="46" t="n">
        <f aca="false">G6-G5</f>
        <v>0</v>
      </c>
      <c r="H7" s="46" t="n">
        <f aca="false">H6-H5</f>
        <v>0</v>
      </c>
      <c r="I7" s="46" t="n">
        <f aca="false">I6-I5</f>
        <v>0</v>
      </c>
      <c r="J7" s="46" t="n">
        <f aca="false">J6-J5</f>
        <v>0</v>
      </c>
      <c r="K7" s="46" t="n">
        <f aca="false">K6-K5</f>
        <v>0</v>
      </c>
      <c r="L7" s="46" t="n">
        <f aca="false">L6-L5</f>
        <v>0</v>
      </c>
      <c r="M7" s="46" t="n">
        <f aca="false">M6-M5</f>
        <v>0</v>
      </c>
      <c r="N7" s="46" t="n">
        <f aca="false">N6-N5</f>
        <v>0</v>
      </c>
      <c r="O7" s="46" t="n">
        <f aca="false">O6-O5</f>
        <v>0</v>
      </c>
      <c r="P7" s="46" t="n">
        <f aca="false">P6-P5</f>
        <v>0</v>
      </c>
      <c r="Q7" s="46" t="n">
        <f aca="false">Q6-Q5</f>
        <v>0</v>
      </c>
      <c r="R7" s="46" t="n">
        <f aca="false">R6-R5</f>
        <v>0</v>
      </c>
      <c r="S7" s="46" t="n">
        <f aca="false">S6-S5</f>
        <v>0</v>
      </c>
      <c r="T7" s="46" t="n">
        <f aca="false">T6-T5</f>
        <v>0</v>
      </c>
      <c r="U7" s="46" t="n">
        <f aca="false">U6-U5</f>
        <v>0</v>
      </c>
      <c r="V7" s="46" t="n">
        <f aca="false">V6-V5</f>
        <v>0</v>
      </c>
      <c r="W7" s="46" t="n">
        <f aca="false">W6-W5</f>
        <v>870.1</v>
      </c>
      <c r="X7" s="46" t="n">
        <f aca="false">X6-X5</f>
        <v>0</v>
      </c>
      <c r="Y7" s="46" t="n">
        <f aca="false">Y6-Y5</f>
        <v>0</v>
      </c>
      <c r="Z7" s="46" t="n">
        <f aca="false">Z6-Z5</f>
        <v>0</v>
      </c>
      <c r="AA7" s="46" t="n">
        <f aca="false">AA6-AA5</f>
        <v>0</v>
      </c>
      <c r="AB7" s="46" t="n">
        <f aca="false">AB6-AB5</f>
        <v>0</v>
      </c>
      <c r="AC7" s="46" t="n">
        <f aca="false">AC6-AC5</f>
        <v>0</v>
      </c>
      <c r="AD7" s="46" t="n">
        <f aca="false">AD6-AD5</f>
        <v>0</v>
      </c>
      <c r="AE7" s="46" t="n">
        <f aca="false">AE6-AE5</f>
        <v>0</v>
      </c>
      <c r="AF7" s="46" t="n">
        <f aca="false">AF6-AF5</f>
        <v>0</v>
      </c>
      <c r="AG7" s="46" t="n">
        <f aca="false">AG6-AG5</f>
        <v>0</v>
      </c>
      <c r="AH7" s="46" t="n">
        <f aca="false">SUM(C7:AG7)</f>
        <v>870.1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AH7-C42</f>
        <v>-21948.02</v>
      </c>
    </row>
    <row collapsed="false" customFormat="false" customHeight="true" hidden="false" ht="15.75" outlineLevel="0" r="14">
      <c r="A14" s="39" t="n">
        <v>1</v>
      </c>
      <c r="B14" s="40" t="s">
        <v>159</v>
      </c>
      <c r="C14" s="41" t="n">
        <v>245</v>
      </c>
      <c r="D14" s="69"/>
    </row>
    <row collapsed="false" customFormat="false" customHeight="true" hidden="false" ht="15.75" outlineLevel="0" r="15">
      <c r="A15" s="39" t="n">
        <v>2</v>
      </c>
      <c r="B15" s="40" t="s">
        <v>159</v>
      </c>
      <c r="C15" s="41" t="n">
        <v>365</v>
      </c>
      <c r="D15" s="69"/>
    </row>
    <row collapsed="false" customFormat="false" customHeight="true" hidden="false" ht="15.75" outlineLevel="0" r="16">
      <c r="A16" s="39" t="n">
        <v>3</v>
      </c>
      <c r="B16" s="40" t="s">
        <v>159</v>
      </c>
      <c r="C16" s="41" t="n">
        <v>320</v>
      </c>
      <c r="D16" s="69"/>
    </row>
    <row collapsed="false" customFormat="false" customHeight="true" hidden="false" ht="15.75" outlineLevel="0" r="17">
      <c r="A17" s="39" t="n">
        <v>4</v>
      </c>
      <c r="B17" s="40" t="s">
        <v>159</v>
      </c>
      <c r="C17" s="41" t="n">
        <v>320</v>
      </c>
      <c r="D17" s="69"/>
    </row>
    <row collapsed="false" customFormat="false" customHeight="true" hidden="false" ht="15.75" outlineLevel="0" r="18">
      <c r="A18" s="39" t="n">
        <v>5</v>
      </c>
      <c r="B18" s="40" t="s">
        <v>159</v>
      </c>
      <c r="C18" s="41" t="n">
        <v>320</v>
      </c>
      <c r="D18" s="69"/>
    </row>
    <row collapsed="false" customFormat="false" customHeight="true" hidden="false" ht="15.75" outlineLevel="0" r="19">
      <c r="A19" s="39" t="n">
        <v>6</v>
      </c>
      <c r="B19" s="40" t="s">
        <v>159</v>
      </c>
      <c r="C19" s="41" t="n">
        <v>310</v>
      </c>
      <c r="D19" s="69"/>
    </row>
    <row collapsed="false" customFormat="false" customHeight="true" hidden="false" ht="15.75" outlineLevel="0" r="20">
      <c r="A20" s="39" t="n">
        <v>7</v>
      </c>
      <c r="B20" s="40" t="s">
        <v>159</v>
      </c>
      <c r="C20" s="41" t="n">
        <v>310</v>
      </c>
      <c r="D20" s="69"/>
    </row>
    <row collapsed="false" customFormat="false" customHeight="true" hidden="false" ht="15.75" outlineLevel="0" r="21">
      <c r="A21" s="39" t="n">
        <v>8</v>
      </c>
      <c r="B21" s="40" t="s">
        <v>159</v>
      </c>
      <c r="C21" s="41" t="n">
        <v>310</v>
      </c>
      <c r="D21" s="69"/>
    </row>
    <row collapsed="false" customFormat="false" customHeight="true" hidden="false" ht="15.75" outlineLevel="0" r="22">
      <c r="A22" s="39" t="n">
        <v>9</v>
      </c>
      <c r="B22" s="40" t="s">
        <v>159</v>
      </c>
      <c r="C22" s="41" t="n">
        <v>310</v>
      </c>
      <c r="D22" s="69"/>
    </row>
    <row collapsed="false" customFormat="false" customHeight="true" hidden="false" ht="15.75" outlineLevel="0" r="23">
      <c r="A23" s="39" t="n">
        <v>10</v>
      </c>
      <c r="B23" s="40" t="s">
        <v>159</v>
      </c>
      <c r="C23" s="41" t="n">
        <v>310</v>
      </c>
      <c r="D23" s="69"/>
    </row>
    <row collapsed="false" customFormat="false" customHeight="true" hidden="false" ht="15.75" outlineLevel="0" r="24">
      <c r="A24" s="39" t="n">
        <v>11</v>
      </c>
      <c r="B24" s="40" t="s">
        <v>159</v>
      </c>
      <c r="C24" s="41" t="n">
        <v>320</v>
      </c>
      <c r="D24" s="69"/>
    </row>
    <row collapsed="false" customFormat="false" customHeight="true" hidden="false" ht="15.75" outlineLevel="0" r="25">
      <c r="A25" s="39" t="n">
        <v>12</v>
      </c>
      <c r="B25" s="40" t="s">
        <v>104</v>
      </c>
      <c r="C25" s="41" t="n">
        <v>5230</v>
      </c>
      <c r="D25" s="69"/>
    </row>
    <row collapsed="false" customFormat="false" customHeight="true" hidden="false" ht="15.75" outlineLevel="0" r="26">
      <c r="A26" s="39" t="n">
        <v>13</v>
      </c>
      <c r="B26" s="40" t="s">
        <v>117</v>
      </c>
      <c r="C26" s="41" t="n">
        <v>1642</v>
      </c>
      <c r="D26" s="69"/>
    </row>
    <row collapsed="false" customFormat="false" customHeight="true" hidden="false" ht="15.75" outlineLevel="0" r="27">
      <c r="A27" s="39" t="n">
        <v>14</v>
      </c>
      <c r="B27" s="40" t="s">
        <v>117</v>
      </c>
      <c r="C27" s="41" t="n">
        <v>583.5</v>
      </c>
      <c r="D27" s="69"/>
    </row>
    <row collapsed="false" customFormat="false" customHeight="true" hidden="false" ht="15.75" outlineLevel="0" r="28">
      <c r="A28" s="39" t="n">
        <v>15</v>
      </c>
      <c r="B28" s="40" t="s">
        <v>117</v>
      </c>
      <c r="C28" s="41" t="n">
        <v>867.5</v>
      </c>
      <c r="D28" s="69"/>
    </row>
    <row collapsed="false" customFormat="false" customHeight="true" hidden="false" ht="15.75" outlineLevel="0" r="29">
      <c r="A29" s="39" t="n">
        <v>16</v>
      </c>
      <c r="B29" s="40" t="s">
        <v>104</v>
      </c>
      <c r="C29" s="41" t="n">
        <v>2470</v>
      </c>
      <c r="D29" s="69"/>
    </row>
    <row collapsed="false" customFormat="false" customHeight="true" hidden="false" ht="15.75" outlineLevel="0" r="30">
      <c r="A30" s="39" t="n">
        <f aca="false">A29+1</f>
        <v>17</v>
      </c>
      <c r="B30" s="40" t="s">
        <v>104</v>
      </c>
      <c r="C30" s="41" t="n">
        <v>3630.12</v>
      </c>
      <c r="D30" s="69"/>
    </row>
    <row collapsed="false" customFormat="false" customHeight="true" hidden="false" ht="15.75" outlineLevel="0" r="31">
      <c r="A31" s="39" t="n">
        <f aca="false">A30+1</f>
        <v>18</v>
      </c>
      <c r="B31" s="40" t="s">
        <v>117</v>
      </c>
      <c r="C31" s="41" t="n">
        <v>867.5</v>
      </c>
      <c r="D31" s="69"/>
    </row>
    <row collapsed="false" customFormat="false" customHeight="true" hidden="false" ht="15.75" outlineLevel="0" r="32">
      <c r="A32" s="39" t="n">
        <f aca="false">A31+1</f>
        <v>19</v>
      </c>
      <c r="B32" s="40" t="s">
        <v>159</v>
      </c>
      <c r="C32" s="41" t="n">
        <v>326</v>
      </c>
      <c r="D32" s="69"/>
    </row>
    <row collapsed="false" customFormat="false" customHeight="true" hidden="false" ht="15.75" outlineLevel="0" r="33">
      <c r="A33" s="39" t="n">
        <f aca="false">A32+1</f>
        <v>20</v>
      </c>
      <c r="B33" s="40" t="s">
        <v>117</v>
      </c>
      <c r="C33" s="41" t="n">
        <v>583.5</v>
      </c>
      <c r="D33" s="69"/>
    </row>
    <row collapsed="false" customFormat="false" customHeight="true" hidden="false" ht="15.75" outlineLevel="0" r="34">
      <c r="A34" s="39" t="n">
        <f aca="false">A33+1</f>
        <v>21</v>
      </c>
      <c r="B34" s="40" t="s">
        <v>159</v>
      </c>
      <c r="C34" s="41" t="n">
        <v>326</v>
      </c>
      <c r="D34" s="69"/>
    </row>
    <row collapsed="false" customFormat="false" customHeight="true" hidden="false" ht="15.75" outlineLevel="0" r="35">
      <c r="A35" s="39" t="n">
        <f aca="false">A34+1</f>
        <v>22</v>
      </c>
      <c r="B35" s="40" t="s">
        <v>159</v>
      </c>
      <c r="C35" s="41" t="n">
        <v>326</v>
      </c>
      <c r="D35" s="69"/>
    </row>
    <row collapsed="false" customFormat="false" customHeight="true" hidden="false" ht="15.75" outlineLevel="0" r="36">
      <c r="A36" s="39" t="n">
        <f aca="false">A35+1</f>
        <v>23</v>
      </c>
      <c r="B36" s="40" t="s">
        <v>159</v>
      </c>
      <c r="C36" s="41" t="n">
        <v>287</v>
      </c>
      <c r="D36" s="69"/>
    </row>
    <row collapsed="false" customFormat="false" customHeight="true" hidden="false" ht="15.75" outlineLevel="0" r="37">
      <c r="A37" s="39" t="n">
        <f aca="false">A36+1</f>
        <v>24</v>
      </c>
      <c r="B37" s="40" t="s">
        <v>161</v>
      </c>
      <c r="C37" s="41" t="n">
        <v>1297</v>
      </c>
      <c r="D37" s="69"/>
    </row>
    <row collapsed="false" customFormat="false" customHeight="true" hidden="false" ht="15.75" outlineLevel="0" r="38">
      <c r="A38" s="39" t="n">
        <f aca="false">A37+1</f>
        <v>25</v>
      </c>
      <c r="B38" s="40" t="s">
        <v>159</v>
      </c>
      <c r="C38" s="41" t="n">
        <v>326</v>
      </c>
      <c r="D38" s="69"/>
    </row>
    <row collapsed="false" customFormat="false" customHeight="true" hidden="false" ht="15.75" outlineLevel="0" r="39">
      <c r="A39" s="39" t="n">
        <f aca="false">A38+1</f>
        <v>26</v>
      </c>
      <c r="B39" s="40" t="s">
        <v>159</v>
      </c>
      <c r="C39" s="41" t="n">
        <v>210</v>
      </c>
      <c r="D39" s="69"/>
    </row>
    <row collapsed="false" customFormat="false" customHeight="true" hidden="false" ht="15.75" outlineLevel="0" r="40">
      <c r="A40" s="39" t="n">
        <f aca="false">A39+1</f>
        <v>27</v>
      </c>
      <c r="B40" s="40" t="s">
        <v>159</v>
      </c>
      <c r="C40" s="41" t="n">
        <v>326</v>
      </c>
      <c r="D40" s="69"/>
    </row>
    <row collapsed="false" customFormat="false" customHeight="true" hidden="false" ht="15.75" outlineLevel="0" r="41">
      <c r="A41" s="39" t="n">
        <f aca="false">A40+1</f>
        <v>28</v>
      </c>
      <c r="B41" s="40" t="s">
        <v>116</v>
      </c>
      <c r="C41" s="41" t="n">
        <v>80</v>
      </c>
      <c r="D41" s="69"/>
    </row>
    <row collapsed="false" customFormat="false" customHeight="false" hidden="false" ht="14.9" outlineLevel="0" r="42">
      <c r="A42" s="44"/>
      <c r="B42" s="45" t="s">
        <v>109</v>
      </c>
      <c r="C42" s="47" t="n">
        <f aca="false">SUM(C14:C41)</f>
        <v>22818.12</v>
      </c>
      <c r="D42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0"/>
  <sheetViews>
    <sheetView colorId="64" defaultGridColor="true" rightToLeft="false" showFormulas="false" showGridLines="true" showOutlineSymbols="true" showRowColHeaders="true" showZeros="true" tabSelected="true" topLeftCell="A8" view="normal" windowProtection="false" workbookViewId="0" zoomScale="100" zoomScaleNormal="100" zoomScalePageLayoutView="100">
      <selection activeCell="B23" activeCellId="0" pane="topLeft" sqref="B23"/>
    </sheetView>
  </sheetViews>
  <cols>
    <col collapsed="false" hidden="false" max="1" min="1" style="1" width="13.5294117647059"/>
    <col collapsed="false" hidden="false" max="2" min="2" style="1" width="91.521568627451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2" min="9" style="1" width="30.1882352941176"/>
    <col collapsed="false" hidden="false" max="33" min="33" style="1" width="33.5019607843137"/>
    <col collapsed="false" hidden="false" max="257" min="34" style="1" width="24.1490196078431"/>
  </cols>
  <sheetData>
    <row collapsed="false" customFormat="false" customHeight="false" hidden="false" ht="17.6" outlineLevel="0" r="1">
      <c r="A1" s="31" t="s">
        <v>162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collapsed="false" customFormat="false" customHeight="true" hidden="false" ht="15.75" outlineLevel="0" r="3">
      <c r="A3" s="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 t="n">
        <v>849.67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/>
      <c r="D6" s="41"/>
      <c r="E6" s="41"/>
      <c r="F6" s="41"/>
      <c r="G6" s="41"/>
      <c r="H6" s="41"/>
      <c r="I6" s="41"/>
      <c r="J6" s="41"/>
      <c r="K6" s="41"/>
      <c r="L6" s="43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0</v>
      </c>
      <c r="D7" s="46" t="n">
        <f aca="false">D6-D5</f>
        <v>0</v>
      </c>
      <c r="E7" s="46" t="n">
        <f aca="false">E6-E5</f>
        <v>0</v>
      </c>
      <c r="F7" s="46" t="n">
        <f aca="false">F6-F5</f>
        <v>0</v>
      </c>
      <c r="G7" s="46" t="n">
        <f aca="false">G6-G5</f>
        <v>0</v>
      </c>
      <c r="H7" s="46" t="n">
        <f aca="false">H6-H5</f>
        <v>0</v>
      </c>
      <c r="I7" s="46" t="n">
        <f aca="false">I6-I5</f>
        <v>0</v>
      </c>
      <c r="J7" s="46" t="n">
        <f aca="false">J6-J5</f>
        <v>0</v>
      </c>
      <c r="K7" s="46" t="n">
        <f aca="false">K6-K5</f>
        <v>0</v>
      </c>
      <c r="L7" s="46" t="n">
        <f aca="false">L6-L5</f>
        <v>0</v>
      </c>
      <c r="M7" s="46" t="n">
        <f aca="false">M6-M5</f>
        <v>0</v>
      </c>
      <c r="N7" s="46" t="n">
        <f aca="false">N6-N5</f>
        <v>0</v>
      </c>
      <c r="O7" s="46" t="n">
        <f aca="false">O6-O5</f>
        <v>0</v>
      </c>
      <c r="P7" s="46" t="n">
        <f aca="false">P6-P5</f>
        <v>0</v>
      </c>
      <c r="Q7" s="46" t="n">
        <f aca="false">Q6-Q5</f>
        <v>0</v>
      </c>
      <c r="R7" s="46" t="n">
        <f aca="false">R6-R5</f>
        <v>0</v>
      </c>
      <c r="S7" s="46" t="n">
        <f aca="false">S6-S5</f>
        <v>-849.67</v>
      </c>
      <c r="T7" s="46" t="n">
        <f aca="false">T6-T5</f>
        <v>0</v>
      </c>
      <c r="U7" s="46" t="n">
        <f aca="false">U6-U5</f>
        <v>0</v>
      </c>
      <c r="V7" s="46" t="n">
        <f aca="false">V6-V5</f>
        <v>0</v>
      </c>
      <c r="W7" s="46" t="n">
        <f aca="false">W6-W5</f>
        <v>0</v>
      </c>
      <c r="X7" s="46" t="n">
        <f aca="false">X6-X5</f>
        <v>0</v>
      </c>
      <c r="Y7" s="46" t="n">
        <f aca="false">Y6-Y5</f>
        <v>0</v>
      </c>
      <c r="Z7" s="46" t="n">
        <f aca="false">Z6-Z5</f>
        <v>0</v>
      </c>
      <c r="AA7" s="46" t="n">
        <f aca="false">AA6-AA5</f>
        <v>0</v>
      </c>
      <c r="AB7" s="46" t="n">
        <f aca="false">AB6-AB5</f>
        <v>0</v>
      </c>
      <c r="AC7" s="46" t="n">
        <f aca="false">AC6-AC5</f>
        <v>0</v>
      </c>
      <c r="AD7" s="46" t="n">
        <f aca="false">AD6-AD5</f>
        <v>0</v>
      </c>
      <c r="AE7" s="46" t="n">
        <f aca="false">AE6-AE5</f>
        <v>0</v>
      </c>
      <c r="AF7" s="46" t="n">
        <f aca="false">AF6-AF5</f>
        <v>0</v>
      </c>
      <c r="AG7" s="46" t="n">
        <f aca="false">SUM(C7:AF7)</f>
        <v>-849.67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AG7-C40</f>
        <v>-3179.67</v>
      </c>
    </row>
    <row collapsed="false" customFormat="false" customHeight="true" hidden="false" ht="15.75" outlineLevel="0" r="14">
      <c r="A14" s="39" t="n">
        <v>1</v>
      </c>
      <c r="B14" s="40" t="s">
        <v>159</v>
      </c>
      <c r="C14" s="41" t="n">
        <v>179</v>
      </c>
      <c r="D14" s="69"/>
    </row>
    <row collapsed="false" customFormat="false" customHeight="true" hidden="false" ht="15.75" outlineLevel="0" r="15">
      <c r="A15" s="39" t="n">
        <v>2</v>
      </c>
      <c r="B15" s="40" t="s">
        <v>159</v>
      </c>
      <c r="C15" s="41" t="n">
        <v>295</v>
      </c>
      <c r="D15" s="69"/>
    </row>
    <row collapsed="false" customFormat="false" customHeight="true" hidden="false" ht="15.75" outlineLevel="0" r="16">
      <c r="A16" s="39" t="n">
        <v>3</v>
      </c>
      <c r="B16" s="40" t="s">
        <v>159</v>
      </c>
      <c r="C16" s="41" t="n">
        <v>295</v>
      </c>
      <c r="D16" s="69"/>
    </row>
    <row collapsed="false" customFormat="false" customHeight="true" hidden="false" ht="15.75" outlineLevel="0" r="17">
      <c r="A17" s="39" t="n">
        <v>4</v>
      </c>
      <c r="B17" s="40" t="s">
        <v>159</v>
      </c>
      <c r="C17" s="41" t="n">
        <v>295</v>
      </c>
      <c r="D17" s="69"/>
    </row>
    <row collapsed="false" customFormat="false" customHeight="true" hidden="false" ht="15.75" outlineLevel="0" r="18">
      <c r="A18" s="39" t="n">
        <v>5</v>
      </c>
      <c r="B18" s="40" t="s">
        <v>159</v>
      </c>
      <c r="C18" s="41" t="n">
        <v>295</v>
      </c>
      <c r="D18" s="69"/>
    </row>
    <row collapsed="false" customFormat="false" customHeight="true" hidden="false" ht="15.75" outlineLevel="0" r="19">
      <c r="A19" s="39" t="n">
        <v>6</v>
      </c>
      <c r="B19" s="40" t="s">
        <v>159</v>
      </c>
      <c r="C19" s="41" t="n">
        <v>295</v>
      </c>
      <c r="D19" s="69"/>
    </row>
    <row collapsed="false" customFormat="false" customHeight="true" hidden="false" ht="15.75" outlineLevel="0" r="20">
      <c r="A20" s="39" t="n">
        <v>7</v>
      </c>
      <c r="B20" s="40" t="s">
        <v>159</v>
      </c>
      <c r="C20" s="41" t="n">
        <v>226</v>
      </c>
      <c r="D20" s="69"/>
    </row>
    <row collapsed="false" customFormat="false" customHeight="true" hidden="false" ht="15.75" outlineLevel="0" r="21">
      <c r="A21" s="39" t="n">
        <v>8</v>
      </c>
      <c r="B21" s="40" t="s">
        <v>159</v>
      </c>
      <c r="C21" s="41" t="n">
        <v>224</v>
      </c>
      <c r="D21" s="69"/>
    </row>
    <row collapsed="false" customFormat="false" customHeight="true" hidden="false" ht="15.75" outlineLevel="0" r="22">
      <c r="A22" s="39" t="n">
        <v>9</v>
      </c>
      <c r="B22" s="40" t="s">
        <v>159</v>
      </c>
      <c r="C22" s="41" t="n">
        <v>226</v>
      </c>
      <c r="D22" s="69"/>
    </row>
    <row collapsed="false" customFormat="false" customHeight="true" hidden="false" ht="15.75" outlineLevel="0" r="23">
      <c r="A23" s="39" t="n">
        <v>10</v>
      </c>
      <c r="B23" s="40"/>
      <c r="C23" s="41"/>
      <c r="D23" s="69"/>
    </row>
    <row collapsed="false" customFormat="false" customHeight="true" hidden="false" ht="15.75" outlineLevel="0" r="24">
      <c r="A24" s="39" t="n">
        <v>11</v>
      </c>
      <c r="B24" s="40"/>
      <c r="C24" s="41"/>
      <c r="D24" s="69"/>
    </row>
    <row collapsed="false" customFormat="false" customHeight="true" hidden="false" ht="15.75" outlineLevel="0" r="25">
      <c r="A25" s="39" t="n">
        <v>12</v>
      </c>
      <c r="B25" s="40"/>
      <c r="C25" s="41"/>
      <c r="D25" s="69"/>
    </row>
    <row collapsed="false" customFormat="false" customHeight="true" hidden="false" ht="15.75" outlineLevel="0" r="26">
      <c r="A26" s="39" t="n">
        <v>13</v>
      </c>
      <c r="B26" s="40"/>
      <c r="C26" s="42"/>
      <c r="D26" s="69"/>
    </row>
    <row collapsed="false" customFormat="false" customHeight="true" hidden="false" ht="15.75" outlineLevel="0" r="27">
      <c r="A27" s="39" t="n">
        <v>14</v>
      </c>
      <c r="B27" s="40"/>
      <c r="C27" s="41"/>
      <c r="D27" s="69"/>
    </row>
    <row collapsed="false" customFormat="false" customHeight="true" hidden="false" ht="15.75" outlineLevel="0" r="28">
      <c r="A28" s="39" t="n">
        <v>15</v>
      </c>
      <c r="B28" s="40"/>
      <c r="C28" s="41"/>
      <c r="D28" s="69"/>
    </row>
    <row collapsed="false" customFormat="false" customHeight="true" hidden="false" ht="15.75" outlineLevel="0" r="29">
      <c r="A29" s="39" t="n">
        <v>16</v>
      </c>
      <c r="B29" s="40"/>
      <c r="C29" s="41"/>
      <c r="D29" s="69"/>
    </row>
    <row collapsed="false" customFormat="false" customHeight="true" hidden="false" ht="15.75" outlineLevel="0" r="30">
      <c r="A30" s="39" t="n">
        <v>17</v>
      </c>
      <c r="B30" s="40"/>
      <c r="C30" s="41"/>
      <c r="D30" s="69"/>
    </row>
    <row collapsed="false" customFormat="false" customHeight="true" hidden="false" ht="15.75" outlineLevel="0" r="31">
      <c r="A31" s="39" t="n">
        <v>18</v>
      </c>
      <c r="B31" s="40"/>
      <c r="C31" s="41"/>
      <c r="D31" s="69"/>
    </row>
    <row collapsed="false" customFormat="false" customHeight="true" hidden="false" ht="15.75" outlineLevel="0" r="32">
      <c r="A32" s="39" t="n">
        <v>19</v>
      </c>
      <c r="B32" s="40"/>
      <c r="C32" s="41"/>
      <c r="D32" s="69"/>
    </row>
    <row collapsed="false" customFormat="false" customHeight="true" hidden="false" ht="15.75" outlineLevel="0" r="33">
      <c r="A33" s="39" t="n">
        <v>20</v>
      </c>
      <c r="B33" s="40"/>
      <c r="C33" s="41"/>
      <c r="D33" s="69"/>
    </row>
    <row collapsed="false" customFormat="false" customHeight="true" hidden="false" ht="15.75" outlineLevel="0" r="34">
      <c r="A34" s="39" t="n">
        <v>21</v>
      </c>
      <c r="B34" s="40"/>
      <c r="C34" s="41"/>
      <c r="D34" s="69"/>
    </row>
    <row collapsed="false" customFormat="false" customHeight="true" hidden="false" ht="15.75" outlineLevel="0" r="35">
      <c r="A35" s="39" t="n">
        <v>22</v>
      </c>
      <c r="B35" s="40"/>
      <c r="C35" s="41"/>
      <c r="D35" s="69"/>
    </row>
    <row collapsed="false" customFormat="false" customHeight="true" hidden="false" ht="15.75" outlineLevel="0" r="36">
      <c r="A36" s="39" t="n">
        <v>23</v>
      </c>
      <c r="B36" s="40"/>
      <c r="C36" s="41"/>
      <c r="D36" s="69"/>
    </row>
    <row collapsed="false" customFormat="false" customHeight="true" hidden="false" ht="15.75" outlineLevel="0" r="37">
      <c r="A37" s="39" t="n">
        <v>24</v>
      </c>
      <c r="B37" s="40"/>
      <c r="C37" s="41"/>
      <c r="D37" s="69"/>
    </row>
    <row collapsed="false" customFormat="false" customHeight="true" hidden="false" ht="15.75" outlineLevel="0" r="38">
      <c r="A38" s="39" t="n">
        <v>25</v>
      </c>
      <c r="B38" s="40"/>
      <c r="C38" s="41"/>
      <c r="D38" s="69"/>
    </row>
    <row collapsed="false" customFormat="false" customHeight="true" hidden="false" ht="15.75" outlineLevel="0" r="39">
      <c r="A39" s="39" t="n">
        <v>26</v>
      </c>
      <c r="B39" s="40"/>
      <c r="C39" s="41"/>
      <c r="D39" s="69"/>
    </row>
    <row collapsed="false" customFormat="false" customHeight="false" hidden="false" ht="14.9" outlineLevel="0" r="40">
      <c r="A40" s="44"/>
      <c r="B40" s="45" t="s">
        <v>109</v>
      </c>
      <c r="C40" s="47" t="n">
        <f aca="false">SUM(C14:C39)</f>
        <v>2330</v>
      </c>
      <c r="D40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3.5294117647059"/>
    <col collapsed="false" hidden="false" max="2" min="2" style="1" width="113.850980392157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3" min="9" style="1" width="30.1882352941176"/>
    <col collapsed="false" hidden="false" max="34" min="34" style="1" width="33.5019607843137"/>
    <col collapsed="false" hidden="false" max="257" min="35" style="1" width="24.1490196078431"/>
  </cols>
  <sheetData>
    <row collapsed="false" customFormat="false" customHeight="false" hidden="false" ht="17.6" outlineLevel="0" r="1">
      <c r="A1" s="31" t="s">
        <v>163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collapsed="false" customFormat="false" customHeight="true" hidden="false" ht="15.75" outlineLevel="0" r="3">
      <c r="A3" s="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65" t="s">
        <v>115</v>
      </c>
      <c r="AH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/>
      <c r="D6" s="41"/>
      <c r="E6" s="41"/>
      <c r="F6" s="41"/>
      <c r="G6" s="41"/>
      <c r="H6" s="41"/>
      <c r="I6" s="41"/>
      <c r="J6" s="41"/>
      <c r="K6" s="41"/>
      <c r="L6" s="43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0</v>
      </c>
      <c r="D7" s="46" t="n">
        <f aca="false">D6-D5</f>
        <v>0</v>
      </c>
      <c r="E7" s="46" t="n">
        <f aca="false">E6-E5</f>
        <v>0</v>
      </c>
      <c r="F7" s="46" t="n">
        <f aca="false">F6-F5</f>
        <v>0</v>
      </c>
      <c r="G7" s="46" t="n">
        <f aca="false">G6-G5</f>
        <v>0</v>
      </c>
      <c r="H7" s="46" t="n">
        <f aca="false">H6-H5</f>
        <v>0</v>
      </c>
      <c r="I7" s="46" t="n">
        <f aca="false">I6-I5</f>
        <v>0</v>
      </c>
      <c r="J7" s="46" t="n">
        <f aca="false">J6-J5</f>
        <v>0</v>
      </c>
      <c r="K7" s="46" t="n">
        <f aca="false">K6-K5</f>
        <v>0</v>
      </c>
      <c r="L7" s="46" t="n">
        <f aca="false">L6-L5</f>
        <v>0</v>
      </c>
      <c r="M7" s="46" t="n">
        <f aca="false">M6-M5</f>
        <v>0</v>
      </c>
      <c r="N7" s="46" t="n">
        <f aca="false">N6-N5</f>
        <v>0</v>
      </c>
      <c r="O7" s="46" t="n">
        <f aca="false">O6-O5</f>
        <v>0</v>
      </c>
      <c r="P7" s="46" t="n">
        <f aca="false">P6-P5</f>
        <v>0</v>
      </c>
      <c r="Q7" s="46" t="n">
        <f aca="false">Q6-Q5</f>
        <v>0</v>
      </c>
      <c r="R7" s="46" t="n">
        <f aca="false">R6-R5</f>
        <v>0</v>
      </c>
      <c r="S7" s="46" t="n">
        <f aca="false">S6-S5</f>
        <v>0</v>
      </c>
      <c r="T7" s="46" t="n">
        <f aca="false">T6-T5</f>
        <v>0</v>
      </c>
      <c r="U7" s="46" t="n">
        <f aca="false">U6-U5</f>
        <v>0</v>
      </c>
      <c r="V7" s="46" t="n">
        <f aca="false">V6-V5</f>
        <v>0</v>
      </c>
      <c r="W7" s="46" t="n">
        <f aca="false">W6-W5</f>
        <v>0</v>
      </c>
      <c r="X7" s="46" t="n">
        <f aca="false">X6-X5</f>
        <v>0</v>
      </c>
      <c r="Y7" s="46" t="n">
        <f aca="false">Y6-Y5</f>
        <v>0</v>
      </c>
      <c r="Z7" s="46" t="n">
        <f aca="false">Z6-Z5</f>
        <v>0</v>
      </c>
      <c r="AA7" s="46" t="n">
        <f aca="false">AA6-AA5</f>
        <v>0</v>
      </c>
      <c r="AB7" s="46" t="n">
        <f aca="false">AB6-AB5</f>
        <v>0</v>
      </c>
      <c r="AC7" s="46" t="n">
        <f aca="false">AC6-AC5</f>
        <v>0</v>
      </c>
      <c r="AD7" s="46" t="n">
        <f aca="false">AD6-AD5</f>
        <v>0</v>
      </c>
      <c r="AE7" s="46" t="n">
        <f aca="false">AE6-AE5</f>
        <v>0</v>
      </c>
      <c r="AF7" s="46" t="n">
        <f aca="false">AF6-AF5</f>
        <v>0</v>
      </c>
      <c r="AG7" s="46" t="n">
        <f aca="false">AG6-AG5</f>
        <v>0</v>
      </c>
      <c r="AH7" s="46" t="n">
        <f aca="false">SUM(C7:AG7)</f>
        <v>0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AH7-C40</f>
        <v>0</v>
      </c>
    </row>
    <row collapsed="false" customFormat="false" customHeight="true" hidden="false" ht="15.75" outlineLevel="0" r="14">
      <c r="A14" s="39" t="n">
        <v>1</v>
      </c>
      <c r="B14" s="40"/>
      <c r="C14" s="41"/>
      <c r="D14" s="69"/>
    </row>
    <row collapsed="false" customFormat="false" customHeight="true" hidden="false" ht="15.75" outlineLevel="0" r="15">
      <c r="A15" s="39" t="n">
        <v>2</v>
      </c>
      <c r="B15" s="40"/>
      <c r="C15" s="41"/>
      <c r="D15" s="69"/>
    </row>
    <row collapsed="false" customFormat="false" customHeight="true" hidden="false" ht="15.75" outlineLevel="0" r="16">
      <c r="A16" s="39" t="n">
        <v>3</v>
      </c>
      <c r="B16" s="40"/>
      <c r="C16" s="41"/>
      <c r="D16" s="69"/>
    </row>
    <row collapsed="false" customFormat="false" customHeight="true" hidden="false" ht="15.75" outlineLevel="0" r="17">
      <c r="A17" s="39" t="n">
        <v>4</v>
      </c>
      <c r="B17" s="40"/>
      <c r="C17" s="41"/>
      <c r="D17" s="69"/>
    </row>
    <row collapsed="false" customFormat="false" customHeight="true" hidden="false" ht="15.75" outlineLevel="0" r="18">
      <c r="A18" s="39" t="n">
        <v>5</v>
      </c>
      <c r="B18" s="40"/>
      <c r="C18" s="41"/>
      <c r="D18" s="69"/>
    </row>
    <row collapsed="false" customFormat="false" customHeight="true" hidden="false" ht="15.75" outlineLevel="0" r="19">
      <c r="A19" s="39" t="n">
        <v>6</v>
      </c>
      <c r="B19" s="40"/>
      <c r="C19" s="41"/>
      <c r="D19" s="69"/>
    </row>
    <row collapsed="false" customFormat="false" customHeight="true" hidden="false" ht="15.75" outlineLevel="0" r="20">
      <c r="A20" s="39" t="n">
        <v>7</v>
      </c>
      <c r="B20" s="40"/>
      <c r="C20" s="41"/>
      <c r="D20" s="69"/>
    </row>
    <row collapsed="false" customFormat="false" customHeight="true" hidden="false" ht="15.75" outlineLevel="0" r="21">
      <c r="A21" s="39" t="n">
        <v>8</v>
      </c>
      <c r="B21" s="40"/>
      <c r="C21" s="41"/>
      <c r="D21" s="69"/>
    </row>
    <row collapsed="false" customFormat="false" customHeight="true" hidden="false" ht="15.75" outlineLevel="0" r="22">
      <c r="A22" s="39" t="n">
        <v>9</v>
      </c>
      <c r="B22" s="40"/>
      <c r="C22" s="41"/>
      <c r="D22" s="69"/>
    </row>
    <row collapsed="false" customFormat="false" customHeight="true" hidden="false" ht="15.75" outlineLevel="0" r="23">
      <c r="A23" s="39" t="n">
        <v>10</v>
      </c>
      <c r="B23" s="40"/>
      <c r="C23" s="41"/>
      <c r="D23" s="69"/>
    </row>
    <row collapsed="false" customFormat="false" customHeight="true" hidden="false" ht="15.75" outlineLevel="0" r="24">
      <c r="A24" s="39" t="n">
        <v>11</v>
      </c>
      <c r="B24" s="40"/>
      <c r="C24" s="41"/>
      <c r="D24" s="69"/>
    </row>
    <row collapsed="false" customFormat="false" customHeight="true" hidden="false" ht="15.75" outlineLevel="0" r="25">
      <c r="A25" s="39" t="n">
        <v>12</v>
      </c>
      <c r="B25" s="40"/>
      <c r="C25" s="41"/>
      <c r="D25" s="69"/>
    </row>
    <row collapsed="false" customFormat="false" customHeight="true" hidden="false" ht="15.75" outlineLevel="0" r="26">
      <c r="A26" s="39" t="n">
        <v>13</v>
      </c>
      <c r="B26" s="40"/>
      <c r="C26" s="42"/>
      <c r="D26" s="69"/>
    </row>
    <row collapsed="false" customFormat="false" customHeight="true" hidden="false" ht="15.75" outlineLevel="0" r="27">
      <c r="A27" s="39" t="n">
        <v>14</v>
      </c>
      <c r="B27" s="40"/>
      <c r="C27" s="41"/>
      <c r="D27" s="69"/>
    </row>
    <row collapsed="false" customFormat="false" customHeight="true" hidden="false" ht="15.75" outlineLevel="0" r="28">
      <c r="A28" s="39" t="n">
        <v>15</v>
      </c>
      <c r="B28" s="40"/>
      <c r="C28" s="41"/>
      <c r="D28" s="69"/>
    </row>
    <row collapsed="false" customFormat="false" customHeight="true" hidden="false" ht="15.75" outlineLevel="0" r="29">
      <c r="A29" s="39" t="n">
        <v>16</v>
      </c>
      <c r="B29" s="40"/>
      <c r="C29" s="41"/>
      <c r="D29" s="69"/>
    </row>
    <row collapsed="false" customFormat="false" customHeight="true" hidden="false" ht="15.75" outlineLevel="0" r="30">
      <c r="A30" s="39" t="n">
        <v>17</v>
      </c>
      <c r="B30" s="40"/>
      <c r="C30" s="41"/>
      <c r="D30" s="69"/>
    </row>
    <row collapsed="false" customFormat="false" customHeight="true" hidden="false" ht="15.75" outlineLevel="0" r="31">
      <c r="A31" s="39" t="n">
        <v>18</v>
      </c>
      <c r="B31" s="40"/>
      <c r="C31" s="41"/>
      <c r="D31" s="69"/>
    </row>
    <row collapsed="false" customFormat="false" customHeight="true" hidden="false" ht="15.75" outlineLevel="0" r="32">
      <c r="A32" s="39" t="n">
        <v>19</v>
      </c>
      <c r="B32" s="40"/>
      <c r="C32" s="41"/>
      <c r="D32" s="69"/>
    </row>
    <row collapsed="false" customFormat="false" customHeight="true" hidden="false" ht="15.75" outlineLevel="0" r="33">
      <c r="A33" s="39" t="n">
        <v>20</v>
      </c>
      <c r="B33" s="40"/>
      <c r="C33" s="41"/>
      <c r="D33" s="69"/>
    </row>
    <row collapsed="false" customFormat="false" customHeight="true" hidden="false" ht="15.75" outlineLevel="0" r="34">
      <c r="A34" s="39" t="n">
        <v>21</v>
      </c>
      <c r="B34" s="40"/>
      <c r="C34" s="41"/>
      <c r="D34" s="69"/>
    </row>
    <row collapsed="false" customFormat="false" customHeight="true" hidden="false" ht="15.75" outlineLevel="0" r="35">
      <c r="A35" s="39" t="n">
        <v>22</v>
      </c>
      <c r="B35" s="40"/>
      <c r="C35" s="41"/>
      <c r="D35" s="69"/>
    </row>
    <row collapsed="false" customFormat="false" customHeight="true" hidden="false" ht="15.75" outlineLevel="0" r="36">
      <c r="A36" s="39" t="n">
        <v>23</v>
      </c>
      <c r="B36" s="40"/>
      <c r="C36" s="41"/>
      <c r="D36" s="69"/>
    </row>
    <row collapsed="false" customFormat="false" customHeight="true" hidden="false" ht="15.75" outlineLevel="0" r="37">
      <c r="A37" s="39" t="n">
        <v>24</v>
      </c>
      <c r="B37" s="40"/>
      <c r="C37" s="41"/>
      <c r="D37" s="69"/>
    </row>
    <row collapsed="false" customFormat="false" customHeight="true" hidden="false" ht="15.75" outlineLevel="0" r="38">
      <c r="A38" s="39" t="n">
        <v>25</v>
      </c>
      <c r="B38" s="40"/>
      <c r="C38" s="41"/>
      <c r="D38" s="69"/>
    </row>
    <row collapsed="false" customFormat="false" customHeight="true" hidden="false" ht="15.75" outlineLevel="0" r="39">
      <c r="A39" s="39" t="n">
        <v>26</v>
      </c>
      <c r="B39" s="40"/>
      <c r="C39" s="41"/>
      <c r="D39" s="69"/>
    </row>
    <row collapsed="false" customFormat="false" customHeight="false" hidden="false" ht="14.9" outlineLevel="0" r="40">
      <c r="A40" s="44"/>
      <c r="B40" s="45" t="s">
        <v>109</v>
      </c>
      <c r="C40" s="47" t="n">
        <f aca="false">SUM(C14:C39)</f>
        <v>0</v>
      </c>
      <c r="D40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3.5294117647059"/>
    <col collapsed="false" hidden="false" max="2" min="2" style="1" width="113.850980392157"/>
    <col collapsed="false" hidden="false" max="3" min="3" style="1" width="45.9450980392157"/>
    <col collapsed="false" hidden="false" max="7" min="4" style="1" width="36.1764705882353"/>
    <col collapsed="false" hidden="false" max="8" min="8" style="1" width="25.6235294117647"/>
    <col collapsed="false" hidden="false" max="33" min="9" style="1" width="30.1882352941176"/>
    <col collapsed="false" hidden="false" max="34" min="34" style="1" width="33.5019607843137"/>
    <col collapsed="false" hidden="false" max="257" min="35" style="1" width="24.1490196078431"/>
  </cols>
  <sheetData>
    <row collapsed="false" customFormat="false" customHeight="false" hidden="false" ht="17.6" outlineLevel="0" r="1">
      <c r="A1" s="31" t="s">
        <v>163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collapsed="false" customFormat="false" customHeight="false" hidden="false" ht="17.6" outlineLevel="0" r="2">
      <c r="A2" s="31" t="s">
        <v>67</v>
      </c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collapsed="false" customFormat="false" customHeight="true" hidden="false" ht="15.75" outlineLevel="0" r="3">
      <c r="A3" s="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collapsed="false" customFormat="false" customHeight="false" hidden="false" ht="14.9" outlineLevel="0" r="4">
      <c r="A4" s="36"/>
      <c r="B4" s="36" t="s">
        <v>68</v>
      </c>
      <c r="C4" s="65" t="s">
        <v>69</v>
      </c>
      <c r="D4" s="65" t="s">
        <v>70</v>
      </c>
      <c r="E4" s="65" t="s">
        <v>71</v>
      </c>
      <c r="F4" s="65" t="s">
        <v>72</v>
      </c>
      <c r="G4" s="65" t="s">
        <v>73</v>
      </c>
      <c r="H4" s="65" t="s">
        <v>74</v>
      </c>
      <c r="I4" s="65" t="s">
        <v>75</v>
      </c>
      <c r="J4" s="65" t="s">
        <v>76</v>
      </c>
      <c r="K4" s="65" t="s">
        <v>77</v>
      </c>
      <c r="L4" s="65" t="s">
        <v>78</v>
      </c>
      <c r="M4" s="65" t="s">
        <v>79</v>
      </c>
      <c r="N4" s="65" t="s">
        <v>80</v>
      </c>
      <c r="O4" s="65" t="s">
        <v>81</v>
      </c>
      <c r="P4" s="65" t="s">
        <v>82</v>
      </c>
      <c r="Q4" s="65" t="s">
        <v>83</v>
      </c>
      <c r="R4" s="65" t="s">
        <v>84</v>
      </c>
      <c r="S4" s="65" t="s">
        <v>85</v>
      </c>
      <c r="T4" s="65" t="s">
        <v>86</v>
      </c>
      <c r="U4" s="65" t="s">
        <v>87</v>
      </c>
      <c r="V4" s="65" t="s">
        <v>88</v>
      </c>
      <c r="W4" s="65" t="s">
        <v>89</v>
      </c>
      <c r="X4" s="65" t="s">
        <v>90</v>
      </c>
      <c r="Y4" s="65" t="s">
        <v>91</v>
      </c>
      <c r="Z4" s="65" t="s">
        <v>92</v>
      </c>
      <c r="AA4" s="65" t="s">
        <v>93</v>
      </c>
      <c r="AB4" s="65" t="s">
        <v>94</v>
      </c>
      <c r="AC4" s="65" t="s">
        <v>95</v>
      </c>
      <c r="AD4" s="65" t="s">
        <v>96</v>
      </c>
      <c r="AE4" s="65" t="s">
        <v>97</v>
      </c>
      <c r="AF4" s="65" t="s">
        <v>98</v>
      </c>
      <c r="AG4" s="65" t="s">
        <v>115</v>
      </c>
      <c r="AH4" s="38" t="s">
        <v>13</v>
      </c>
    </row>
    <row collapsed="false" customFormat="false" customHeight="false" hidden="false" ht="14.9" outlineLevel="0" r="5">
      <c r="A5" s="39" t="n">
        <v>1</v>
      </c>
      <c r="B5" s="40" t="s">
        <v>99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6"/>
    </row>
    <row collapsed="false" customFormat="false" customHeight="false" hidden="false" ht="14.9" outlineLevel="0" r="6">
      <c r="A6" s="39" t="n">
        <v>2</v>
      </c>
      <c r="B6" s="40" t="s">
        <v>100</v>
      </c>
      <c r="C6" s="41"/>
      <c r="D6" s="41"/>
      <c r="E6" s="41"/>
      <c r="F6" s="41"/>
      <c r="G6" s="41"/>
      <c r="H6" s="41"/>
      <c r="I6" s="41"/>
      <c r="J6" s="41"/>
      <c r="K6" s="41"/>
      <c r="L6" s="43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6"/>
    </row>
    <row collapsed="false" customFormat="false" customHeight="false" hidden="false" ht="14.9" outlineLevel="0" r="7">
      <c r="A7" s="44"/>
      <c r="B7" s="45" t="s">
        <v>101</v>
      </c>
      <c r="C7" s="46" t="n">
        <f aca="false">C6-C5</f>
        <v>0</v>
      </c>
      <c r="D7" s="46" t="n">
        <f aca="false">D6-D5</f>
        <v>0</v>
      </c>
      <c r="E7" s="46" t="n">
        <f aca="false">E6-E5</f>
        <v>0</v>
      </c>
      <c r="F7" s="46" t="n">
        <f aca="false">F6-F5</f>
        <v>0</v>
      </c>
      <c r="G7" s="46" t="n">
        <f aca="false">G6-G5</f>
        <v>0</v>
      </c>
      <c r="H7" s="46" t="n">
        <f aca="false">H6-H5</f>
        <v>0</v>
      </c>
      <c r="I7" s="46" t="n">
        <f aca="false">I6-I5</f>
        <v>0</v>
      </c>
      <c r="J7" s="46" t="n">
        <f aca="false">J6-J5</f>
        <v>0</v>
      </c>
      <c r="K7" s="46" t="n">
        <f aca="false">K6-K5</f>
        <v>0</v>
      </c>
      <c r="L7" s="46" t="n">
        <f aca="false">L6-L5</f>
        <v>0</v>
      </c>
      <c r="M7" s="46" t="n">
        <f aca="false">M6-M5</f>
        <v>0</v>
      </c>
      <c r="N7" s="46" t="n">
        <f aca="false">N6-N5</f>
        <v>0</v>
      </c>
      <c r="O7" s="46" t="n">
        <f aca="false">O6-O5</f>
        <v>0</v>
      </c>
      <c r="P7" s="46" t="n">
        <f aca="false">P6-P5</f>
        <v>0</v>
      </c>
      <c r="Q7" s="46" t="n">
        <f aca="false">Q6-Q5</f>
        <v>0</v>
      </c>
      <c r="R7" s="46" t="n">
        <f aca="false">R6-R5</f>
        <v>0</v>
      </c>
      <c r="S7" s="46" t="n">
        <f aca="false">S6-S5</f>
        <v>0</v>
      </c>
      <c r="T7" s="46" t="n">
        <f aca="false">T6-T5</f>
        <v>0</v>
      </c>
      <c r="U7" s="46" t="n">
        <f aca="false">U6-U5</f>
        <v>0</v>
      </c>
      <c r="V7" s="46" t="n">
        <f aca="false">V6-V5</f>
        <v>0</v>
      </c>
      <c r="W7" s="46" t="n">
        <f aca="false">W6-W5</f>
        <v>0</v>
      </c>
      <c r="X7" s="46" t="n">
        <f aca="false">X6-X5</f>
        <v>0</v>
      </c>
      <c r="Y7" s="46" t="n">
        <f aca="false">Y6-Y5</f>
        <v>0</v>
      </c>
      <c r="Z7" s="46" t="n">
        <f aca="false">Z6-Z5</f>
        <v>0</v>
      </c>
      <c r="AA7" s="46" t="n">
        <f aca="false">AA6-AA5</f>
        <v>0</v>
      </c>
      <c r="AB7" s="46" t="n">
        <f aca="false">AB6-AB5</f>
        <v>0</v>
      </c>
      <c r="AC7" s="46" t="n">
        <f aca="false">AC6-AC5</f>
        <v>0</v>
      </c>
      <c r="AD7" s="46" t="n">
        <f aca="false">AD6-AD5</f>
        <v>0</v>
      </c>
      <c r="AE7" s="46" t="n">
        <f aca="false">AE6-AE5</f>
        <v>0</v>
      </c>
      <c r="AF7" s="46" t="n">
        <f aca="false">AF6-AF5</f>
        <v>0</v>
      </c>
      <c r="AG7" s="46" t="n">
        <f aca="false">AG6-AG5</f>
        <v>0</v>
      </c>
      <c r="AH7" s="46" t="n">
        <f aca="false">SUM(C7:AG7)</f>
        <v>0</v>
      </c>
    </row>
    <row collapsed="false" customFormat="false" customHeight="true" hidden="false" ht="15.75" outlineLevel="0"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collapsed="false" customFormat="false" customHeight="false" hidden="false" ht="17.6" outlineLevel="0" r="10">
      <c r="A10" s="31" t="s">
        <v>102</v>
      </c>
    </row>
    <row collapsed="false" customFormat="false" customHeight="false" hidden="false" ht="17.6" outlineLevel="0" r="11">
      <c r="A11" s="31" t="s">
        <v>103</v>
      </c>
    </row>
    <row collapsed="false" customFormat="false" customHeight="true" hidden="false" ht="15.75" outlineLevel="0" r="12">
      <c r="A12" s="4"/>
      <c r="B12" s="4"/>
      <c r="C12" s="4"/>
      <c r="F12" s="4"/>
    </row>
    <row collapsed="false" customFormat="false" customHeight="false" hidden="false" ht="14.9" outlineLevel="0" r="13">
      <c r="A13" s="36"/>
      <c r="B13" s="36" t="s">
        <v>18</v>
      </c>
      <c r="C13" s="38" t="s">
        <v>13</v>
      </c>
      <c r="D13" s="69"/>
      <c r="E13" s="70"/>
      <c r="F13" s="71" t="s">
        <v>21</v>
      </c>
      <c r="G13" s="72" t="n">
        <f aca="false">AH7-C40</f>
        <v>0</v>
      </c>
    </row>
    <row collapsed="false" customFormat="false" customHeight="true" hidden="false" ht="15.75" outlineLevel="0" r="14">
      <c r="A14" s="39" t="n">
        <v>1</v>
      </c>
      <c r="B14" s="40"/>
      <c r="C14" s="41"/>
      <c r="D14" s="69"/>
    </row>
    <row collapsed="false" customFormat="false" customHeight="true" hidden="false" ht="15.75" outlineLevel="0" r="15">
      <c r="A15" s="39" t="n">
        <v>2</v>
      </c>
      <c r="B15" s="40"/>
      <c r="C15" s="41"/>
      <c r="D15" s="69"/>
    </row>
    <row collapsed="false" customFormat="false" customHeight="true" hidden="false" ht="15.75" outlineLevel="0" r="16">
      <c r="A16" s="39" t="n">
        <v>3</v>
      </c>
      <c r="B16" s="40"/>
      <c r="C16" s="41"/>
      <c r="D16" s="69"/>
    </row>
    <row collapsed="false" customFormat="false" customHeight="true" hidden="false" ht="15.75" outlineLevel="0" r="17">
      <c r="A17" s="39" t="n">
        <v>4</v>
      </c>
      <c r="B17" s="40"/>
      <c r="C17" s="41"/>
      <c r="D17" s="69"/>
    </row>
    <row collapsed="false" customFormat="false" customHeight="true" hidden="false" ht="15.75" outlineLevel="0" r="18">
      <c r="A18" s="39" t="n">
        <v>5</v>
      </c>
      <c r="B18" s="40"/>
      <c r="C18" s="41"/>
      <c r="D18" s="69"/>
    </row>
    <row collapsed="false" customFormat="false" customHeight="true" hidden="false" ht="15.75" outlineLevel="0" r="19">
      <c r="A19" s="39" t="n">
        <v>6</v>
      </c>
      <c r="B19" s="40"/>
      <c r="C19" s="41"/>
      <c r="D19" s="69"/>
    </row>
    <row collapsed="false" customFormat="false" customHeight="true" hidden="false" ht="15.75" outlineLevel="0" r="20">
      <c r="A20" s="39" t="n">
        <v>7</v>
      </c>
      <c r="B20" s="40"/>
      <c r="C20" s="41"/>
      <c r="D20" s="69"/>
    </row>
    <row collapsed="false" customFormat="false" customHeight="true" hidden="false" ht="15.75" outlineLevel="0" r="21">
      <c r="A21" s="39" t="n">
        <v>8</v>
      </c>
      <c r="B21" s="40"/>
      <c r="C21" s="41"/>
      <c r="D21" s="69"/>
    </row>
    <row collapsed="false" customFormat="false" customHeight="true" hidden="false" ht="15.75" outlineLevel="0" r="22">
      <c r="A22" s="39" t="n">
        <v>9</v>
      </c>
      <c r="B22" s="40"/>
      <c r="C22" s="41"/>
      <c r="D22" s="69"/>
    </row>
    <row collapsed="false" customFormat="false" customHeight="true" hidden="false" ht="15.75" outlineLevel="0" r="23">
      <c r="A23" s="39" t="n">
        <v>10</v>
      </c>
      <c r="B23" s="40"/>
      <c r="C23" s="41"/>
      <c r="D23" s="69"/>
    </row>
    <row collapsed="false" customFormat="false" customHeight="true" hidden="false" ht="15.75" outlineLevel="0" r="24">
      <c r="A24" s="39" t="n">
        <v>11</v>
      </c>
      <c r="B24" s="40"/>
      <c r="C24" s="41"/>
      <c r="D24" s="69"/>
    </row>
    <row collapsed="false" customFormat="false" customHeight="true" hidden="false" ht="15.75" outlineLevel="0" r="25">
      <c r="A25" s="39" t="n">
        <v>12</v>
      </c>
      <c r="B25" s="40"/>
      <c r="C25" s="41"/>
      <c r="D25" s="69"/>
    </row>
    <row collapsed="false" customFormat="false" customHeight="true" hidden="false" ht="15.75" outlineLevel="0" r="26">
      <c r="A26" s="39" t="n">
        <v>13</v>
      </c>
      <c r="B26" s="40"/>
      <c r="C26" s="42"/>
      <c r="D26" s="69"/>
    </row>
    <row collapsed="false" customFormat="false" customHeight="true" hidden="false" ht="15.75" outlineLevel="0" r="27">
      <c r="A27" s="39" t="n">
        <v>14</v>
      </c>
      <c r="B27" s="40"/>
      <c r="C27" s="41"/>
      <c r="D27" s="69"/>
    </row>
    <row collapsed="false" customFormat="false" customHeight="true" hidden="false" ht="15.75" outlineLevel="0" r="28">
      <c r="A28" s="39" t="n">
        <v>15</v>
      </c>
      <c r="B28" s="40"/>
      <c r="C28" s="41"/>
      <c r="D28" s="69"/>
    </row>
    <row collapsed="false" customFormat="false" customHeight="true" hidden="false" ht="15.75" outlineLevel="0" r="29">
      <c r="A29" s="39" t="n">
        <v>16</v>
      </c>
      <c r="B29" s="40"/>
      <c r="C29" s="41"/>
      <c r="D29" s="69"/>
    </row>
    <row collapsed="false" customFormat="false" customHeight="true" hidden="false" ht="15.75" outlineLevel="0" r="30">
      <c r="A30" s="39" t="n">
        <v>17</v>
      </c>
      <c r="B30" s="40"/>
      <c r="C30" s="41"/>
      <c r="D30" s="69"/>
    </row>
    <row collapsed="false" customFormat="false" customHeight="true" hidden="false" ht="15.75" outlineLevel="0" r="31">
      <c r="A31" s="39" t="n">
        <v>18</v>
      </c>
      <c r="B31" s="40"/>
      <c r="C31" s="41"/>
      <c r="D31" s="69"/>
    </row>
    <row collapsed="false" customFormat="false" customHeight="true" hidden="false" ht="15.75" outlineLevel="0" r="32">
      <c r="A32" s="39" t="n">
        <v>19</v>
      </c>
      <c r="B32" s="40"/>
      <c r="C32" s="41"/>
      <c r="D32" s="69"/>
    </row>
    <row collapsed="false" customFormat="false" customHeight="true" hidden="false" ht="15.75" outlineLevel="0" r="33">
      <c r="A33" s="39" t="n">
        <v>20</v>
      </c>
      <c r="B33" s="40"/>
      <c r="C33" s="41"/>
      <c r="D33" s="69"/>
    </row>
    <row collapsed="false" customFormat="false" customHeight="true" hidden="false" ht="15.75" outlineLevel="0" r="34">
      <c r="A34" s="39" t="n">
        <v>21</v>
      </c>
      <c r="B34" s="40"/>
      <c r="C34" s="41"/>
      <c r="D34" s="69"/>
    </row>
    <row collapsed="false" customFormat="false" customHeight="true" hidden="false" ht="15.75" outlineLevel="0" r="35">
      <c r="A35" s="39" t="n">
        <v>22</v>
      </c>
      <c r="B35" s="40"/>
      <c r="C35" s="41"/>
      <c r="D35" s="69"/>
    </row>
    <row collapsed="false" customFormat="false" customHeight="true" hidden="false" ht="15.75" outlineLevel="0" r="36">
      <c r="A36" s="39" t="n">
        <v>23</v>
      </c>
      <c r="B36" s="40"/>
      <c r="C36" s="41"/>
      <c r="D36" s="69"/>
    </row>
    <row collapsed="false" customFormat="false" customHeight="true" hidden="false" ht="15.75" outlineLevel="0" r="37">
      <c r="A37" s="39" t="n">
        <v>24</v>
      </c>
      <c r="B37" s="40"/>
      <c r="C37" s="41"/>
      <c r="D37" s="69"/>
    </row>
    <row collapsed="false" customFormat="false" customHeight="true" hidden="false" ht="15.75" outlineLevel="0" r="38">
      <c r="A38" s="39" t="n">
        <v>25</v>
      </c>
      <c r="B38" s="40"/>
      <c r="C38" s="41"/>
      <c r="D38" s="69"/>
    </row>
    <row collapsed="false" customFormat="false" customHeight="true" hidden="false" ht="15.75" outlineLevel="0" r="39">
      <c r="A39" s="39" t="n">
        <v>26</v>
      </c>
      <c r="B39" s="40"/>
      <c r="C39" s="41"/>
      <c r="D39" s="69"/>
    </row>
    <row collapsed="false" customFormat="false" customHeight="false" hidden="false" ht="14.9" outlineLevel="0" r="40">
      <c r="A40" s="44"/>
      <c r="B40" s="45" t="s">
        <v>109</v>
      </c>
      <c r="C40" s="47" t="n">
        <f aca="false">SUM(C14:C39)</f>
        <v>0</v>
      </c>
      <c r="D40" s="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